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Andre\Downloads\"/>
    </mc:Choice>
  </mc:AlternateContent>
  <xr:revisionPtr revIDLastSave="0" documentId="13_ncr:1_{D55A6059-4254-4E2B-9861-9A651D9F4075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Market Research" sheetId="28" r:id="rId1"/>
    <sheet name="Supplemental Research" sheetId="29" r:id="rId2"/>
    <sheet name="Summary" sheetId="26" r:id="rId3"/>
    <sheet name="Assumptions" sheetId="2" r:id="rId4"/>
    <sheet name="Development Program" sheetId="27" r:id="rId5"/>
    <sheet name="Parcel Data" sheetId="25" r:id="rId6"/>
    <sheet name="Phase I Financial" sheetId="5" r:id="rId7"/>
    <sheet name="Phase I Draw" sheetId="6" r:id="rId8"/>
    <sheet name="Phase II Financial" sheetId="7" r:id="rId9"/>
    <sheet name="Phase II Draw" sheetId="8" r:id="rId10"/>
    <sheet name="All Components Draw" sheetId="2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a1">{"Assump",#N/A,TRUE,"Proforma";"first",#N/A,TRUE,"Proforma";"second",#N/A,TRUE,"Proforma";"lease1",#N/A,TRUE,"Proforma";"lease2",#N/A,TRUE,"Proforma"}</definedName>
    <definedName name="__a1">{"Assump",#N/A,TRUE,"Proforma";"first",#N/A,TRUE,"Proforma";"second",#N/A,TRUE,"Proforma";"lease1",#N/A,TRUE,"Proforma";"lease2",#N/A,TRUE,"Proforma"}</definedName>
    <definedName name="_Fill" localSheetId="6">[1]A!#REF!</definedName>
    <definedName name="_Fill" localSheetId="8">[1]A!#REF!</definedName>
    <definedName name="_Fill">[1]A!#REF!</definedName>
    <definedName name="_Key1" localSheetId="6">'[2]H-INPUT'!#REF!</definedName>
    <definedName name="_Key1" localSheetId="8">'[2]H-INPUT'!#REF!</definedName>
    <definedName name="_Key1">'[2]H-INPUT'!#REF!</definedName>
    <definedName name="_Key2" localSheetId="6">#REF!</definedName>
    <definedName name="_Key2" localSheetId="8">#REF!</definedName>
    <definedName name="_Key2">#REF!</definedName>
    <definedName name="_Order1">255</definedName>
    <definedName name="_Order2">255</definedName>
    <definedName name="_Sort" localSheetId="6">#REF!</definedName>
    <definedName name="_Sort" localSheetId="8">#REF!</definedName>
    <definedName name="_Sort">#REF!</definedName>
    <definedName name="_Table1_In1" localSheetId="6">#REF!</definedName>
    <definedName name="_Table1_In1" localSheetId="8">#REF!</definedName>
    <definedName name="_Table1_In1">#REF!</definedName>
    <definedName name="_Table1_Out" localSheetId="6">#REF!</definedName>
    <definedName name="_Table1_Out" localSheetId="8">#REF!</definedName>
    <definedName name="_Table1_Out">#REF!</definedName>
    <definedName name="_Table2_Out" localSheetId="6">[3]General!#REF!</definedName>
    <definedName name="_Table2_Out" localSheetId="8">[3]General!#REF!</definedName>
    <definedName name="_Table2_Out">[3]General!#REF!</definedName>
    <definedName name="_x1">{#N/A,#N/A,FALSE,"WATCHDSC";#N/A,#N/A,FALSE,"2LOSSMOD";#N/A,#N/A,FALSE,"2LOSS";#N/A,#N/A,FALSE,"DSC";#N/A,#N/A,FALSE,"OPERAT";#N/A,#N/A,FALSE,"ADJUST";#N/A,#N/A,FALSE,"LEASE EXPIRE"}</definedName>
    <definedName name="_x2">{#N/A,#N/A,FALSE,"WATCHDSC";#N/A,#N/A,FALSE,"2LOSSMOD";#N/A,#N/A,FALSE,"2LOSS";#N/A,#N/A,FALSE,"DSC";#N/A,#N/A,FALSE,"OPERAT";#N/A,#N/A,FALSE,"ADJUST";#N/A,#N/A,FALSE,"LEASE EXPIRE"}</definedName>
    <definedName name="_x3">{#N/A,#N/A,FALSE,"WATCHDSC";#N/A,#N/A,FALSE,"2LOSSMOD";#N/A,#N/A,FALSE,"2LOSS";#N/A,#N/A,FALSE,"DSC";#N/A,#N/A,FALSE,"OPERAT";#N/A,#N/A,FALSE,"ADJUST";#N/A,#N/A,FALSE,"LEASE EXPIRE"}</definedName>
    <definedName name="a">{"Assump",#N/A,TRUE,"Proforma";"first",#N/A,TRUE,"Proforma";"second",#N/A,TRUE,"Proforma";"lease1",#N/A,TRUE,"Proforma";"lease2",#N/A,TRUE,"Proforma"}</definedName>
    <definedName name="aa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6">[4]Frontsheet!#REF!</definedName>
    <definedName name="AADSFD" localSheetId="8">[4]Frontsheet!#REF!</definedName>
    <definedName name="AADSFD">[4]Frontsheet!#REF!</definedName>
    <definedName name="ac" localSheetId="6">[4]Frontsheet!#REF!</definedName>
    <definedName name="ac" localSheetId="8">[4]Frontsheet!#REF!</definedName>
    <definedName name="ac">[4]Frontsheet!#REF!</definedName>
    <definedName name="alt" localSheetId="6">[4]Frontsheet!#REF!</definedName>
    <definedName name="alt" localSheetId="8">[4]Frontsheet!#REF!</definedName>
    <definedName name="alt">[4]Frontsheet!#REF!</definedName>
    <definedName name="anscount">1</definedName>
    <definedName name="ASA" localSheetId="6">[4]Frontsheet!#REF!</definedName>
    <definedName name="ASA" localSheetId="8">[4]Frontsheet!#REF!</definedName>
    <definedName name="ASA">[4]Frontsheet!#REF!</definedName>
    <definedName name="aw" localSheetId="6">[4]Frontsheet!#REF!</definedName>
    <definedName name="aw" localSheetId="8">[4]Frontsheet!#REF!</definedName>
    <definedName name="aw">[4]Frontsheet!#REF!</definedName>
    <definedName name="b">{"Assump",#N/A,TRUE,"Proforma";"first",#N/A,TRUE,"Proforma";"second",#N/A,TRUE,"Proforma";"lease1",#N/A,TRUE,"Proforma";"lease2",#N/A,TRUE,"Proforma"}</definedName>
    <definedName name="Body">'[5]Equity Investor Sheet 2538'!$A$7:$J$18</definedName>
    <definedName name="costcode">'[6]Pursuit_Expenses by cost code'!$A$5:$F$155</definedName>
    <definedName name="cs" localSheetId="6">[4]Frontsheet!#REF!</definedName>
    <definedName name="cs" localSheetId="8">[4]Frontsheet!#REF!</definedName>
    <definedName name="cs">[4]Frontsheet!#REF!</definedName>
    <definedName name="ct" localSheetId="6">[4]Frontsheet!#REF!</definedName>
    <definedName name="ct" localSheetId="8">[4]Frontsheet!#REF!</definedName>
    <definedName name="ct">[4]Frontsheet!#REF!</definedName>
    <definedName name="ddgfeerew" localSheetId="6">[4]Frontsheet!#REF!</definedName>
    <definedName name="ddgfeerew" localSheetId="8">[4]Frontsheet!#REF!</definedName>
    <definedName name="ddgfeerew">[4]Frontsheet!#REF!</definedName>
    <definedName name="dflt1">'[7]Customize Your Invoice'!$E$22</definedName>
    <definedName name="dflt5">'[7]Customize Your Invoice'!$E$27</definedName>
    <definedName name="dflt6">'[7]Customize Your Invoice'!$D$28</definedName>
    <definedName name="dfsdf" localSheetId="6">[4]Frontsheet!#REF!</definedName>
    <definedName name="dfsdf" localSheetId="8">[4]Frontsheet!#REF!</definedName>
    <definedName name="dfsdf">[4]Frontsheet!#REF!</definedName>
    <definedName name="dw" localSheetId="6">[4]Frontsheet!#REF!</definedName>
    <definedName name="dw" localSheetId="8">[4]Frontsheet!#REF!</definedName>
    <definedName name="dw">[4]Frontsheet!#REF!</definedName>
    <definedName name="ee">{"Assump",#N/A,TRUE,"Proforma";"first",#N/A,TRUE,"Proforma";"second",#N/A,TRUE,"Proforma";"lease1",#N/A,TRUE,"Proforma";"lease2",#N/A,TRUE,"Proforma"}</definedName>
    <definedName name="el" localSheetId="6">[4]Frontsheet!#REF!</definedName>
    <definedName name="el" localSheetId="8">[4]Frontsheet!#REF!</definedName>
    <definedName name="el">[4]Frontsheet!#REF!</definedName>
    <definedName name="ellen">{#N/A,#N/A,FALSE,"WATCHDSC";#N/A,#N/A,FALSE,"2LOSSMOD";#N/A,#N/A,FALSE,"2LOSS";#N/A,#N/A,FALSE,"DSC";#N/A,#N/A,FALSE,"OPERAT";#N/A,#N/A,FALSE,"ADJUST";#N/A,#N/A,FALSE,"LEASE EXPIRE"}</definedName>
    <definedName name="erasdf">{"Assump",#N/A,TRUE,"Proforma";"first",#N/A,TRUE,"Proforma";"second",#N/A,TRUE,"Proforma";"lease1",#N/A,TRUE,"Proforma";"lease2",#N/A,TRUE,"Proforma"}</definedName>
    <definedName name="EW" localSheetId="6">[4]Frontsheet!#REF!</definedName>
    <definedName name="EW" localSheetId="8">[4]Frontsheet!#REF!</definedName>
    <definedName name="EW">[4]Frontsheet!#REF!</definedName>
    <definedName name="f" localSheetId="6">[4]Frontsheet!#REF!</definedName>
    <definedName name="f" localSheetId="8">[4]Frontsheet!#REF!</definedName>
    <definedName name="f">[4]Frontsheet!#REF!</definedName>
    <definedName name="fe" localSheetId="6">[4]Frontsheet!#REF!</definedName>
    <definedName name="fe" localSheetId="8">[4]Frontsheet!#REF!</definedName>
    <definedName name="fe">[4]Frontsheet!#REF!</definedName>
    <definedName name="FFFFF" localSheetId="6">[4]Frontsheet!#REF!</definedName>
    <definedName name="FFFFF" localSheetId="8">[4]Frontsheet!#REF!</definedName>
    <definedName name="FFFFF">[4]Frontsheet!#REF!</definedName>
    <definedName name="FJHJ" localSheetId="6">[4]Frontsheet!#REF!</definedName>
    <definedName name="FJHJ" localSheetId="8">[4]Frontsheet!#REF!</definedName>
    <definedName name="FJHJ">[4]Frontsheet!#REF!</definedName>
    <definedName name="fo" localSheetId="6">#REF!</definedName>
    <definedName name="fo" localSheetId="8">#REF!</definedName>
    <definedName name="fo">#REF!</definedName>
    <definedName name="FORM" localSheetId="6">#REF!</definedName>
    <definedName name="FORM" localSheetId="8">#REF!</definedName>
    <definedName name="FORM">#REF!</definedName>
    <definedName name="FURYUR" localSheetId="6">[4]Frontsheet!#REF!</definedName>
    <definedName name="FURYUR" localSheetId="8">[4]Frontsheet!#REF!</definedName>
    <definedName name="FURYUR">[4]Frontsheet!#REF!</definedName>
    <definedName name="gl" localSheetId="6">[4]Frontsheet!#REF!</definedName>
    <definedName name="gl" localSheetId="8">[4]Frontsheet!#REF!</definedName>
    <definedName name="gl">[4]Frontsheet!#REF!</definedName>
    <definedName name="h" localSheetId="6">[4]Frontsheet!#REF!</definedName>
    <definedName name="h" localSheetId="8">[4]Frontsheet!#REF!</definedName>
    <definedName name="h">[4]Frontsheet!#REF!</definedName>
    <definedName name="hjkhjlkgg" localSheetId="6">[4]Frontsheet!#REF!</definedName>
    <definedName name="hjkhjlkgg" localSheetId="8">[4]Frontsheet!#REF!</definedName>
    <definedName name="hjkhjlkgg">[4]Frontsheet!#REF!</definedName>
    <definedName name="jkjkl" localSheetId="6">[4]Frontsheet!#REF!</definedName>
    <definedName name="jkjkl" localSheetId="8">[4]Frontsheet!#REF!</definedName>
    <definedName name="jkjkl">[4]Frontsheet!#REF!</definedName>
    <definedName name="kb" localSheetId="6">[4]Frontsheet!#REF!</definedName>
    <definedName name="kb" localSheetId="8">[4]Frontsheet!#REF!</definedName>
    <definedName name="kb">[4]Frontsheet!#REF!</definedName>
    <definedName name="ke" localSheetId="6">[4]Frontsheet!#REF!</definedName>
    <definedName name="ke" localSheetId="8">[4]Frontsheet!#REF!</definedName>
    <definedName name="ke">[4]Frontsheet!#REF!</definedName>
    <definedName name="lk" localSheetId="6">[4]Frontsheet!#REF!</definedName>
    <definedName name="lk" localSheetId="8">[4]Frontsheet!#REF!</definedName>
    <definedName name="lk">[4]Frontsheet!#REF!</definedName>
    <definedName name="memo_description">[6]Lists!$D$4:$D$10</definedName>
    <definedName name="ml" localSheetId="6">[4]Frontsheet!#REF!</definedName>
    <definedName name="ml" localSheetId="8">[4]Frontsheet!#REF!</definedName>
    <definedName name="ml">[4]Frontsheet!#REF!</definedName>
    <definedName name="mw" localSheetId="6">[4]Frontsheet!#REF!</definedName>
    <definedName name="mw" localSheetId="8">[4]Frontsheet!#REF!</definedName>
    <definedName name="mw">[4]Frontsheet!#REF!</definedName>
    <definedName name="NEWDRAW" localSheetId="6">#REF!</definedName>
    <definedName name="NEWDRAW" localSheetId="8">#REF!</definedName>
    <definedName name="NEWDRAW">#REF!</definedName>
    <definedName name="NvsEndTime">36465.4707604167</definedName>
    <definedName name="os" localSheetId="6">[4]Frontsheet!#REF!</definedName>
    <definedName name="os" localSheetId="8">[4]Frontsheet!#REF!</definedName>
    <definedName name="os">[4]Frontsheet!#REF!</definedName>
    <definedName name="p" localSheetId="6">[4]Frontsheet!#REF!</definedName>
    <definedName name="p" localSheetId="8">[4]Frontsheet!#REF!</definedName>
    <definedName name="p">[4]Frontsheet!#REF!</definedName>
    <definedName name="pa" localSheetId="6">[4]Frontsheet!#REF!</definedName>
    <definedName name="pa" localSheetId="8">[4]Frontsheet!#REF!</definedName>
    <definedName name="pa">[4]Frontsheet!#REF!</definedName>
    <definedName name="PD" localSheetId="6">#REF!</definedName>
    <definedName name="PD" localSheetId="8">#REF!</definedName>
    <definedName name="PD">#REF!</definedName>
    <definedName name="pipeline_status">[6]Lists!$F$4:$F$8</definedName>
    <definedName name="pp" localSheetId="6">[4]Frontsheet!#REF!</definedName>
    <definedName name="pp" localSheetId="8">[4]Frontsheet!#REF!</definedName>
    <definedName name="pp">[4]Frontsheet!#REF!</definedName>
    <definedName name="print_area2" localSheetId="6">#REF!</definedName>
    <definedName name="print_area2" localSheetId="8">#REF!</definedName>
    <definedName name="print_area2">#REF!</definedName>
    <definedName name="print_area3" localSheetId="6">#REF!</definedName>
    <definedName name="print_area3" localSheetId="8">#REF!</definedName>
    <definedName name="print_area3">#REF!</definedName>
    <definedName name="print_area4" localSheetId="6">#REF!</definedName>
    <definedName name="print_area4" localSheetId="8">#REF!</definedName>
    <definedName name="print_area4">#REF!</definedName>
    <definedName name="PROFORMA" localSheetId="6">#REF!</definedName>
    <definedName name="PROFORMA" localSheetId="8">#REF!</definedName>
    <definedName name="PROFORMA">#REF!</definedName>
    <definedName name="Promote_dev_1">[6]Input!$E$330</definedName>
    <definedName name="Property_Types">'[8]Deal Assumptions'!$G$345:$Z$345</definedName>
    <definedName name="pt" localSheetId="6">[4]Frontsheet!#REF!</definedName>
    <definedName name="pt" localSheetId="8">[4]Frontsheet!#REF!</definedName>
    <definedName name="pt">[4]Frontsheet!#REF!</definedName>
    <definedName name="qq" localSheetId="6">#REF!</definedName>
    <definedName name="qq" localSheetId="8">#REF!</definedName>
    <definedName name="qq">#REF!</definedName>
    <definedName name="report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6">[4]Frontsheet!#REF!</definedName>
    <definedName name="rf" localSheetId="8">[4]Frontsheet!#REF!</definedName>
    <definedName name="rf">[4]Frontsheet!#REF!</definedName>
    <definedName name="S_U" localSheetId="6">#REF!</definedName>
    <definedName name="S_U" localSheetId="8">#REF!</definedName>
    <definedName name="S_U">#REF!</definedName>
    <definedName name="Sample1" localSheetId="6">[9]Template!#REF!</definedName>
    <definedName name="Sample1" localSheetId="8">[9]Template!#REF!</definedName>
    <definedName name="Sample1">[9]Template!#REF!</definedName>
    <definedName name="sample2" localSheetId="6">[10]Template!#REF!</definedName>
    <definedName name="sample2" localSheetId="8">[10]Template!#REF!</definedName>
    <definedName name="sample2">[10]Template!#REF!</definedName>
    <definedName name="sample3" localSheetId="6">[10]Template!#REF!</definedName>
    <definedName name="sample3" localSheetId="8">[10]Template!#REF!</definedName>
    <definedName name="sample3">[10]Template!#REF!</definedName>
    <definedName name="sdf">{"Assump",#N/A,TRUE,"Proforma";"first",#N/A,TRUE,"Proforma";"second",#N/A,TRUE,"Proforma";"lease1",#N/A,TRUE,"Proforma";"lease2",#N/A,TRUE,"Proforma"}</definedName>
    <definedName name="sdfgsfgdsfg" localSheetId="6">[4]Frontsheet!#REF!</definedName>
    <definedName name="sdfgsfgdsfg" localSheetId="8">[4]Frontsheet!#REF!</definedName>
    <definedName name="sdfgsfgdsfg">[4]Frontsheet!#REF!</definedName>
    <definedName name="SF">'[11]One Pager - Assumptions'!$H$31</definedName>
    <definedName name="sg" localSheetId="6">[4]Frontsheet!#REF!</definedName>
    <definedName name="sg" localSheetId="8">[4]Frontsheet!#REF!</definedName>
    <definedName name="sg">[4]Frontsheet!#REF!</definedName>
    <definedName name="si" localSheetId="6">[4]Frontsheet!#REF!</definedName>
    <definedName name="si" localSheetId="8">[4]Frontsheet!#REF!</definedName>
    <definedName name="si">[4]Frontsheet!#REF!</definedName>
    <definedName name="tp" localSheetId="6">[4]Frontsheet!#REF!</definedName>
    <definedName name="tp" localSheetId="8">[4]Frontsheet!#REF!</definedName>
    <definedName name="tp">[4]Frontsheet!#REF!</definedName>
    <definedName name="Trended_hard_cost">[6]Input!$K$47</definedName>
    <definedName name="trended_partner_contributions" localSheetId="6">'[6]Trended Cash Flow'!#REF!</definedName>
    <definedName name="trended_partner_contributions" localSheetId="8">'[6]Trended Cash Flow'!#REF!</definedName>
    <definedName name="trended_partner_contributions">'[6]Trended Cash Flow'!#REF!</definedName>
    <definedName name="TT" localSheetId="6">[4]Frontsheet!#REF!</definedName>
    <definedName name="TT" localSheetId="8">[4]Frontsheet!#REF!</definedName>
    <definedName name="TT">[4]Frontsheet!#REF!</definedName>
    <definedName name="units">'[12]Equity Investor Sheet 2538'!$G$132</definedName>
    <definedName name="untrended_dates">'[6]Untrended Cash Flow'!$E$12:$BL$12</definedName>
    <definedName name="untrended_partner_contributions">'[6]Untrended Cash Flow'!$E$154:$BL$154</definedName>
    <definedName name="vital5">'[7]Customize Your Invoice'!$E$15</definedName>
    <definedName name="wetadf">{"Assump",#N/A,TRUE,"Proforma";"first",#N/A,TRUE,"Proforma";"second",#N/A,TRUE,"Proforma";"lease1",#N/A,TRUE,"Proforma";"lease2",#N/A,TRUE,"Proforma"}</definedName>
    <definedName name="wrn.BlackWhite.">{#N/A,#N/A,FALSE,"NNN sum";#N/A,#N/A,FALSE,"10-yr Opt. A Sum";#N/A,#N/A,FALSE,"10-yr Opt A Other Costs";#N/A,#N/A,FALSE,"Purchase Sum";#N/A,#N/A,FALSE,"Purchase Other Costs"}</definedName>
    <definedName name="wrn.Complete._.Review.">{#N/A,#N/A,FALSE,"Occ and Rate";#N/A,#N/A,FALSE,"PF Input";#N/A,#N/A,FALSE,"Capital Input";#N/A,#N/A,FALSE,"Proforma Five Yr";#N/A,#N/A,FALSE,"Calculations";#N/A,#N/A,FALSE,"Transaction Summary-DTW"}</definedName>
    <definedName name="wrn.cssa.">{#N/A,#N/A,FALSE,"WATCHDSC";#N/A,#N/A,FALSE,"2LOSSMOD";#N/A,#N/A,FALSE,"2LOSS";#N/A,#N/A,FALSE,"DSC";#N/A,#N/A,FALSE,"OPERAT";#N/A,#N/A,FALSE,"ADJUST";#N/A,#N/A,FALSE,"LEASE EXPIRE"}</definedName>
    <definedName name="wrn.data.">{"data",#N/A,FALSE,"INPUT"}</definedName>
    <definedName name="wrn.GSA._.PRINT.">{#N/A,#N/A,FALSE,"DEV COSTS";#N/A,#N/A,FALSE,"10-YR C. F."}</definedName>
    <definedName name="wrn.Investment._.Review.">{#N/A,#N/A,FALSE,"Proforma Five Yr";#N/A,#N/A,FALSE,"Capital Input";#N/A,#N/A,FALSE,"Calculations";#N/A,#N/A,FALSE,"Transaction Summary-DTW"}</definedName>
    <definedName name="wrn.MODEL.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>{#N/A,#N/A,FALSE,"Proforma Five Yr";#N/A,#N/A,FALSE,"Occ and Rate";#N/A,#N/A,FALSE,"PF Input";#N/A,#N/A,FALSE,"Hotcomps"}</definedName>
    <definedName name="wrn.Phase._.I.">{#N/A,#N/A,FALSE,"Transaction Summary-DTW";#N/A,#N/A,FALSE,"Proforma Five Yr";#N/A,#N/A,FALSE,"Occ and Rate"}</definedName>
    <definedName name="wrn.print.">{"Assump",#N/A,TRUE,"Proforma";"first",#N/A,TRUE,"Proforma";"second",#N/A,TRUE,"Proforma";"lease1",#N/A,TRUE,"Proforma";"lease2",#N/A,TRUE,"Proforma"}</definedName>
    <definedName name="wrn.Proforma._.Review.">{#N/A,#N/A,FALSE,"Occ and Rate";#N/A,#N/A,FALSE,"PF Input";#N/A,#N/A,FALSE,"Proforma Five Yr";#N/A,#N/A,FALSE,"Hotcomps"}</definedName>
    <definedName name="wrn.Report.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>{#N/A,#N/A,FALSE,"DEV COSTS";#N/A,#N/A,FALSE,"10-YR C. F."}</definedName>
    <definedName name="wrn.WeeklyStatus.">{#N/A,#N/A,FALSE,"StatusReport"}</definedName>
    <definedName name="wrn.YTD.Clsngs.Subdiv.Dte.">{"Smry.sbtl.subdiv.clsdte",#N/A,FALSE,"97clsngs.612"}</definedName>
    <definedName name="x">{#N/A,#N/A,FALSE,"WATCHDSC";#N/A,#N/A,FALSE,"2LOSSMOD";#N/A,#N/A,FALSE,"2LOSS";#N/A,#N/A,FALSE,"DSC";#N/A,#N/A,FALSE,"OPERAT";#N/A,#N/A,FALSE,"ADJUST";#N/A,#N/A,FALSE,"LEASE EXPIRE"}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7kjrz7nt0uIemDkTWd4oL1PxmTQ=="/>
    </ext>
  </extLst>
</workbook>
</file>

<file path=xl/calcChain.xml><?xml version="1.0" encoding="utf-8"?>
<calcChain xmlns="http://schemas.openxmlformats.org/spreadsheetml/2006/main">
  <c r="H70" i="2" l="1"/>
  <c r="H71" i="2"/>
  <c r="B91" i="5" s="1"/>
  <c r="P24" i="26" s="1"/>
  <c r="G19" i="28"/>
  <c r="G9" i="28"/>
  <c r="C10" i="28"/>
  <c r="C11" i="28"/>
  <c r="C12" i="28"/>
  <c r="C13" i="28"/>
  <c r="C9" i="28"/>
  <c r="F40" i="26"/>
  <c r="E40" i="26"/>
  <c r="F39" i="26"/>
  <c r="E39" i="26"/>
  <c r="B90" i="5"/>
  <c r="P23" i="26" s="1"/>
  <c r="O23" i="26" s="1"/>
  <c r="H67" i="2"/>
  <c r="O24" i="26" l="1"/>
  <c r="D58" i="2"/>
  <c r="C20" i="7"/>
  <c r="C63" i="7"/>
  <c r="C54" i="5"/>
  <c r="E8" i="2"/>
  <c r="E13" i="2"/>
  <c r="E23" i="2"/>
  <c r="E18" i="2"/>
  <c r="C97" i="2" l="1"/>
  <c r="D47" i="7" s="1"/>
  <c r="C71" i="7"/>
  <c r="C70" i="7"/>
  <c r="C69" i="7"/>
  <c r="C68" i="7"/>
  <c r="C67" i="7"/>
  <c r="C62" i="5"/>
  <c r="C66" i="7"/>
  <c r="C60" i="5"/>
  <c r="B97" i="2"/>
  <c r="D38" i="5" s="1"/>
  <c r="C58" i="5"/>
  <c r="C61" i="5"/>
  <c r="C57" i="5"/>
  <c r="C59" i="5"/>
  <c r="F14" i="27"/>
  <c r="E14" i="27"/>
  <c r="D14" i="27"/>
  <c r="C14" i="27"/>
  <c r="F13" i="27"/>
  <c r="E13" i="27"/>
  <c r="D13" i="27"/>
  <c r="C13" i="27"/>
  <c r="C6" i="27"/>
  <c r="C7" i="27"/>
  <c r="D7" i="27" s="1"/>
  <c r="A10" i="6"/>
  <c r="Q33" i="26"/>
  <c r="P33" i="26"/>
  <c r="I77" i="2"/>
  <c r="B100" i="7" s="1"/>
  <c r="Q26" i="26" s="1"/>
  <c r="O26" i="26" s="1"/>
  <c r="I74" i="2"/>
  <c r="B99" i="7" s="1"/>
  <c r="Q25" i="26" s="1"/>
  <c r="O25" i="26" s="1"/>
  <c r="C11" i="7"/>
  <c r="D47" i="25"/>
  <c r="D43" i="25"/>
  <c r="A96" i="7"/>
  <c r="A87" i="5"/>
  <c r="F7" i="26"/>
  <c r="F8" i="26"/>
  <c r="F9" i="26"/>
  <c r="F6" i="26"/>
  <c r="E7" i="26"/>
  <c r="E8" i="26"/>
  <c r="E9" i="26"/>
  <c r="E6" i="26"/>
  <c r="F2" i="8"/>
  <c r="F9" i="8" s="1"/>
  <c r="E2" i="8"/>
  <c r="E9" i="8" s="1"/>
  <c r="D2" i="8"/>
  <c r="D9" i="8" s="1"/>
  <c r="C2" i="8"/>
  <c r="C9" i="8" s="1"/>
  <c r="F2" i="6"/>
  <c r="F8" i="6" s="1"/>
  <c r="E2" i="6"/>
  <c r="E8" i="6" s="1"/>
  <c r="D2" i="6"/>
  <c r="D8" i="6" s="1"/>
  <c r="C2" i="6"/>
  <c r="C8" i="6" s="1"/>
  <c r="D7" i="7"/>
  <c r="E19" i="2"/>
  <c r="F48" i="26" s="1"/>
  <c r="E14" i="2"/>
  <c r="F47" i="26" s="1"/>
  <c r="E9" i="2"/>
  <c r="F46" i="26" s="1"/>
  <c r="I63" i="2"/>
  <c r="B98" i="7" s="1"/>
  <c r="Q22" i="26" s="1"/>
  <c r="H63" i="2"/>
  <c r="D42" i="25"/>
  <c r="B46" i="7"/>
  <c r="E51" i="2"/>
  <c r="C25" i="7" s="1"/>
  <c r="D46" i="25"/>
  <c r="G9" i="8"/>
  <c r="H9" i="8"/>
  <c r="I9" i="8"/>
  <c r="J9" i="8"/>
  <c r="K9" i="8"/>
  <c r="L9" i="8"/>
  <c r="M9" i="8"/>
  <c r="N9" i="8"/>
  <c r="O9" i="8"/>
  <c r="P9" i="8"/>
  <c r="Q9" i="8"/>
  <c r="R9" i="8"/>
  <c r="S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N8" i="6"/>
  <c r="O8" i="6"/>
  <c r="P8" i="6"/>
  <c r="Q8" i="6"/>
  <c r="R8" i="6"/>
  <c r="S8" i="6"/>
  <c r="T8" i="6"/>
  <c r="U8" i="6"/>
  <c r="V8" i="6"/>
  <c r="W8" i="6"/>
  <c r="X8" i="6"/>
  <c r="Y8" i="6"/>
  <c r="Z8" i="6"/>
  <c r="G8" i="6"/>
  <c r="H8" i="6"/>
  <c r="I8" i="6"/>
  <c r="J8" i="6"/>
  <c r="K8" i="6"/>
  <c r="M8" i="6"/>
  <c r="AS8" i="21"/>
  <c r="AT8" i="21"/>
  <c r="AU8" i="21"/>
  <c r="AI4" i="21"/>
  <c r="AJ4" i="21"/>
  <c r="AK4" i="21"/>
  <c r="AL4" i="21"/>
  <c r="AM4" i="21"/>
  <c r="AN4" i="21"/>
  <c r="AO4" i="21"/>
  <c r="AP4" i="21"/>
  <c r="AQ4" i="21"/>
  <c r="AR4" i="21"/>
  <c r="AS4" i="21"/>
  <c r="AT4" i="21"/>
  <c r="AU4" i="21"/>
  <c r="C46" i="25"/>
  <c r="F46" i="25" s="1"/>
  <c r="C42" i="25"/>
  <c r="F42" i="25" s="1"/>
  <c r="A9" i="6"/>
  <c r="E65" i="2"/>
  <c r="D65" i="2"/>
  <c r="B51" i="5"/>
  <c r="B37" i="5"/>
  <c r="C17" i="7"/>
  <c r="J7" i="2"/>
  <c r="H12" i="2" s="1"/>
  <c r="J6" i="2"/>
  <c r="H11" i="2" s="1"/>
  <c r="B59" i="7"/>
  <c r="D75" i="2"/>
  <c r="E72" i="2"/>
  <c r="B17" i="7" s="1"/>
  <c r="B20" i="7" s="1"/>
  <c r="G7" i="27" s="1"/>
  <c r="G8" i="27" s="1"/>
  <c r="D72" i="2"/>
  <c r="A10" i="8"/>
  <c r="G37" i="25"/>
  <c r="D37" i="25"/>
  <c r="E36" i="25"/>
  <c r="F36" i="25" s="1"/>
  <c r="H36" i="25" s="1"/>
  <c r="E35" i="25"/>
  <c r="F35" i="25" s="1"/>
  <c r="H35" i="25" s="1"/>
  <c r="E34" i="25"/>
  <c r="F34" i="25" s="1"/>
  <c r="H34" i="25" s="1"/>
  <c r="E33" i="25"/>
  <c r="F33" i="25" s="1"/>
  <c r="H33" i="25" s="1"/>
  <c r="E32" i="25"/>
  <c r="F32" i="25" s="1"/>
  <c r="H32" i="25" s="1"/>
  <c r="E31" i="25"/>
  <c r="F31" i="25" s="1"/>
  <c r="H31" i="25" s="1"/>
  <c r="E30" i="25"/>
  <c r="F30" i="25" s="1"/>
  <c r="H30" i="25" s="1"/>
  <c r="E29" i="25"/>
  <c r="E25" i="25"/>
  <c r="E26" i="25"/>
  <c r="E27" i="25"/>
  <c r="E28" i="25"/>
  <c r="F29" i="25"/>
  <c r="H29" i="25" s="1"/>
  <c r="F28" i="25"/>
  <c r="H28" i="25" s="1"/>
  <c r="F27" i="25"/>
  <c r="H27" i="25"/>
  <c r="F26" i="25"/>
  <c r="H26" i="25" s="1"/>
  <c r="F25" i="25"/>
  <c r="F33" i="26"/>
  <c r="F34" i="26" s="1"/>
  <c r="E33" i="26"/>
  <c r="F30" i="26"/>
  <c r="F31" i="26" s="1"/>
  <c r="E30" i="26"/>
  <c r="C24" i="26"/>
  <c r="C23" i="26"/>
  <c r="C22" i="26"/>
  <c r="C21" i="26"/>
  <c r="C18" i="26"/>
  <c r="C17" i="26"/>
  <c r="C16" i="26"/>
  <c r="C15" i="26"/>
  <c r="B19" i="5"/>
  <c r="B18" i="5"/>
  <c r="B17" i="5"/>
  <c r="B27" i="7"/>
  <c r="B26" i="7"/>
  <c r="B25" i="7"/>
  <c r="C10" i="7"/>
  <c r="C9" i="7"/>
  <c r="C8" i="7"/>
  <c r="C7" i="7"/>
  <c r="C6" i="7"/>
  <c r="C5" i="7"/>
  <c r="C4" i="7"/>
  <c r="D5" i="5"/>
  <c r="C12" i="5"/>
  <c r="C11" i="5"/>
  <c r="C10" i="5"/>
  <c r="C9" i="5"/>
  <c r="C18" i="5"/>
  <c r="C19" i="5"/>
  <c r="C17" i="5"/>
  <c r="D8" i="5"/>
  <c r="D7" i="5"/>
  <c r="D6" i="5"/>
  <c r="C8" i="5"/>
  <c r="C7" i="5"/>
  <c r="C6" i="5"/>
  <c r="C5" i="5"/>
  <c r="B89" i="2"/>
  <c r="B88" i="2"/>
  <c r="B87" i="2"/>
  <c r="B86" i="2"/>
  <c r="B85" i="2"/>
  <c r="E75" i="2"/>
  <c r="E64" i="2"/>
  <c r="C26" i="7" s="1"/>
  <c r="E57" i="2"/>
  <c r="C27" i="7" s="1"/>
  <c r="H41" i="2"/>
  <c r="D46" i="2" s="1"/>
  <c r="E54" i="26" s="1"/>
  <c r="H39" i="2"/>
  <c r="D36" i="2" s="1"/>
  <c r="E52" i="26" s="1"/>
  <c r="H38" i="2"/>
  <c r="D31" i="2" s="1"/>
  <c r="E51" i="26" s="1"/>
  <c r="H40" i="2"/>
  <c r="D41" i="2" s="1"/>
  <c r="E53" i="26" s="1"/>
  <c r="AO3" i="21"/>
  <c r="AP3" i="21" s="1"/>
  <c r="AQ3" i="21" s="1"/>
  <c r="AR3" i="21" s="1"/>
  <c r="AS3" i="21" s="1"/>
  <c r="AT3" i="21" s="1"/>
  <c r="AU3" i="21" s="1"/>
  <c r="I3" i="2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Y3" i="21" s="1"/>
  <c r="Z3" i="21" s="1"/>
  <c r="AA3" i="21" s="1"/>
  <c r="AB3" i="21" s="1"/>
  <c r="AC3" i="21" s="1"/>
  <c r="AD3" i="21" s="1"/>
  <c r="AE3" i="21" s="1"/>
  <c r="AF3" i="21" s="1"/>
  <c r="AG3" i="21" s="1"/>
  <c r="AH3" i="21" s="1"/>
  <c r="AI3" i="21" s="1"/>
  <c r="AJ3" i="21" s="1"/>
  <c r="AK3" i="21" s="1"/>
  <c r="AL3" i="21" s="1"/>
  <c r="AM3" i="21" s="1"/>
  <c r="AN3" i="21" s="1"/>
  <c r="E3" i="21"/>
  <c r="F3" i="21" s="1"/>
  <c r="G3" i="21" s="1"/>
  <c r="H3" i="21" s="1"/>
  <c r="D3" i="21"/>
  <c r="B34" i="8"/>
  <c r="A27" i="8"/>
  <c r="A26" i="8"/>
  <c r="B25" i="8"/>
  <c r="A25" i="8"/>
  <c r="B24" i="8"/>
  <c r="A24" i="8"/>
  <c r="A23" i="8"/>
  <c r="A22" i="8"/>
  <c r="A21" i="8"/>
  <c r="B20" i="8"/>
  <c r="A20" i="8"/>
  <c r="A19" i="8"/>
  <c r="B18" i="8"/>
  <c r="A18" i="8"/>
  <c r="A17" i="8"/>
  <c r="A16" i="8"/>
  <c r="A15" i="8"/>
  <c r="B14" i="8"/>
  <c r="AW14" i="8" s="1"/>
  <c r="A14" i="8"/>
  <c r="AV13" i="8"/>
  <c r="B13" i="8"/>
  <c r="AW13" i="8" s="1"/>
  <c r="A13" i="8"/>
  <c r="A12" i="8"/>
  <c r="A11" i="8"/>
  <c r="A9" i="8"/>
  <c r="A7" i="8"/>
  <c r="A6" i="8"/>
  <c r="A5" i="8"/>
  <c r="I4" i="8"/>
  <c r="J4" i="8" s="1"/>
  <c r="F4" i="8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B122" i="7"/>
  <c r="Q10" i="26" s="1"/>
  <c r="B33" i="6"/>
  <c r="A26" i="6"/>
  <c r="A25" i="6"/>
  <c r="B24" i="6"/>
  <c r="A24" i="6"/>
  <c r="B23" i="6"/>
  <c r="A23" i="6"/>
  <c r="A22" i="6"/>
  <c r="A21" i="6"/>
  <c r="A20" i="6"/>
  <c r="B19" i="6"/>
  <c r="A19" i="6"/>
  <c r="A18" i="6"/>
  <c r="B17" i="6"/>
  <c r="A17" i="6"/>
  <c r="A16" i="6"/>
  <c r="A15" i="6"/>
  <c r="A14" i="6"/>
  <c r="B13" i="6"/>
  <c r="A13" i="6"/>
  <c r="AV12" i="6"/>
  <c r="B12" i="6"/>
  <c r="AW12" i="6" s="1"/>
  <c r="AX12" i="6" s="1"/>
  <c r="A12" i="6"/>
  <c r="A11" i="6"/>
  <c r="A8" i="6"/>
  <c r="A7" i="6"/>
  <c r="A6" i="6"/>
  <c r="A5" i="6"/>
  <c r="F4" i="6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B113" i="5"/>
  <c r="P10" i="26" s="1"/>
  <c r="C95" i="5"/>
  <c r="B94" i="2" l="1"/>
  <c r="AX13" i="8"/>
  <c r="B12" i="8"/>
  <c r="V12" i="8" s="1"/>
  <c r="P18" i="8"/>
  <c r="B11" i="6"/>
  <c r="AW11" i="6" s="1"/>
  <c r="AW17" i="6"/>
  <c r="X24" i="6"/>
  <c r="N24" i="6"/>
  <c r="O24" i="6"/>
  <c r="P24" i="6"/>
  <c r="Q24" i="6"/>
  <c r="R24" i="6"/>
  <c r="S24" i="6"/>
  <c r="U24" i="6"/>
  <c r="V24" i="6"/>
  <c r="W24" i="6"/>
  <c r="M24" i="6"/>
  <c r="T24" i="6"/>
  <c r="O33" i="26"/>
  <c r="O10" i="26"/>
  <c r="D27" i="7"/>
  <c r="D19" i="5"/>
  <c r="C94" i="2"/>
  <c r="B28" i="7"/>
  <c r="H7" i="27" s="1"/>
  <c r="D18" i="5"/>
  <c r="D6" i="7"/>
  <c r="B20" i="5"/>
  <c r="H6" i="27" s="1"/>
  <c r="D17" i="5"/>
  <c r="D25" i="7"/>
  <c r="D6" i="27"/>
  <c r="D8" i="27" s="1"/>
  <c r="C8" i="27"/>
  <c r="D40" i="2"/>
  <c r="D11" i="5" s="1"/>
  <c r="E41" i="2"/>
  <c r="D30" i="2"/>
  <c r="D9" i="5" s="1"/>
  <c r="E31" i="2"/>
  <c r="D35" i="2"/>
  <c r="D10" i="5" s="1"/>
  <c r="E36" i="2"/>
  <c r="D45" i="2"/>
  <c r="D12" i="5" s="1"/>
  <c r="E46" i="2"/>
  <c r="B89" i="5"/>
  <c r="P22" i="26" s="1"/>
  <c r="O22" i="26" s="1"/>
  <c r="B31" i="7"/>
  <c r="B23" i="5"/>
  <c r="D48" i="25"/>
  <c r="D44" i="25"/>
  <c r="AE20" i="8"/>
  <c r="AF20" i="8"/>
  <c r="W25" i="8"/>
  <c r="X25" i="8"/>
  <c r="Y25" i="8"/>
  <c r="Z25" i="8"/>
  <c r="AA25" i="8"/>
  <c r="AB25" i="8"/>
  <c r="AC25" i="8"/>
  <c r="AD25" i="8"/>
  <c r="AE25" i="8"/>
  <c r="AF25" i="8"/>
  <c r="V25" i="8"/>
  <c r="U25" i="8"/>
  <c r="K23" i="6"/>
  <c r="C23" i="6"/>
  <c r="H25" i="25"/>
  <c r="H37" i="25" s="1"/>
  <c r="F37" i="25"/>
  <c r="E37" i="25"/>
  <c r="I24" i="2"/>
  <c r="I21" i="2"/>
  <c r="I18" i="2"/>
  <c r="I15" i="2"/>
  <c r="I23" i="2"/>
  <c r="I20" i="2"/>
  <c r="I17" i="2"/>
  <c r="I14" i="2"/>
  <c r="D6" i="2" s="1"/>
  <c r="G4" i="8"/>
  <c r="AV4" i="8" s="1"/>
  <c r="W19" i="6"/>
  <c r="X19" i="6"/>
  <c r="D76" i="2"/>
  <c r="E76" i="2"/>
  <c r="G4" i="6"/>
  <c r="E31" i="26"/>
  <c r="D30" i="26"/>
  <c r="D31" i="26" s="1"/>
  <c r="E34" i="26"/>
  <c r="D33" i="26"/>
  <c r="D34" i="26" s="1"/>
  <c r="D4" i="7"/>
  <c r="D5" i="7"/>
  <c r="D26" i="7"/>
  <c r="AW13" i="6"/>
  <c r="H13" i="6"/>
  <c r="AV13" i="6" s="1"/>
  <c r="J18" i="8"/>
  <c r="V18" i="8" s="1"/>
  <c r="C83" i="5"/>
  <c r="J17" i="6"/>
  <c r="D23" i="6"/>
  <c r="AW24" i="6"/>
  <c r="H14" i="8"/>
  <c r="AV14" i="8" s="1"/>
  <c r="AX14" i="8" s="1"/>
  <c r="N17" i="6"/>
  <c r="AW18" i="8"/>
  <c r="N18" i="8"/>
  <c r="L18" i="8"/>
  <c r="D24" i="8"/>
  <c r="AW24" i="8"/>
  <c r="C24" i="8"/>
  <c r="AW25" i="8"/>
  <c r="B21" i="5"/>
  <c r="H17" i="6"/>
  <c r="P17" i="6"/>
  <c r="AW19" i="6"/>
  <c r="AW23" i="6"/>
  <c r="K24" i="8"/>
  <c r="C31" i="5"/>
  <c r="C48" i="5"/>
  <c r="L17" i="6"/>
  <c r="R18" i="8"/>
  <c r="AW20" i="8"/>
  <c r="AW12" i="8" l="1"/>
  <c r="U12" i="8"/>
  <c r="X12" i="8"/>
  <c r="W12" i="8"/>
  <c r="B4" i="8"/>
  <c r="T17" i="6"/>
  <c r="AV19" i="6"/>
  <c r="AX19" i="6" s="1"/>
  <c r="N11" i="6"/>
  <c r="P11" i="6"/>
  <c r="M11" i="6"/>
  <c r="AV11" i="6" s="1"/>
  <c r="AX11" i="6" s="1"/>
  <c r="O11" i="6"/>
  <c r="AV20" i="8"/>
  <c r="AX20" i="8" s="1"/>
  <c r="C81" i="7"/>
  <c r="B22" i="8" s="1"/>
  <c r="H8" i="27"/>
  <c r="C72" i="5"/>
  <c r="B21" i="6" s="1"/>
  <c r="AW21" i="6" s="1"/>
  <c r="D20" i="5"/>
  <c r="C73" i="5" s="1"/>
  <c r="D28" i="7"/>
  <c r="D40" i="26"/>
  <c r="E45" i="2"/>
  <c r="D11" i="7" s="1"/>
  <c r="F54" i="26"/>
  <c r="E35" i="2"/>
  <c r="D9" i="7" s="1"/>
  <c r="F52" i="26"/>
  <c r="E30" i="2"/>
  <c r="D8" i="7" s="1"/>
  <c r="F51" i="26"/>
  <c r="E40" i="2"/>
  <c r="D10" i="7" s="1"/>
  <c r="F53" i="26"/>
  <c r="C62" i="7"/>
  <c r="B9" i="8" s="1"/>
  <c r="C53" i="5"/>
  <c r="B8" i="6" s="1"/>
  <c r="E47" i="25"/>
  <c r="F47" i="25" s="1"/>
  <c r="E43" i="25"/>
  <c r="F43" i="25" s="1"/>
  <c r="D28" i="2"/>
  <c r="D33" i="2"/>
  <c r="D11" i="2"/>
  <c r="D38" i="2"/>
  <c r="D16" i="2"/>
  <c r="D43" i="2"/>
  <c r="D21" i="2"/>
  <c r="E28" i="2"/>
  <c r="E6" i="2"/>
  <c r="E33" i="2"/>
  <c r="E11" i="2"/>
  <c r="E38" i="2"/>
  <c r="E16" i="2"/>
  <c r="E43" i="2"/>
  <c r="B11" i="7" s="1"/>
  <c r="E21" i="2"/>
  <c r="AV4" i="6"/>
  <c r="B4" i="6"/>
  <c r="D17" i="7"/>
  <c r="E17" i="7" s="1"/>
  <c r="E20" i="7" s="1"/>
  <c r="D42" i="7" s="1"/>
  <c r="C21" i="7"/>
  <c r="AX13" i="6"/>
  <c r="AV24" i="6"/>
  <c r="AX24" i="6" s="1"/>
  <c r="AV24" i="8"/>
  <c r="AX24" i="8" s="1"/>
  <c r="AV18" i="8"/>
  <c r="AX18" i="8" s="1"/>
  <c r="AV23" i="6"/>
  <c r="AX23" i="6" s="1"/>
  <c r="AV17" i="6"/>
  <c r="AX17" i="6" s="1"/>
  <c r="AV25" i="8"/>
  <c r="AX25" i="8" s="1"/>
  <c r="AV12" i="8"/>
  <c r="AX12" i="8" s="1"/>
  <c r="C28" i="7" l="1"/>
  <c r="C82" i="7"/>
  <c r="B9" i="6"/>
  <c r="AW9" i="6" s="1"/>
  <c r="P30" i="26"/>
  <c r="X21" i="6"/>
  <c r="W21" i="6"/>
  <c r="B93" i="2"/>
  <c r="B95" i="2" s="1"/>
  <c r="C93" i="2"/>
  <c r="C95" i="2" s="1"/>
  <c r="C96" i="2" s="1"/>
  <c r="B22" i="6"/>
  <c r="Y22" i="6" s="1"/>
  <c r="AV22" i="6" s="1"/>
  <c r="D34" i="5"/>
  <c r="C20" i="5"/>
  <c r="B23" i="8"/>
  <c r="AW23" i="8" s="1"/>
  <c r="D43" i="7"/>
  <c r="T9" i="8"/>
  <c r="AV9" i="8" s="1"/>
  <c r="AW9" i="8"/>
  <c r="AW8" i="6"/>
  <c r="L8" i="6"/>
  <c r="AV8" i="6" s="1"/>
  <c r="B30" i="7"/>
  <c r="B22" i="5"/>
  <c r="I59" i="2"/>
  <c r="B97" i="7" s="1"/>
  <c r="Q21" i="26" s="1"/>
  <c r="H59" i="2"/>
  <c r="B88" i="5" s="1"/>
  <c r="P21" i="26" s="1"/>
  <c r="F18" i="26"/>
  <c r="B7" i="7"/>
  <c r="E7" i="7" s="1"/>
  <c r="E11" i="7"/>
  <c r="F24" i="26"/>
  <c r="F17" i="26"/>
  <c r="B6" i="7"/>
  <c r="E6" i="7" s="1"/>
  <c r="F23" i="26"/>
  <c r="B10" i="7"/>
  <c r="E10" i="7" s="1"/>
  <c r="F16" i="26"/>
  <c r="B5" i="7"/>
  <c r="E5" i="7" s="1"/>
  <c r="F22" i="26"/>
  <c r="B9" i="7"/>
  <c r="E9" i="7" s="1"/>
  <c r="F15" i="26"/>
  <c r="B4" i="7"/>
  <c r="F21" i="26"/>
  <c r="B8" i="7"/>
  <c r="E8" i="7" s="1"/>
  <c r="E18" i="26"/>
  <c r="B8" i="5"/>
  <c r="E8" i="5" s="1"/>
  <c r="E24" i="26"/>
  <c r="B12" i="5"/>
  <c r="E12" i="5" s="1"/>
  <c r="E17" i="26"/>
  <c r="B7" i="5"/>
  <c r="E7" i="5" s="1"/>
  <c r="E23" i="26"/>
  <c r="B11" i="5"/>
  <c r="E11" i="5" s="1"/>
  <c r="E16" i="26"/>
  <c r="B6" i="5"/>
  <c r="E6" i="5" s="1"/>
  <c r="E22" i="26"/>
  <c r="B10" i="5"/>
  <c r="E10" i="5" s="1"/>
  <c r="E15" i="26"/>
  <c r="B5" i="5"/>
  <c r="E21" i="26"/>
  <c r="B9" i="5"/>
  <c r="E9" i="5" s="1"/>
  <c r="AW22" i="8"/>
  <c r="AE22" i="8"/>
  <c r="AF22" i="8"/>
  <c r="B96" i="2" l="1"/>
  <c r="B98" i="2" s="1"/>
  <c r="C98" i="2"/>
  <c r="B32" i="7" s="1"/>
  <c r="C59" i="7" s="1"/>
  <c r="B6" i="8" s="1"/>
  <c r="B10" i="8"/>
  <c r="Q30" i="26"/>
  <c r="O30" i="26" s="1"/>
  <c r="AV21" i="6"/>
  <c r="AX21" i="6" s="1"/>
  <c r="M9" i="6"/>
  <c r="AV9" i="6" s="1"/>
  <c r="AX9" i="6" s="1"/>
  <c r="AW22" i="6"/>
  <c r="AX22" i="6" s="1"/>
  <c r="D22" i="26"/>
  <c r="D18" i="26"/>
  <c r="AG23" i="8"/>
  <c r="AV23" i="8" s="1"/>
  <c r="AX23" i="8" s="1"/>
  <c r="D17" i="26"/>
  <c r="D24" i="26"/>
  <c r="AX9" i="8"/>
  <c r="D39" i="26"/>
  <c r="D41" i="26" s="1"/>
  <c r="F25" i="26"/>
  <c r="F19" i="26"/>
  <c r="D16" i="26"/>
  <c r="D23" i="26"/>
  <c r="O21" i="26"/>
  <c r="AX8" i="6"/>
  <c r="D46" i="7"/>
  <c r="D37" i="5"/>
  <c r="C13" i="5"/>
  <c r="C12" i="7"/>
  <c r="C58" i="7" s="1"/>
  <c r="E25" i="26"/>
  <c r="D21" i="26"/>
  <c r="B13" i="5"/>
  <c r="E5" i="5"/>
  <c r="E13" i="5" s="1"/>
  <c r="D15" i="26"/>
  <c r="E19" i="26"/>
  <c r="B12" i="7"/>
  <c r="E4" i="7"/>
  <c r="E12" i="7" s="1"/>
  <c r="AV22" i="8"/>
  <c r="AX22" i="8" s="1"/>
  <c r="C50" i="5" l="1"/>
  <c r="C90" i="5"/>
  <c r="C38" i="5"/>
  <c r="C47" i="7"/>
  <c r="C61" i="7"/>
  <c r="D39" i="5"/>
  <c r="C39" i="5" s="1"/>
  <c r="B24" i="5"/>
  <c r="C51" i="5" s="1"/>
  <c r="B6" i="6" s="1"/>
  <c r="H6" i="6" s="1"/>
  <c r="D53" i="5"/>
  <c r="D62" i="5"/>
  <c r="F7" i="27"/>
  <c r="D70" i="7"/>
  <c r="D67" i="7"/>
  <c r="D69" i="7"/>
  <c r="D71" i="7"/>
  <c r="D66" i="7"/>
  <c r="D68" i="7"/>
  <c r="D60" i="5"/>
  <c r="D58" i="5"/>
  <c r="D57" i="5"/>
  <c r="D59" i="5"/>
  <c r="D61" i="5"/>
  <c r="AW10" i="8"/>
  <c r="U10" i="8"/>
  <c r="AV10" i="8" s="1"/>
  <c r="D19" i="26"/>
  <c r="D25" i="26"/>
  <c r="F6" i="27"/>
  <c r="C100" i="7"/>
  <c r="C99" i="7"/>
  <c r="C89" i="5"/>
  <c r="U6" i="8"/>
  <c r="Q6" i="8"/>
  <c r="M6" i="8"/>
  <c r="I6" i="8"/>
  <c r="E6" i="8"/>
  <c r="X6" i="8"/>
  <c r="T6" i="8"/>
  <c r="P6" i="8"/>
  <c r="L6" i="8"/>
  <c r="H6" i="8"/>
  <c r="D6" i="8"/>
  <c r="AW6" i="8"/>
  <c r="R6" i="8"/>
  <c r="J6" i="8"/>
  <c r="V6" i="8"/>
  <c r="F6" i="8"/>
  <c r="S6" i="8"/>
  <c r="C6" i="8"/>
  <c r="W6" i="8"/>
  <c r="O6" i="8"/>
  <c r="G6" i="8"/>
  <c r="N6" i="8"/>
  <c r="K6" i="8"/>
  <c r="Y6" i="8"/>
  <c r="Z6" i="8"/>
  <c r="AA6" i="8"/>
  <c r="AB6" i="8"/>
  <c r="AC6" i="8"/>
  <c r="AD6" i="8"/>
  <c r="AE6" i="8"/>
  <c r="AF6" i="8"/>
  <c r="AG6" i="8"/>
  <c r="AH6" i="8"/>
  <c r="C98" i="7"/>
  <c r="C97" i="7"/>
  <c r="C88" i="5"/>
  <c r="F6" i="6"/>
  <c r="T6" i="6"/>
  <c r="L6" i="6"/>
  <c r="K6" i="6"/>
  <c r="D41" i="7"/>
  <c r="D79" i="7"/>
  <c r="D63" i="7"/>
  <c r="C78" i="7"/>
  <c r="D73" i="7"/>
  <c r="D84" i="7"/>
  <c r="D77" i="7"/>
  <c r="D72" i="7"/>
  <c r="C64" i="7"/>
  <c r="D62" i="7"/>
  <c r="D83" i="7"/>
  <c r="D59" i="7"/>
  <c r="D81" i="7"/>
  <c r="D82" i="7"/>
  <c r="C14" i="5"/>
  <c r="C37" i="5"/>
  <c r="D14" i="5"/>
  <c r="D33" i="5"/>
  <c r="D72" i="5"/>
  <c r="D70" i="5"/>
  <c r="D54" i="5"/>
  <c r="C55" i="5"/>
  <c r="D63" i="5"/>
  <c r="D68" i="5"/>
  <c r="D64" i="5"/>
  <c r="C69" i="5"/>
  <c r="D75" i="5"/>
  <c r="D74" i="5"/>
  <c r="D73" i="5"/>
  <c r="J6" i="6" l="1"/>
  <c r="R6" i="6"/>
  <c r="D51" i="5"/>
  <c r="N6" i="6"/>
  <c r="Z6" i="6"/>
  <c r="V6" i="6"/>
  <c r="Y6" i="6"/>
  <c r="X6" i="6"/>
  <c r="P6" i="6"/>
  <c r="C6" i="6"/>
  <c r="P31" i="26"/>
  <c r="AW6" i="6"/>
  <c r="E6" i="6"/>
  <c r="I6" i="6"/>
  <c r="M6" i="6"/>
  <c r="Q6" i="6"/>
  <c r="U6" i="6"/>
  <c r="W6" i="6"/>
  <c r="O6" i="6"/>
  <c r="G6" i="6"/>
  <c r="S6" i="6"/>
  <c r="Q31" i="26"/>
  <c r="D6" i="6"/>
  <c r="D61" i="7"/>
  <c r="B8" i="8"/>
  <c r="C76" i="5"/>
  <c r="C85" i="7"/>
  <c r="F8" i="27"/>
  <c r="AX10" i="8"/>
  <c r="AV6" i="8"/>
  <c r="AX6" i="8" s="1"/>
  <c r="D69" i="5"/>
  <c r="B18" i="6"/>
  <c r="B10" i="6"/>
  <c r="D55" i="5"/>
  <c r="D35" i="5"/>
  <c r="B33" i="5"/>
  <c r="C33" i="5"/>
  <c r="B5" i="6"/>
  <c r="C52" i="5"/>
  <c r="C65" i="5" s="1"/>
  <c r="D50" i="5"/>
  <c r="D64" i="7"/>
  <c r="B11" i="8"/>
  <c r="B19" i="8"/>
  <c r="D78" i="7"/>
  <c r="D44" i="7"/>
  <c r="B41" i="7"/>
  <c r="AV6" i="6" l="1"/>
  <c r="AX6" i="6" s="1"/>
  <c r="O31" i="26"/>
  <c r="J8" i="8"/>
  <c r="C8" i="8"/>
  <c r="AD8" i="8"/>
  <c r="AH8" i="8"/>
  <c r="O8" i="8"/>
  <c r="I8" i="8"/>
  <c r="Z8" i="8"/>
  <c r="AF8" i="8"/>
  <c r="Y8" i="8"/>
  <c r="E8" i="8"/>
  <c r="K8" i="8"/>
  <c r="AB8" i="8"/>
  <c r="Q8" i="8"/>
  <c r="AW8" i="8"/>
  <c r="AC8" i="8"/>
  <c r="AA8" i="8"/>
  <c r="U8" i="8"/>
  <c r="H8" i="8"/>
  <c r="G8" i="8"/>
  <c r="M8" i="8"/>
  <c r="AE8" i="8"/>
  <c r="T8" i="8"/>
  <c r="W8" i="8"/>
  <c r="D8" i="8"/>
  <c r="AG8" i="8"/>
  <c r="X8" i="8"/>
  <c r="P8" i="8"/>
  <c r="F8" i="8"/>
  <c r="L8" i="8"/>
  <c r="R8" i="8"/>
  <c r="N8" i="8"/>
  <c r="S8" i="8"/>
  <c r="V8" i="8"/>
  <c r="B25" i="6"/>
  <c r="D76" i="5"/>
  <c r="B26" i="8"/>
  <c r="D85" i="7"/>
  <c r="C67" i="5"/>
  <c r="P32" i="26" s="1"/>
  <c r="D48" i="7"/>
  <c r="D50" i="7"/>
  <c r="D40" i="5"/>
  <c r="B40" i="5" s="1"/>
  <c r="D53" i="7"/>
  <c r="L19" i="8"/>
  <c r="V19" i="8" s="1"/>
  <c r="AW19" i="8"/>
  <c r="U11" i="8"/>
  <c r="AV11" i="8" s="1"/>
  <c r="AW11" i="8"/>
  <c r="D65" i="5"/>
  <c r="B14" i="6"/>
  <c r="D52" i="5"/>
  <c r="B7" i="6"/>
  <c r="C7" i="6" s="1"/>
  <c r="C66" i="5"/>
  <c r="P35" i="26" s="1"/>
  <c r="V5" i="6"/>
  <c r="W5" i="6"/>
  <c r="X5" i="6"/>
  <c r="Y5" i="6"/>
  <c r="Z5" i="6"/>
  <c r="S5" i="6"/>
  <c r="O5" i="6"/>
  <c r="K5" i="6"/>
  <c r="G5" i="6"/>
  <c r="C5" i="6"/>
  <c r="Q5" i="6"/>
  <c r="I5" i="6"/>
  <c r="T5" i="6"/>
  <c r="L5" i="6"/>
  <c r="H5" i="6"/>
  <c r="R5" i="6"/>
  <c r="N5" i="6"/>
  <c r="J5" i="6"/>
  <c r="F5" i="6"/>
  <c r="U5" i="6"/>
  <c r="M5" i="6"/>
  <c r="E5" i="6"/>
  <c r="AW5" i="6"/>
  <c r="P5" i="6"/>
  <c r="D5" i="6"/>
  <c r="D45" i="5"/>
  <c r="D42" i="5"/>
  <c r="AW10" i="6"/>
  <c r="M10" i="6"/>
  <c r="AV10" i="6" s="1"/>
  <c r="L18" i="6"/>
  <c r="AW18" i="6"/>
  <c r="AV8" i="8" l="1"/>
  <c r="AX8" i="8" s="1"/>
  <c r="X25" i="6"/>
  <c r="N25" i="6"/>
  <c r="R25" i="6"/>
  <c r="M25" i="6"/>
  <c r="AW25" i="6"/>
  <c r="O25" i="6"/>
  <c r="T25" i="6"/>
  <c r="Q25" i="6"/>
  <c r="S25" i="6"/>
  <c r="P25" i="6"/>
  <c r="V25" i="6"/>
  <c r="W25" i="6"/>
  <c r="U25" i="6"/>
  <c r="V26" i="8"/>
  <c r="W26" i="8"/>
  <c r="M26" i="8"/>
  <c r="O26" i="8"/>
  <c r="U26" i="8"/>
  <c r="X26" i="8"/>
  <c r="K26" i="8"/>
  <c r="Q26" i="8"/>
  <c r="L26" i="8"/>
  <c r="AF26" i="8"/>
  <c r="R26" i="8"/>
  <c r="T26" i="8"/>
  <c r="AE26" i="8"/>
  <c r="AW26" i="8"/>
  <c r="AD26" i="8"/>
  <c r="N26" i="8"/>
  <c r="AC26" i="8"/>
  <c r="P26" i="8"/>
  <c r="AB26" i="8"/>
  <c r="AA26" i="8"/>
  <c r="Z26" i="8"/>
  <c r="Y26" i="8"/>
  <c r="S26" i="8"/>
  <c r="B16" i="6"/>
  <c r="C16" i="6" s="1"/>
  <c r="D67" i="5"/>
  <c r="AX11" i="8"/>
  <c r="V18" i="6"/>
  <c r="AX10" i="6"/>
  <c r="C40" i="5"/>
  <c r="D41" i="5"/>
  <c r="D43" i="5" s="1"/>
  <c r="C71" i="5"/>
  <c r="B45" i="5"/>
  <c r="C45" i="5"/>
  <c r="AV5" i="6"/>
  <c r="AX5" i="6" s="1"/>
  <c r="B15" i="6"/>
  <c r="C15" i="6" s="1"/>
  <c r="D66" i="5"/>
  <c r="W7" i="6"/>
  <c r="X7" i="6"/>
  <c r="Y7" i="6"/>
  <c r="Z7" i="6"/>
  <c r="U7" i="6"/>
  <c r="Q7" i="6"/>
  <c r="M7" i="6"/>
  <c r="I7" i="6"/>
  <c r="E7" i="6"/>
  <c r="K7" i="6"/>
  <c r="V7" i="6"/>
  <c r="R7" i="6"/>
  <c r="N7" i="6"/>
  <c r="J7" i="6"/>
  <c r="AW7" i="6"/>
  <c r="T7" i="6"/>
  <c r="P7" i="6"/>
  <c r="L7" i="6"/>
  <c r="H7" i="6"/>
  <c r="D7" i="6"/>
  <c r="S7" i="6"/>
  <c r="O7" i="6"/>
  <c r="G7" i="6"/>
  <c r="F7" i="6"/>
  <c r="S14" i="6"/>
  <c r="O14" i="6"/>
  <c r="K14" i="6"/>
  <c r="G14" i="6"/>
  <c r="AW14" i="6"/>
  <c r="M14" i="6"/>
  <c r="E14" i="6"/>
  <c r="P14" i="6"/>
  <c r="L14" i="6"/>
  <c r="H14" i="6"/>
  <c r="R14" i="6"/>
  <c r="N14" i="6"/>
  <c r="J14" i="6"/>
  <c r="F14" i="6"/>
  <c r="Q14" i="6"/>
  <c r="I14" i="6"/>
  <c r="AV19" i="8"/>
  <c r="AX19" i="8" s="1"/>
  <c r="B48" i="7"/>
  <c r="D49" i="7"/>
  <c r="D51" i="7" s="1"/>
  <c r="C80" i="7"/>
  <c r="B53" i="7"/>
  <c r="AV25" i="6" l="1"/>
  <c r="AX25" i="6" s="1"/>
  <c r="AV26" i="8"/>
  <c r="AX26" i="8" s="1"/>
  <c r="J26" i="6"/>
  <c r="J42" i="6" s="1"/>
  <c r="AW16" i="6"/>
  <c r="G16" i="6"/>
  <c r="C26" i="6"/>
  <c r="C29" i="6" s="1"/>
  <c r="C37" i="6" s="1"/>
  <c r="M16" i="6"/>
  <c r="T16" i="6"/>
  <c r="X16" i="6"/>
  <c r="V16" i="6"/>
  <c r="P16" i="6"/>
  <c r="E16" i="6"/>
  <c r="N16" i="6"/>
  <c r="W16" i="6"/>
  <c r="F16" i="6"/>
  <c r="O16" i="6"/>
  <c r="U16" i="6"/>
  <c r="S16" i="6"/>
  <c r="D16" i="6"/>
  <c r="Q16" i="6"/>
  <c r="R16" i="6"/>
  <c r="H26" i="6"/>
  <c r="H42" i="6" s="1"/>
  <c r="C77" i="5"/>
  <c r="P34" i="26"/>
  <c r="D80" i="7"/>
  <c r="B21" i="8"/>
  <c r="D54" i="7"/>
  <c r="B51" i="7"/>
  <c r="AV14" i="6"/>
  <c r="AX14" i="6" s="1"/>
  <c r="L26" i="6"/>
  <c r="AV7" i="6"/>
  <c r="AX7" i="6" s="1"/>
  <c r="K26" i="6"/>
  <c r="I26" i="6"/>
  <c r="U15" i="6"/>
  <c r="V15" i="6"/>
  <c r="V26" i="6" s="1"/>
  <c r="W15" i="6"/>
  <c r="X15" i="6"/>
  <c r="AW15" i="6"/>
  <c r="R15" i="6"/>
  <c r="N15" i="6"/>
  <c r="E15" i="6"/>
  <c r="G15" i="6"/>
  <c r="S15" i="6"/>
  <c r="Q15" i="6"/>
  <c r="M15" i="6"/>
  <c r="D15" i="6"/>
  <c r="T15" i="6"/>
  <c r="P15" i="6"/>
  <c r="O15" i="6"/>
  <c r="F15" i="6"/>
  <c r="D71" i="5"/>
  <c r="B20" i="6"/>
  <c r="B26" i="6" s="1"/>
  <c r="C43" i="5"/>
  <c r="D46" i="5"/>
  <c r="B43" i="5"/>
  <c r="W18" i="6"/>
  <c r="H68" i="2" l="1"/>
  <c r="H72" i="2"/>
  <c r="J6" i="27"/>
  <c r="H64" i="2"/>
  <c r="O26" i="6"/>
  <c r="O42" i="6" s="1"/>
  <c r="D77" i="5"/>
  <c r="B87" i="5"/>
  <c r="P26" i="6"/>
  <c r="P42" i="6" s="1"/>
  <c r="N26" i="6"/>
  <c r="N42" i="6" s="1"/>
  <c r="R26" i="6"/>
  <c r="R42" i="6" s="1"/>
  <c r="D26" i="6"/>
  <c r="D42" i="6" s="1"/>
  <c r="C42" i="6"/>
  <c r="W26" i="6"/>
  <c r="W42" i="6" s="1"/>
  <c r="H60" i="2"/>
  <c r="M26" i="6"/>
  <c r="M42" i="6" s="1"/>
  <c r="AV16" i="6"/>
  <c r="AX16" i="6" s="1"/>
  <c r="T26" i="6"/>
  <c r="T42" i="6" s="1"/>
  <c r="Q26" i="6"/>
  <c r="Q42" i="6" s="1"/>
  <c r="S26" i="6"/>
  <c r="S42" i="6" s="1"/>
  <c r="P7" i="26"/>
  <c r="X18" i="6"/>
  <c r="P36" i="26"/>
  <c r="V42" i="6"/>
  <c r="I42" i="6"/>
  <c r="K42" i="6"/>
  <c r="L42" i="6"/>
  <c r="F26" i="6"/>
  <c r="G26" i="6"/>
  <c r="E26" i="6"/>
  <c r="B46" i="5"/>
  <c r="B78" i="5"/>
  <c r="P9" i="26" s="1"/>
  <c r="D47" i="5"/>
  <c r="I6" i="27" s="1"/>
  <c r="AW20" i="6"/>
  <c r="AW26" i="6" s="1"/>
  <c r="Z20" i="6"/>
  <c r="Y20" i="6"/>
  <c r="AV15" i="6"/>
  <c r="AX15" i="6" s="1"/>
  <c r="B54" i="7"/>
  <c r="D55" i="7"/>
  <c r="I7" i="27" s="1"/>
  <c r="AH21" i="8"/>
  <c r="AG21" i="8"/>
  <c r="AW21" i="8"/>
  <c r="U26" i="6"/>
  <c r="H80" i="2" l="1"/>
  <c r="A92" i="5" s="1"/>
  <c r="B92" i="5" s="1"/>
  <c r="B93" i="5" s="1"/>
  <c r="P20" i="26"/>
  <c r="L6" i="27"/>
  <c r="B100" i="5"/>
  <c r="B31" i="6"/>
  <c r="B32" i="6" s="1"/>
  <c r="C87" i="5"/>
  <c r="B112" i="5"/>
  <c r="I8" i="27"/>
  <c r="Y18" i="6"/>
  <c r="X26" i="6"/>
  <c r="X42" i="6" s="1"/>
  <c r="AV20" i="6"/>
  <c r="AX20" i="6" s="1"/>
  <c r="U42" i="6"/>
  <c r="E42" i="6"/>
  <c r="G42" i="6"/>
  <c r="F42" i="6"/>
  <c r="AV21" i="8"/>
  <c r="Q8" i="26"/>
  <c r="B106" i="7"/>
  <c r="B89" i="7"/>
  <c r="P8" i="26"/>
  <c r="B79" i="5"/>
  <c r="B81" i="5"/>
  <c r="M6" i="27" s="1"/>
  <c r="B97" i="5"/>
  <c r="B80" i="5"/>
  <c r="P27" i="26" l="1"/>
  <c r="P28" i="26" s="1"/>
  <c r="K6" i="27"/>
  <c r="C92" i="5"/>
  <c r="B30" i="6"/>
  <c r="B101" i="5"/>
  <c r="C93" i="5"/>
  <c r="Z18" i="6"/>
  <c r="Z26" i="6" s="1"/>
  <c r="Y26" i="6"/>
  <c r="Y42" i="6" s="1"/>
  <c r="B98" i="5"/>
  <c r="B99" i="5" s="1"/>
  <c r="B36" i="6" s="1"/>
  <c r="Z37" i="6" s="1"/>
  <c r="B104" i="5"/>
  <c r="B85" i="5"/>
  <c r="B86" i="5" s="1"/>
  <c r="C30" i="6"/>
  <c r="B113" i="7"/>
  <c r="B107" i="7"/>
  <c r="B108" i="7" s="1"/>
  <c r="O8" i="26"/>
  <c r="AX21" i="8"/>
  <c r="D29" i="6" l="1"/>
  <c r="AV18" i="6"/>
  <c r="C86" i="5"/>
  <c r="C85" i="5"/>
  <c r="B114" i="7"/>
  <c r="B27" i="6"/>
  <c r="B105" i="5"/>
  <c r="B102" i="5"/>
  <c r="D37" i="6" l="1"/>
  <c r="D30" i="6"/>
  <c r="E29" i="6" s="1"/>
  <c r="E30" i="6" s="1"/>
  <c r="F29" i="6" s="1"/>
  <c r="F30" i="6" s="1"/>
  <c r="G29" i="6" s="1"/>
  <c r="AX18" i="6"/>
  <c r="AV26" i="6"/>
  <c r="B28" i="6"/>
  <c r="B41" i="6"/>
  <c r="Z42" i="6" s="1"/>
  <c r="B109" i="5"/>
  <c r="P14" i="26" s="1"/>
  <c r="B42" i="6" l="1"/>
  <c r="G37" i="6"/>
  <c r="F37" i="6"/>
  <c r="E37" i="6"/>
  <c r="G30" i="6"/>
  <c r="H29" i="6" s="1"/>
  <c r="H30" i="6" s="1"/>
  <c r="B43" i="6" l="1"/>
  <c r="B44" i="6" s="1"/>
  <c r="B111" i="5" s="1"/>
  <c r="H37" i="6"/>
  <c r="I29" i="6"/>
  <c r="I30" i="6" s="1"/>
  <c r="J29" i="6" s="1"/>
  <c r="P12" i="26" l="1"/>
  <c r="O6" i="27"/>
  <c r="J37" i="6"/>
  <c r="I37" i="6"/>
  <c r="J30" i="6"/>
  <c r="K29" i="6" s="1"/>
  <c r="K37" i="6" l="1"/>
  <c r="K30" i="6"/>
  <c r="L29" i="6" s="1"/>
  <c r="L37" i="6" l="1"/>
  <c r="L30" i="6"/>
  <c r="M29" i="6" s="1"/>
  <c r="M37" i="6" l="1"/>
  <c r="M30" i="6"/>
  <c r="N29" i="6" s="1"/>
  <c r="N37" i="6" l="1"/>
  <c r="N30" i="6"/>
  <c r="O29" i="6" s="1"/>
  <c r="O37" i="6" l="1"/>
  <c r="O30" i="6"/>
  <c r="P29" i="6" s="1"/>
  <c r="P37" i="6" s="1"/>
  <c r="B29" i="6" l="1"/>
  <c r="P30" i="6"/>
  <c r="Q29" i="6" s="1"/>
  <c r="Q37" i="6" l="1"/>
  <c r="Q30" i="6"/>
  <c r="R29" i="6" s="1"/>
  <c r="R37" i="6" l="1"/>
  <c r="R30" i="6"/>
  <c r="S29" i="6" s="1"/>
  <c r="S37" i="6" l="1"/>
  <c r="S30" i="6"/>
  <c r="T29" i="6" s="1"/>
  <c r="T37" i="6" l="1"/>
  <c r="T30" i="6"/>
  <c r="U29" i="6" s="1"/>
  <c r="U37" i="6" l="1"/>
  <c r="U30" i="6"/>
  <c r="V29" i="6" s="1"/>
  <c r="V30" i="6" s="1"/>
  <c r="V37" i="6" l="1"/>
  <c r="B38" i="6" s="1"/>
  <c r="B39" i="6" s="1"/>
  <c r="B110" i="5" l="1"/>
  <c r="N6" i="27" s="1"/>
  <c r="B37" i="6"/>
  <c r="D9" i="2" l="1"/>
  <c r="E46" i="26" s="1"/>
  <c r="D14" i="2"/>
  <c r="E47" i="26" s="1"/>
  <c r="D19" i="2"/>
  <c r="E48" i="26" s="1"/>
  <c r="D24" i="2" l="1"/>
  <c r="E49" i="26" s="1"/>
  <c r="D58" i="7"/>
  <c r="C51" i="7"/>
  <c r="C53" i="7"/>
  <c r="C48" i="7"/>
  <c r="C41" i="7"/>
  <c r="C13" i="7"/>
  <c r="C46" i="7"/>
  <c r="D13" i="7"/>
  <c r="E24" i="2" l="1"/>
  <c r="F49" i="26" s="1"/>
  <c r="B5" i="8"/>
  <c r="C60" i="7"/>
  <c r="Q34" i="26" s="1"/>
  <c r="O34" i="26" l="1"/>
  <c r="C74" i="7"/>
  <c r="C75" i="7" s="1"/>
  <c r="Q35" i="26" s="1"/>
  <c r="O35" i="26" s="1"/>
  <c r="C76" i="7"/>
  <c r="B7" i="8"/>
  <c r="D60" i="7"/>
  <c r="AH5" i="8"/>
  <c r="X5" i="8"/>
  <c r="V5" i="8"/>
  <c r="U5" i="8"/>
  <c r="AG5" i="8"/>
  <c r="AW5" i="8"/>
  <c r="E5" i="8"/>
  <c r="C5" i="8"/>
  <c r="L5" i="8"/>
  <c r="K5" i="8"/>
  <c r="I5" i="8"/>
  <c r="R5" i="8"/>
  <c r="N5" i="8"/>
  <c r="G5" i="8"/>
  <c r="Q5" i="8"/>
  <c r="M5" i="8"/>
  <c r="D5" i="8"/>
  <c r="T5" i="8"/>
  <c r="P5" i="8"/>
  <c r="O5" i="8"/>
  <c r="F5" i="8"/>
  <c r="W5" i="8"/>
  <c r="S5" i="8"/>
  <c r="J5" i="8"/>
  <c r="AF5" i="8"/>
  <c r="AE5" i="8"/>
  <c r="AD5" i="8"/>
  <c r="AC5" i="8"/>
  <c r="AB5" i="8"/>
  <c r="AA5" i="8"/>
  <c r="Z5" i="8"/>
  <c r="Y5" i="8"/>
  <c r="H5" i="8"/>
  <c r="Q32" i="26" l="1"/>
  <c r="O32" i="26" s="1"/>
  <c r="D76" i="7"/>
  <c r="D74" i="7"/>
  <c r="B15" i="8"/>
  <c r="AW15" i="8" s="1"/>
  <c r="B17" i="8"/>
  <c r="U17" i="8" s="1"/>
  <c r="D75" i="7"/>
  <c r="B16" i="8"/>
  <c r="C86" i="7"/>
  <c r="AV5" i="8"/>
  <c r="AX5" i="8" s="1"/>
  <c r="AW7" i="8"/>
  <c r="C7" i="8"/>
  <c r="G7" i="8"/>
  <c r="W7" i="8"/>
  <c r="H7" i="8"/>
  <c r="X7" i="8"/>
  <c r="K7" i="8"/>
  <c r="S7" i="8"/>
  <c r="O7" i="8"/>
  <c r="P7" i="8"/>
  <c r="D7" i="8"/>
  <c r="L7" i="8"/>
  <c r="T7" i="8"/>
  <c r="T27" i="8" s="1"/>
  <c r="T42" i="8" s="1"/>
  <c r="T8" i="21" s="1"/>
  <c r="E7" i="8"/>
  <c r="I7" i="8"/>
  <c r="M7" i="8"/>
  <c r="Q7" i="8"/>
  <c r="U7" i="8"/>
  <c r="F7" i="8"/>
  <c r="J7" i="8"/>
  <c r="N7" i="8"/>
  <c r="R7" i="8"/>
  <c r="V7" i="8"/>
  <c r="AH7" i="8"/>
  <c r="AH27" i="8" s="1"/>
  <c r="AG7" i="8"/>
  <c r="AG27" i="8" s="1"/>
  <c r="AF7" i="8"/>
  <c r="AE7" i="8"/>
  <c r="AD7" i="8"/>
  <c r="AC7" i="8"/>
  <c r="AB7" i="8"/>
  <c r="AA7" i="8"/>
  <c r="Z7" i="8"/>
  <c r="Y7" i="8"/>
  <c r="AC17" i="8"/>
  <c r="M15" i="8"/>
  <c r="E17" i="8" l="1"/>
  <c r="F17" i="8"/>
  <c r="I78" i="2"/>
  <c r="I60" i="2"/>
  <c r="D17" i="8"/>
  <c r="D27" i="8" s="1"/>
  <c r="D42" i="8" s="1"/>
  <c r="D8" i="21" s="1"/>
  <c r="C17" i="8"/>
  <c r="C27" i="8" s="1"/>
  <c r="AW17" i="8"/>
  <c r="B27" i="8"/>
  <c r="Q15" i="8"/>
  <c r="Q27" i="8" s="1"/>
  <c r="Q42" i="8" s="1"/>
  <c r="Q8" i="21" s="1"/>
  <c r="I15" i="8"/>
  <c r="I27" i="8" s="1"/>
  <c r="I42" i="8" s="1"/>
  <c r="I8" i="21" s="1"/>
  <c r="L15" i="8"/>
  <c r="L27" i="8" s="1"/>
  <c r="L42" i="8" s="1"/>
  <c r="L8" i="21" s="1"/>
  <c r="R15" i="8"/>
  <c r="R27" i="8" s="1"/>
  <c r="R42" i="8" s="1"/>
  <c r="R8" i="21" s="1"/>
  <c r="P15" i="8"/>
  <c r="P27" i="8" s="1"/>
  <c r="P42" i="8" s="1"/>
  <c r="P8" i="21" s="1"/>
  <c r="J15" i="8"/>
  <c r="J27" i="8" s="1"/>
  <c r="J42" i="8" s="1"/>
  <c r="J8" i="21" s="1"/>
  <c r="O15" i="8"/>
  <c r="O27" i="8" s="1"/>
  <c r="O42" i="8" s="1"/>
  <c r="O8" i="21" s="1"/>
  <c r="H15" i="8"/>
  <c r="N15" i="8"/>
  <c r="N27" i="8" s="1"/>
  <c r="N42" i="8" s="1"/>
  <c r="N8" i="21" s="1"/>
  <c r="S15" i="8"/>
  <c r="S27" i="8" s="1"/>
  <c r="S42" i="8" s="1"/>
  <c r="S8" i="21" s="1"/>
  <c r="G15" i="8"/>
  <c r="F15" i="8"/>
  <c r="K15" i="8"/>
  <c r="K27" i="8" s="1"/>
  <c r="K42" i="8" s="1"/>
  <c r="K8" i="21" s="1"/>
  <c r="E15" i="8"/>
  <c r="W17" i="8"/>
  <c r="X17" i="8"/>
  <c r="Y17" i="8"/>
  <c r="Z17" i="8"/>
  <c r="AA17" i="8"/>
  <c r="Q36" i="26"/>
  <c r="O36" i="26" s="1"/>
  <c r="N34" i="26" s="1"/>
  <c r="AB17" i="8"/>
  <c r="AD17" i="8"/>
  <c r="AE17" i="8"/>
  <c r="AF17" i="8"/>
  <c r="Z16" i="8"/>
  <c r="G17" i="8"/>
  <c r="V17" i="8"/>
  <c r="AD16" i="8"/>
  <c r="Q7" i="26"/>
  <c r="O7" i="26" s="1"/>
  <c r="B90" i="7"/>
  <c r="M7" i="27" s="1"/>
  <c r="B96" i="7"/>
  <c r="B88" i="7"/>
  <c r="D86" i="7"/>
  <c r="U16" i="8"/>
  <c r="U27" i="8" s="1"/>
  <c r="U42" i="8" s="1"/>
  <c r="U8" i="21" s="1"/>
  <c r="AW16" i="8"/>
  <c r="B87" i="7"/>
  <c r="Q9" i="26" s="1"/>
  <c r="O9" i="26" s="1"/>
  <c r="W16" i="8"/>
  <c r="AE16" i="8"/>
  <c r="X16" i="8"/>
  <c r="AB16" i="8"/>
  <c r="AF16" i="8"/>
  <c r="G16" i="8"/>
  <c r="AA16" i="8"/>
  <c r="V16" i="8"/>
  <c r="Y16" i="8"/>
  <c r="AC16" i="8"/>
  <c r="AC27" i="8" s="1"/>
  <c r="F16" i="8"/>
  <c r="E16" i="8"/>
  <c r="J7" i="27"/>
  <c r="J8" i="27" s="1"/>
  <c r="I64" i="2"/>
  <c r="I75" i="2"/>
  <c r="M27" i="8"/>
  <c r="M42" i="8" s="1"/>
  <c r="M8" i="21" s="1"/>
  <c r="AV7" i="8"/>
  <c r="AX7" i="8" s="1"/>
  <c r="B109" i="7" l="1"/>
  <c r="B36" i="8" s="1"/>
  <c r="AH37" i="8" s="1"/>
  <c r="AH4" i="21" s="1"/>
  <c r="L7" i="27"/>
  <c r="L8" i="27" s="1"/>
  <c r="B94" i="7"/>
  <c r="C94" i="7" s="1"/>
  <c r="M8" i="27"/>
  <c r="F27" i="8"/>
  <c r="F42" i="8" s="1"/>
  <c r="F8" i="21" s="1"/>
  <c r="X27" i="8"/>
  <c r="X42" i="8" s="1"/>
  <c r="X8" i="21" s="1"/>
  <c r="AW27" i="8"/>
  <c r="AA27" i="8"/>
  <c r="AV15" i="8"/>
  <c r="AX15" i="8" s="1"/>
  <c r="E27" i="8"/>
  <c r="E42" i="8" s="1"/>
  <c r="E8" i="21" s="1"/>
  <c r="H27" i="8"/>
  <c r="H42" i="8" s="1"/>
  <c r="H8" i="21" s="1"/>
  <c r="W27" i="8"/>
  <c r="W42" i="8" s="1"/>
  <c r="W8" i="21" s="1"/>
  <c r="Y27" i="8"/>
  <c r="Z27" i="8"/>
  <c r="N32" i="26"/>
  <c r="AD27" i="8"/>
  <c r="N35" i="26"/>
  <c r="AV17" i="8"/>
  <c r="AX17" i="8" s="1"/>
  <c r="N33" i="26"/>
  <c r="N30" i="26"/>
  <c r="V27" i="8"/>
  <c r="V42" i="8" s="1"/>
  <c r="V8" i="21" s="1"/>
  <c r="AE27" i="8"/>
  <c r="N31" i="26"/>
  <c r="G27" i="8"/>
  <c r="G42" i="8" s="1"/>
  <c r="G8" i="21" s="1"/>
  <c r="AF27" i="8"/>
  <c r="B32" i="8"/>
  <c r="B33" i="8" s="1"/>
  <c r="B121" i="7"/>
  <c r="I80" i="2"/>
  <c r="A101" i="7" s="1"/>
  <c r="AV16" i="8"/>
  <c r="AX16" i="8" s="1"/>
  <c r="Q20" i="26"/>
  <c r="O20" i="26" s="1"/>
  <c r="C96" i="7"/>
  <c r="AB27" i="8"/>
  <c r="B28" i="8"/>
  <c r="B95" i="7"/>
  <c r="C95" i="7" s="1"/>
  <c r="C42" i="8"/>
  <c r="C8" i="21" s="1"/>
  <c r="C30" i="8"/>
  <c r="B101" i="7" l="1"/>
  <c r="AV27" i="8"/>
  <c r="C37" i="8"/>
  <c r="C4" i="21" s="1"/>
  <c r="C31" i="8"/>
  <c r="B41" i="8"/>
  <c r="AH42" i="8" s="1"/>
  <c r="AH8" i="21" s="1"/>
  <c r="B29" i="8"/>
  <c r="B102" i="7" l="1"/>
  <c r="C102" i="7" s="1"/>
  <c r="K7" i="27"/>
  <c r="K8" i="27" s="1"/>
  <c r="B110" i="7"/>
  <c r="B111" i="7" s="1"/>
  <c r="B118" i="7" s="1"/>
  <c r="Q14" i="26" s="1"/>
  <c r="Q27" i="26"/>
  <c r="B31" i="8"/>
  <c r="AM42" i="8" s="1"/>
  <c r="AM8" i="21" s="1"/>
  <c r="C101" i="7"/>
  <c r="D30" i="8" l="1"/>
  <c r="D31" i="8" s="1"/>
  <c r="E30" i="8" s="1"/>
  <c r="AI42" i="8"/>
  <c r="AI8" i="21" s="1"/>
  <c r="O27" i="26"/>
  <c r="Q28" i="26"/>
  <c r="AQ42" i="8"/>
  <c r="AQ8" i="21" s="1"/>
  <c r="O28" i="26"/>
  <c r="N27" i="26" s="1"/>
  <c r="AL42" i="8"/>
  <c r="AL8" i="21" s="1"/>
  <c r="AN42" i="8"/>
  <c r="AN8" i="21" s="1"/>
  <c r="AR42" i="8"/>
  <c r="AR8" i="21" s="1"/>
  <c r="AP42" i="8"/>
  <c r="AP8" i="21" s="1"/>
  <c r="O14" i="26"/>
  <c r="AJ42" i="8"/>
  <c r="AJ8" i="21" s="1"/>
  <c r="AK42" i="8"/>
  <c r="AK8" i="21" s="1"/>
  <c r="AO42" i="8"/>
  <c r="AO8" i="21" s="1"/>
  <c r="D37" i="8"/>
  <c r="D4" i="21" s="1"/>
  <c r="E37" i="8"/>
  <c r="E4" i="21" s="1"/>
  <c r="E31" i="8"/>
  <c r="F30" i="8" s="1"/>
  <c r="N26" i="26" l="1"/>
  <c r="N20" i="26"/>
  <c r="N22" i="26"/>
  <c r="N23" i="26"/>
  <c r="N24" i="26"/>
  <c r="N21" i="26"/>
  <c r="N25" i="26"/>
  <c r="F37" i="8"/>
  <c r="F4" i="21" s="1"/>
  <c r="F31" i="8"/>
  <c r="G30" i="8" s="1"/>
  <c r="G37" i="8" l="1"/>
  <c r="G4" i="21" s="1"/>
  <c r="G31" i="8"/>
  <c r="H30" i="8" s="1"/>
  <c r="H37" i="8" l="1"/>
  <c r="H4" i="21" s="1"/>
  <c r="H31" i="8"/>
  <c r="I30" i="8" s="1"/>
  <c r="I37" i="8" l="1"/>
  <c r="I4" i="21" s="1"/>
  <c r="I31" i="8"/>
  <c r="J30" i="8" s="1"/>
  <c r="J37" i="8" l="1"/>
  <c r="J4" i="21" s="1"/>
  <c r="J31" i="8"/>
  <c r="K30" i="8" s="1"/>
  <c r="K37" i="8" l="1"/>
  <c r="K4" i="21" s="1"/>
  <c r="K31" i="8"/>
  <c r="L30" i="8" s="1"/>
  <c r="L37" i="8" l="1"/>
  <c r="L4" i="21" s="1"/>
  <c r="L31" i="8"/>
  <c r="M30" i="8" s="1"/>
  <c r="M37" i="8" l="1"/>
  <c r="M4" i="21" s="1"/>
  <c r="M31" i="8"/>
  <c r="N30" i="8" s="1"/>
  <c r="N37" i="8" l="1"/>
  <c r="N4" i="21" s="1"/>
  <c r="N31" i="8"/>
  <c r="O30" i="8" s="1"/>
  <c r="O37" i="8" l="1"/>
  <c r="O4" i="21" s="1"/>
  <c r="O31" i="8"/>
  <c r="P30" i="8" s="1"/>
  <c r="P37" i="8" l="1"/>
  <c r="P4" i="21" s="1"/>
  <c r="P31" i="8"/>
  <c r="Q30" i="8" s="1"/>
  <c r="Q37" i="8" l="1"/>
  <c r="Q4" i="21" s="1"/>
  <c r="Q31" i="8"/>
  <c r="R30" i="8" s="1"/>
  <c r="R37" i="8" l="1"/>
  <c r="R4" i="21" s="1"/>
  <c r="R31" i="8"/>
  <c r="S30" i="8" s="1"/>
  <c r="S37" i="8" l="1"/>
  <c r="S4" i="21" s="1"/>
  <c r="S31" i="8"/>
  <c r="T30" i="8" s="1"/>
  <c r="T37" i="8" l="1"/>
  <c r="T4" i="21" s="1"/>
  <c r="T31" i="8"/>
  <c r="U30" i="8" s="1"/>
  <c r="U37" i="8" l="1"/>
  <c r="U4" i="21" s="1"/>
  <c r="U31" i="8"/>
  <c r="V30" i="8" s="1"/>
  <c r="V37" i="8" l="1"/>
  <c r="V4" i="21" s="1"/>
  <c r="V31" i="8"/>
  <c r="W30" i="8" s="1"/>
  <c r="W37" i="8" l="1"/>
  <c r="W4" i="21" s="1"/>
  <c r="W31" i="8"/>
  <c r="X30" i="8" s="1"/>
  <c r="X31" i="8" s="1"/>
  <c r="Y30" i="8" s="1"/>
  <c r="Y37" i="8" s="1"/>
  <c r="Y4" i="21" s="1"/>
  <c r="X37" i="8" l="1"/>
  <c r="X4" i="21" s="1"/>
  <c r="Y31" i="8"/>
  <c r="Z30" i="8" l="1"/>
  <c r="Y42" i="8"/>
  <c r="Y8" i="21" s="1"/>
  <c r="Z37" i="8" l="1"/>
  <c r="Z4" i="21" s="1"/>
  <c r="Z31" i="8"/>
  <c r="AA30" i="8" l="1"/>
  <c r="Z42" i="8"/>
  <c r="Z8" i="21" s="1"/>
  <c r="AA37" i="8" l="1"/>
  <c r="AA4" i="21" s="1"/>
  <c r="AA31" i="8"/>
  <c r="AB30" i="8" l="1"/>
  <c r="AA42" i="8"/>
  <c r="AA8" i="21" s="1"/>
  <c r="AB37" i="8" l="1"/>
  <c r="AB4" i="21" s="1"/>
  <c r="AB31" i="8"/>
  <c r="AC30" i="8" l="1"/>
  <c r="AB42" i="8"/>
  <c r="AB8" i="21" s="1"/>
  <c r="AC37" i="8" l="1"/>
  <c r="AC4" i="21" s="1"/>
  <c r="AC31" i="8"/>
  <c r="AD30" i="8" l="1"/>
  <c r="AC42" i="8"/>
  <c r="AC8" i="21" s="1"/>
  <c r="AD37" i="8" l="1"/>
  <c r="AD4" i="21" s="1"/>
  <c r="AD31" i="8"/>
  <c r="AE30" i="8" l="1"/>
  <c r="AD42" i="8"/>
  <c r="AD8" i="21" s="1"/>
  <c r="AE37" i="8" l="1"/>
  <c r="AE4" i="21" s="1"/>
  <c r="AE31" i="8"/>
  <c r="AF30" i="8" l="1"/>
  <c r="AE42" i="8"/>
  <c r="AE8" i="21" s="1"/>
  <c r="AF37" i="8" l="1"/>
  <c r="AF4" i="21" s="1"/>
  <c r="AF31" i="8"/>
  <c r="AG30" i="8" l="1"/>
  <c r="AF42" i="8"/>
  <c r="AF8" i="21" s="1"/>
  <c r="AG37" i="8" l="1"/>
  <c r="AG31" i="8"/>
  <c r="B37" i="8" l="1"/>
  <c r="B38" i="8" s="1"/>
  <c r="B39" i="8" s="1"/>
  <c r="AG4" i="21"/>
  <c r="AG42" i="8"/>
  <c r="AG8" i="21" s="1"/>
  <c r="AH30" i="8"/>
  <c r="B30" i="8" s="1"/>
  <c r="B119" i="7" l="1"/>
  <c r="AH31" i="8"/>
  <c r="B8" i="21"/>
  <c r="B9" i="21" s="1"/>
  <c r="B10" i="21" s="1"/>
  <c r="B42" i="8"/>
  <c r="B43" i="8" s="1"/>
  <c r="B4" i="21"/>
  <c r="B5" i="21" s="1"/>
  <c r="B6" i="21" s="1"/>
  <c r="P13" i="26"/>
  <c r="O13" i="26" l="1"/>
  <c r="N8" i="27"/>
  <c r="O12" i="26"/>
  <c r="O8" i="27"/>
  <c r="Q13" i="26"/>
  <c r="N7" i="27"/>
  <c r="B44" i="8"/>
  <c r="B120" i="7" s="1"/>
  <c r="W29" i="6"/>
  <c r="W30" i="6" s="1"/>
  <c r="X29" i="6" s="1"/>
  <c r="X30" i="6" s="1"/>
  <c r="Y29" i="6" s="1"/>
  <c r="Y30" i="6" s="1"/>
  <c r="Z29" i="6" s="1"/>
  <c r="Z30" i="6" s="1"/>
  <c r="Q12" i="26" l="1"/>
  <c r="O7" i="27"/>
</calcChain>
</file>

<file path=xl/sharedStrings.xml><?xml version="1.0" encoding="utf-8"?>
<sst xmlns="http://schemas.openxmlformats.org/spreadsheetml/2006/main" count="922" uniqueCount="524">
  <si>
    <t>THE QUILT</t>
  </si>
  <si>
    <t>Market Research</t>
  </si>
  <si>
    <t>Key Takeaways</t>
  </si>
  <si>
    <r>
      <rPr>
        <b/>
        <sz val="10"/>
        <color rgb="FF000000"/>
        <rFont val="Arial"/>
        <family val="2"/>
      </rPr>
      <t>Multifamily Housing</t>
    </r>
    <r>
      <rPr>
        <sz val="10"/>
        <color rgb="FF000000"/>
        <rFont val="Arial"/>
        <family val="2"/>
      </rPr>
      <t xml:space="preserve"> (Source: CoStar)</t>
    </r>
  </si>
  <si>
    <r>
      <rPr>
        <b/>
        <sz val="10"/>
        <color rgb="FF000000"/>
        <rFont val="Arial"/>
        <family val="2"/>
      </rPr>
      <t>Office</t>
    </r>
    <r>
      <rPr>
        <sz val="10"/>
        <color rgb="FF000000"/>
        <rFont val="Arial"/>
        <family val="2"/>
      </rPr>
      <t xml:space="preserve"> (Source: CoStar)</t>
    </r>
  </si>
  <si>
    <t>Amount</t>
  </si>
  <si>
    <t>Unit</t>
  </si>
  <si>
    <t>Downtown (DT) Charleston Submarket Rent</t>
  </si>
  <si>
    <t>per SF</t>
  </si>
  <si>
    <t>North Charleston 4-5 Star Office Rent</t>
  </si>
  <si>
    <t>5% deduction for N. Charleston location</t>
  </si>
  <si>
    <t>5% industrial area/vicinity deduction</t>
  </si>
  <si>
    <t>DT Charleston Studio Rent (w/ 5% off)</t>
  </si>
  <si>
    <t>per Unit</t>
  </si>
  <si>
    <t>Charleston Metro Average Office Rent</t>
  </si>
  <si>
    <t>DT Charleston 1 BR Rent (w/ 5% off)</t>
  </si>
  <si>
    <t>Rent Growth</t>
  </si>
  <si>
    <t>3.7-3.9%</t>
  </si>
  <si>
    <t>yr-over-yr</t>
  </si>
  <si>
    <t>DT Charleston 2 BR Rent (w/ 5% off)</t>
  </si>
  <si>
    <t>North Charleston Vacancy Rate</t>
  </si>
  <si>
    <t>DT Charleston 3 BR Rent (w/ 5% off)</t>
  </si>
  <si>
    <t>Market Absorption</t>
  </si>
  <si>
    <t>SF</t>
  </si>
  <si>
    <t>North Charleston Cap Rates</t>
  </si>
  <si>
    <t>6.5%-7.1%</t>
  </si>
  <si>
    <t>3.5%–4.7%</t>
  </si>
  <si>
    <r>
      <rPr>
        <b/>
        <sz val="10"/>
        <color rgb="FF000000"/>
        <rFont val="Arial"/>
        <family val="2"/>
      </rPr>
      <t>Hotel</t>
    </r>
    <r>
      <rPr>
        <sz val="10"/>
        <color rgb="FF000000"/>
        <rFont val="Arial"/>
        <family val="2"/>
      </rPr>
      <t xml:space="preserve"> (Source: Moody's Analytics)</t>
    </r>
  </si>
  <si>
    <r>
      <rPr>
        <b/>
        <sz val="10"/>
        <color rgb="FF000000"/>
        <rFont val="Arial"/>
        <family val="2"/>
      </rPr>
      <t>Retail</t>
    </r>
    <r>
      <rPr>
        <sz val="10"/>
        <color rgb="FF000000"/>
        <rFont val="Arial"/>
        <family val="2"/>
      </rPr>
      <t xml:space="preserve"> (Source: CoStar)</t>
    </r>
  </si>
  <si>
    <t>Charleston Metro Average Daily Rate</t>
  </si>
  <si>
    <t>DT Charleston Retail Rent</t>
  </si>
  <si>
    <t>2022 Charleston Average Occupancy Rate</t>
  </si>
  <si>
    <t>25% North Charleston deduction</t>
  </si>
  <si>
    <t>2023 Charleston Projected Occupancy Rate</t>
  </si>
  <si>
    <t>YOY</t>
  </si>
  <si>
    <t>2022 Revenue per Available Room (RevPAR)</t>
  </si>
  <si>
    <t>2023 Projected RevPAR</t>
  </si>
  <si>
    <t>5.9%-7.2%</t>
  </si>
  <si>
    <r>
      <rPr>
        <b/>
        <sz val="10"/>
        <color rgb="FF000000"/>
        <rFont val="Arial"/>
        <family val="2"/>
      </rPr>
      <t>Multifamily Housing Data</t>
    </r>
    <r>
      <rPr>
        <sz val="10"/>
        <color rgb="FF000000"/>
        <rFont val="Arial"/>
        <family val="2"/>
      </rPr>
      <t xml:space="preserve"> (Source: CoStar)</t>
    </r>
  </si>
  <si>
    <r>
      <rPr>
        <b/>
        <sz val="10"/>
        <color rgb="FF000000"/>
        <rFont val="Arial"/>
        <family val="2"/>
      </rPr>
      <t>Retail Data</t>
    </r>
    <r>
      <rPr>
        <sz val="10"/>
        <color rgb="FF000000"/>
        <rFont val="Arial"/>
        <family val="2"/>
      </rPr>
      <t xml:space="preserve"> (Source: CoStar)</t>
    </r>
  </si>
  <si>
    <t>Picture above from Downtown Charleston submarket report.</t>
  </si>
  <si>
    <r>
      <rPr>
        <b/>
        <sz val="10"/>
        <color rgb="FF000000"/>
        <rFont val="Arial"/>
        <family val="2"/>
      </rPr>
      <t>Office Data</t>
    </r>
    <r>
      <rPr>
        <sz val="10"/>
        <color rgb="FF000000"/>
        <rFont val="Arial"/>
        <family val="2"/>
      </rPr>
      <t xml:space="preserve"> (Source: CoStar)</t>
    </r>
  </si>
  <si>
    <r>
      <rPr>
        <b/>
        <sz val="10"/>
        <color rgb="FF000000"/>
        <rFont val="Arial"/>
        <family val="2"/>
      </rPr>
      <t>Hotel Data</t>
    </r>
    <r>
      <rPr>
        <sz val="10"/>
        <color rgb="FF000000"/>
        <rFont val="Arial"/>
        <family val="2"/>
      </rPr>
      <t xml:space="preserve"> (Source: Moody's)</t>
    </r>
  </si>
  <si>
    <t>Supplemental Research</t>
  </si>
  <si>
    <t>Multifamily</t>
  </si>
  <si>
    <t>Hotel</t>
  </si>
  <si>
    <t>Food Hall</t>
  </si>
  <si>
    <t>Source: https://www.atlantarealestateforum.com/first-retail-dining-now-open-madison-yards/</t>
  </si>
  <si>
    <t xml:space="preserve">Key Takeaways: </t>
  </si>
  <si>
    <t>Rents in Charleston are more comparable to Atlanta than other coastal cities in the Southeast.</t>
  </si>
  <si>
    <t>Job growth with numerous Fortune 500 companies' presence supports multifamily demand.</t>
  </si>
  <si>
    <t>Key Takeaway: Charleston remains an appealing destination; hotel development remains strong.</t>
  </si>
  <si>
    <t>Source: CoStar Charleston Multi-Family Market Report</t>
  </si>
  <si>
    <t>Source: https://scbiznews.com/news/hospitality-and-tourism/82770/</t>
  </si>
  <si>
    <t>Urban Grocery Tenant</t>
  </si>
  <si>
    <t>Key Takeaway: Urban Store Model for Publix may be between 30,000 and 45,000 SF.</t>
  </si>
  <si>
    <t>30,000 SF Publix in Columbia, South Carolina</t>
  </si>
  <si>
    <t>45,600 SF Publix in Carytown, Richmond, Virginia</t>
  </si>
  <si>
    <t>Source: https://dairymarketcville.com/dairy-market-in-charlottesville-opens/</t>
  </si>
  <si>
    <t>Krog Street Market in Atlanta, GA incorporates 12,000 SF of commercial space.</t>
  </si>
  <si>
    <t>Dairy Market in Charlottesville, VA incorporates 11,500 SF of commercial space,</t>
  </si>
  <si>
    <t>and is centered around a brewery (Starr Hill) as the anchor tenant.</t>
  </si>
  <si>
    <t>Source: https://www.redrockdevelopments.com/project/publix-super-market-columbia-sc-30000-sf/</t>
  </si>
  <si>
    <t>Source: https://www.nbc12.com/2020/12/09/it-benefits-us-all-new-publix-location-opens-carytown/</t>
  </si>
  <si>
    <t>Key Takeaway: Food Hall square footage 10,000-15,000 SF</t>
  </si>
  <si>
    <t>Office</t>
  </si>
  <si>
    <t>South Carolina Jobs Tax Credit</t>
  </si>
  <si>
    <t>Norfolk Southern Carbon Credits Allocation</t>
  </si>
  <si>
    <t>North Charleston's location is appealing with access to Interstates 26/526</t>
  </si>
  <si>
    <t>With the exception of larger corporations, office leases in North Charleston tend to be less in square footage.</t>
  </si>
  <si>
    <t>Source: CoStar North Charleston Office Submarket Report</t>
  </si>
  <si>
    <t>Parking Costs / Parking Minimums</t>
  </si>
  <si>
    <t>See Tier System at right</t>
  </si>
  <si>
    <t>Charleston County, SC is a Tier I County:</t>
  </si>
  <si>
    <t>This means $1,500 credited per job created, and at least 175 new jobs created.</t>
  </si>
  <si>
    <t>Source: https://www.sccommerce.com/why-sc/incentives/corporate-income-tax-incentives</t>
  </si>
  <si>
    <t>Sources:</t>
  </si>
  <si>
    <t>The Conservation Fund's Houston-Galveston Report</t>
  </si>
  <si>
    <t>National Resources Defense Council: https://www.nrdc.org/bio/melanie-sturm/stewardship-wetlands-and-soils-has-climate-benefits</t>
  </si>
  <si>
    <t>Norfolk Southern: http://nssustainability.com/planet/mitigation.php</t>
  </si>
  <si>
    <t>Source: U.S. Census Bureau</t>
  </si>
  <si>
    <t>`</t>
  </si>
  <si>
    <t xml:space="preserve">Key Parking Cost Takeaways (Source: WGI 2021 Report): </t>
  </si>
  <si>
    <t>Median Cost of Parking Structure per space in 2021 was $25,700 per space; it is closer to $30k today</t>
  </si>
  <si>
    <t>Because we are estimating a parking space conservatively (325 sf per space) and costs in Charleston are lower:</t>
  </si>
  <si>
    <t>We can estimate the cost of structured parking per space on this N. Charleston site at $22,500.</t>
  </si>
  <si>
    <t xml:space="preserve">Key Parking Requirements Takeaways: </t>
  </si>
  <si>
    <t>Reducing parking by 1/3 considering shared parking approach + increase in transit usage is an appropriate move.</t>
  </si>
  <si>
    <t>Raleigh, NC Source: https://parkingreform.org/mandates-map/city_detail/Raleigh_NC.html</t>
  </si>
  <si>
    <t>Gainesville, FL Source: https://library.municode.com/fl/gainesville/ordinances/code_of_ordinances?nodeId=2022</t>
  </si>
  <si>
    <t>Project Timeline</t>
  </si>
  <si>
    <t>Phase</t>
  </si>
  <si>
    <t>Financial Performance</t>
  </si>
  <si>
    <t>I</t>
  </si>
  <si>
    <t>II</t>
  </si>
  <si>
    <t>Total</t>
  </si>
  <si>
    <t>Predevelopment Timeline</t>
  </si>
  <si>
    <t>Project Returns</t>
  </si>
  <si>
    <t>Demolition Timeline</t>
  </si>
  <si>
    <t xml:space="preserve">Total Cost </t>
  </si>
  <si>
    <t>Construction Timeline</t>
  </si>
  <si>
    <t>Total Stabilized Value</t>
  </si>
  <si>
    <t>Closeout Timeline</t>
  </si>
  <si>
    <t>Yield on Cost</t>
  </si>
  <si>
    <t>Exit Cap</t>
  </si>
  <si>
    <t>Equity Returns</t>
  </si>
  <si>
    <t>Development Mix - Residential (Units)</t>
  </si>
  <si>
    <t>Avg Unit Size (SF)</t>
  </si>
  <si>
    <t>Unlevered IRR</t>
  </si>
  <si>
    <t>Levered IRR</t>
  </si>
  <si>
    <t>Market Rate Rental Housing</t>
  </si>
  <si>
    <t>Equity Multiple</t>
  </si>
  <si>
    <t>Studio Units</t>
  </si>
  <si>
    <t>1BR/1BA Units</t>
  </si>
  <si>
    <t>2BR/2BA Units</t>
  </si>
  <si>
    <t>Sources and Uses</t>
  </si>
  <si>
    <t>3BR/3BA Townhome Units</t>
  </si>
  <si>
    <t>Subtotal</t>
  </si>
  <si>
    <t xml:space="preserve">Sources  </t>
  </si>
  <si>
    <t>Affordable Rental Housing</t>
  </si>
  <si>
    <t>Senior Permanent Loan</t>
  </si>
  <si>
    <t>LIHTC Tax Credit</t>
  </si>
  <si>
    <t>Federal New Markets Tax Credit</t>
  </si>
  <si>
    <t>Norfolk Southern Carbon Offset Credit</t>
  </si>
  <si>
    <t>Clemson Univ. Funding</t>
  </si>
  <si>
    <t>Municipal Convention Ctr. Funding</t>
  </si>
  <si>
    <t>Development Mix - Commercial (SF)</t>
  </si>
  <si>
    <t>Fund Equity</t>
  </si>
  <si>
    <t>Retail</t>
  </si>
  <si>
    <t>Uses</t>
  </si>
  <si>
    <t>Acquisition Costs</t>
  </si>
  <si>
    <t>Hard Costs</t>
  </si>
  <si>
    <t>Soft Costs</t>
  </si>
  <si>
    <t>Financing Costs</t>
  </si>
  <si>
    <t>Reserves</t>
  </si>
  <si>
    <t>Developer Fee</t>
  </si>
  <si>
    <t>Development Mix - Others</t>
  </si>
  <si>
    <t>Parking</t>
  </si>
  <si>
    <t>Residential</t>
  </si>
  <si>
    <t>Commercial</t>
  </si>
  <si>
    <t>Multifamily Rent Assumptions</t>
  </si>
  <si>
    <t xml:space="preserve">Phase </t>
  </si>
  <si>
    <t>Market Rate Units</t>
  </si>
  <si>
    <t>Studio</t>
  </si>
  <si>
    <t xml:space="preserve">1BR/1BA  </t>
  </si>
  <si>
    <t xml:space="preserve">2BR/2BA   </t>
  </si>
  <si>
    <t xml:space="preserve">3BR/3BA   </t>
  </si>
  <si>
    <t>Affordable Units</t>
  </si>
  <si>
    <t>Market Rate Multifamily (MF) Housing Rent Pricing</t>
  </si>
  <si>
    <t>Phase I</t>
  </si>
  <si>
    <t>Phase II</t>
  </si>
  <si>
    <t>Occupiable Residential Area for Unit Calculations</t>
  </si>
  <si>
    <t>Totals</t>
  </si>
  <si>
    <t>Less Circulation/Util.</t>
  </si>
  <si>
    <t>Occupiable SF</t>
  </si>
  <si>
    <t># of Units</t>
  </si>
  <si>
    <t>Approx SF per Unit</t>
  </si>
  <si>
    <t>Asking Monthly Rent per SF</t>
  </si>
  <si>
    <t>Asking Monthly Rent per Unit</t>
  </si>
  <si>
    <t>Residential Unit Breakdown</t>
  </si>
  <si>
    <t>1 BR</t>
  </si>
  <si>
    <t>% Studio</t>
  </si>
  <si>
    <t># Studio Units</t>
  </si>
  <si>
    <t>2 BR</t>
  </si>
  <si>
    <t>% 1 BR</t>
  </si>
  <si>
    <t># 1 BR Units</t>
  </si>
  <si>
    <t>% 2 BR</t>
  </si>
  <si>
    <t># 2 BR Units</t>
  </si>
  <si>
    <t>3 BR Townhomes</t>
  </si>
  <si>
    <t>% 3 BR</t>
  </si>
  <si>
    <t># 3 BR Units</t>
  </si>
  <si>
    <t>Affordable Multifamily (MF) Housing Rent Pricing</t>
  </si>
  <si>
    <t>Market Rate vs. Affordable Housing Distribution</t>
  </si>
  <si>
    <t>Type</t>
  </si>
  <si>
    <t>Distribution</t>
  </si>
  <si>
    <t>Market Rate</t>
  </si>
  <si>
    <t>Affordable Housing</t>
  </si>
  <si>
    <t>Affordable MF Unit Rent Calculation (City of North Charleston, SC)</t>
  </si>
  <si>
    <t>Source: https://www.hudexchange.info/programs/home/home-rent-limits/</t>
  </si>
  <si>
    <t>Source: https://www.census.gov/quickfacts/northcharlestoncitysouthcarolina</t>
  </si>
  <si>
    <t>Median HH income (2021)</t>
  </si>
  <si>
    <t>Per capita income (2021)</t>
  </si>
  <si>
    <t>Unit Type</t>
  </si>
  <si>
    <t>HOME Rent Price</t>
  </si>
  <si>
    <t>3 BR</t>
  </si>
  <si>
    <t>Retail Rent Pricing</t>
  </si>
  <si>
    <t>Retail Distribution for Parking Estimates</t>
  </si>
  <si>
    <t>Retail Space</t>
  </si>
  <si>
    <t>Total Retail SF</t>
  </si>
  <si>
    <t>Food + Beverage</t>
  </si>
  <si>
    <t>Annual Rent per SF (NNN)</t>
  </si>
  <si>
    <t>Shops</t>
  </si>
  <si>
    <t>Office Rent Pricing</t>
  </si>
  <si>
    <t>Financing</t>
  </si>
  <si>
    <t>Class A Office Space</t>
  </si>
  <si>
    <t>Senior Construction Loan</t>
  </si>
  <si>
    <t>Total Office SF</t>
  </si>
  <si>
    <t>LTC</t>
  </si>
  <si>
    <t>Estimated Max. # of Volvo Employees (for Tax Credit)</t>
  </si>
  <si>
    <t>9% per unit</t>
  </si>
  <si>
    <t>Total Allocation</t>
  </si>
  <si>
    <t>% of Total Cost</t>
  </si>
  <si>
    <t>Workshop Space Rent Pricing</t>
  </si>
  <si>
    <t>Workshop Space</t>
  </si>
  <si>
    <t>Allocation</t>
  </si>
  <si>
    <t>Total Workshop SF</t>
  </si>
  <si>
    <t>Credits</t>
  </si>
  <si>
    <t>Estimated Max. # of Mfg. Employees (for Parking)</t>
  </si>
  <si>
    <t>Allocation per Job Created</t>
  </si>
  <si>
    <t>Hospitality Pricing</t>
  </si>
  <si>
    <t>Hotel Space</t>
  </si>
  <si>
    <t xml:space="preserve">Norfolk Southern Carbon Offset Credits </t>
  </si>
  <si>
    <t>Total Hotel SF</t>
  </si>
  <si>
    <t>Allocation per Acre over 10-year plan</t>
  </si>
  <si>
    <t>Approx SF per Key (incl. circulation/BOH)</t>
  </si>
  <si>
    <t># of Keys</t>
  </si>
  <si>
    <t>Average Daily Rate</t>
  </si>
  <si>
    <t>Charleston, SC Typ. Occupancy Rate</t>
  </si>
  <si>
    <t>Construction Costs</t>
  </si>
  <si>
    <t>Revenue per Available Room (RevPAR)</t>
  </si>
  <si>
    <t>Asking Monthly Revenue per room</t>
  </si>
  <si>
    <t>Municipal Convention Center Funding</t>
  </si>
  <si>
    <t>Convention Center Space</t>
  </si>
  <si>
    <t>50% of Construction Costs (Conv. Ctr. only)</t>
  </si>
  <si>
    <t>Convention Center SF</t>
  </si>
  <si>
    <t>Parking Requirements/Costs</t>
  </si>
  <si>
    <t>Equity</t>
  </si>
  <si>
    <t>City of North Charleston, SC Parking Requirements</t>
  </si>
  <si>
    <t>MF Residential Studio Unit</t>
  </si>
  <si>
    <t>space per unit</t>
  </si>
  <si>
    <t>MF Residential 1 BR Unit</t>
  </si>
  <si>
    <t>MF Residential 2+ BR Unit</t>
  </si>
  <si>
    <t>Retail (Food and Beverage)</t>
  </si>
  <si>
    <t>space per SF</t>
  </si>
  <si>
    <t>Retail (Non-F+B)</t>
  </si>
  <si>
    <t>1/1/24 to 12/31/25</t>
  </si>
  <si>
    <t>1/1/24 to 12/31/27</t>
  </si>
  <si>
    <t>space per room</t>
  </si>
  <si>
    <t>1/1/26 to 6/30/26</t>
  </si>
  <si>
    <t>1/1/28 to 6/30/28</t>
  </si>
  <si>
    <t>7/1/26 to 6/30/29</t>
  </si>
  <si>
    <t>7/1/28 to 6/30/31</t>
  </si>
  <si>
    <t>Manufacturing</t>
  </si>
  <si>
    <t>space per employee</t>
  </si>
  <si>
    <t>7/1/29 to 12/31/29</t>
  </si>
  <si>
    <t>7/1/31 to 12/31/31</t>
  </si>
  <si>
    <t>SF per Parking Space (inclusive of circulation)</t>
  </si>
  <si>
    <t>Residential Parking (spaces)</t>
  </si>
  <si>
    <t>Commercial Parking (spaces)</t>
  </si>
  <si>
    <t>Total Parking</t>
  </si>
  <si>
    <t>Shared Parking Deduction (2/3 of total)</t>
  </si>
  <si>
    <t>Commercial Street Parking Spaces</t>
  </si>
  <si>
    <t>Structured Parking Spaces</t>
  </si>
  <si>
    <t>Structured Parking</t>
  </si>
  <si>
    <t>Resident Parking Monthly Rate</t>
  </si>
  <si>
    <t>Infrastructural / Site Work Improvements</t>
  </si>
  <si>
    <t>Notes/Description</t>
  </si>
  <si>
    <t>Road Type A (LF)</t>
  </si>
  <si>
    <t>4x 10' vehicular lanes / 2x 5' bike lanes / 2x 12' rain garden / 2x 10' sidewalks</t>
  </si>
  <si>
    <t>Road Type B (LF)</t>
  </si>
  <si>
    <t>10' vehicular lane / 2x 8' parking lanes / 2x 5' sidewalks</t>
  </si>
  <si>
    <t>Pedestrian Corridor A (LF)</t>
  </si>
  <si>
    <t>40' rain garden / 2x 25' sidewalks</t>
  </si>
  <si>
    <t>Pedestrian Corridor B (LF)</t>
  </si>
  <si>
    <t>60' boardwalk / ped corridors w/o rain garden</t>
  </si>
  <si>
    <t>Site Work (SF) - Softscape</t>
  </si>
  <si>
    <t>Site Work (SF) - Hardscape</t>
  </si>
  <si>
    <t>Development Program</t>
  </si>
  <si>
    <t>Development Component</t>
  </si>
  <si>
    <t>Acreage</t>
  </si>
  <si>
    <t>Area in SF</t>
  </si>
  <si>
    <t>Land Use</t>
  </si>
  <si>
    <t>Multifamily Units</t>
  </si>
  <si>
    <t>Hotel Keys</t>
  </si>
  <si>
    <t>Commercial SF</t>
  </si>
  <si>
    <t>Project Value</t>
  </si>
  <si>
    <t>Project Costs</t>
  </si>
  <si>
    <t>Debt</t>
  </si>
  <si>
    <t>Gap</t>
  </si>
  <si>
    <t>Leveraged IRR</t>
  </si>
  <si>
    <t>Unleveraged IRR</t>
  </si>
  <si>
    <t>Residential (Market Rate), Residential (Affordable), Retail, Office, Manufacturing, Educational, Cultural</t>
  </si>
  <si>
    <t>Residential(Market), Residential (Affordable), Hotel/Convention Ctr, Retail, Institutional</t>
  </si>
  <si>
    <t>Schedule</t>
  </si>
  <si>
    <t>Pre-Development</t>
  </si>
  <si>
    <t>Demolition</t>
  </si>
  <si>
    <t>Construction</t>
  </si>
  <si>
    <t>Close-out</t>
  </si>
  <si>
    <t>Developable Parcels</t>
  </si>
  <si>
    <t>Parcel ID</t>
  </si>
  <si>
    <t>Privately-Owned / Municipally-Owned?</t>
  </si>
  <si>
    <t>Class Code</t>
  </si>
  <si>
    <t>Deeded Area (Acres)</t>
  </si>
  <si>
    <t>Calculated Parcel Area (SF)</t>
  </si>
  <si>
    <t>Total Building Area (SF)</t>
  </si>
  <si>
    <t>Appraised/Assessed Sale Price</t>
  </si>
  <si>
    <t>Notes</t>
  </si>
  <si>
    <t>#4000000245</t>
  </si>
  <si>
    <t>Private</t>
  </si>
  <si>
    <t>500 General Commercial</t>
  </si>
  <si>
    <t>#4000000246</t>
  </si>
  <si>
    <t>City of North Charleston</t>
  </si>
  <si>
    <t>#4000000109</t>
  </si>
  <si>
    <t>#4000000129</t>
  </si>
  <si>
    <t>905 VAC-RES-LOT</t>
  </si>
  <si>
    <t>#4000000217</t>
  </si>
  <si>
    <t>Includes Noisette Blvd/part of Ave B N</t>
  </si>
  <si>
    <t>#4000000071</t>
  </si>
  <si>
    <t>650 SPCLTY-OFC</t>
  </si>
  <si>
    <t>#4000000065</t>
  </si>
  <si>
    <t>Includes parts of 2nd St N and Ave B N</t>
  </si>
  <si>
    <t>#4000000058</t>
  </si>
  <si>
    <t>900 RES-DEV-ACRS</t>
  </si>
  <si>
    <t>#4000000047</t>
  </si>
  <si>
    <t>630 SPCLTY-WHS</t>
  </si>
  <si>
    <t>#4000000086</t>
  </si>
  <si>
    <t>COAST Brewing Company (tenant)</t>
  </si>
  <si>
    <t>#4000000218</t>
  </si>
  <si>
    <t>#4000000072</t>
  </si>
  <si>
    <t>952 VAC-COMM-LOT</t>
  </si>
  <si>
    <t>Includes parts of Ave B N</t>
  </si>
  <si>
    <t>Non-Developable Parcels of Interest</t>
  </si>
  <si>
    <t>Privately-Owned / Government-Owned?</t>
  </si>
  <si>
    <t>Total Building Area</t>
  </si>
  <si>
    <t>#4000000216</t>
  </si>
  <si>
    <t>South Carolina Dept. of Commerce</t>
  </si>
  <si>
    <t>#4000000040</t>
  </si>
  <si>
    <t>U.S. Dept. of Defense</t>
  </si>
  <si>
    <t>Can propose high-level vision beyond 10-yr window</t>
  </si>
  <si>
    <r>
      <rPr>
        <b/>
        <sz val="10"/>
        <color rgb="FF000000"/>
        <rFont val="Arial"/>
        <family val="2"/>
      </rPr>
      <t>Privately-Owned Parcels in Cooper River Vicinity</t>
    </r>
    <r>
      <rPr>
        <i/>
        <sz val="10"/>
        <color rgb="FF000000"/>
        <rFont val="Arial"/>
        <family val="2"/>
      </rPr>
      <t xml:space="preserve"> (Comps)</t>
    </r>
  </si>
  <si>
    <t>Parcel Area (SF)</t>
  </si>
  <si>
    <t>Assessed Price/SF</t>
  </si>
  <si>
    <t>Assessed Price/Acre</t>
  </si>
  <si>
    <t>#5021400001</t>
  </si>
  <si>
    <t>304 MFG/INDUST</t>
  </si>
  <si>
    <t>#5021400002</t>
  </si>
  <si>
    <t>#5021400005</t>
  </si>
  <si>
    <t>910 COM-DEV-ACRS</t>
  </si>
  <si>
    <t>#4000000110</t>
  </si>
  <si>
    <t>#4000000191</t>
  </si>
  <si>
    <t>#4000000120</t>
  </si>
  <si>
    <t>#4000000121</t>
  </si>
  <si>
    <t>#5020900002</t>
  </si>
  <si>
    <t>#5020500001</t>
  </si>
  <si>
    <t>#4000000239</t>
  </si>
  <si>
    <t>#4000000055</t>
  </si>
  <si>
    <t>#4000000142</t>
  </si>
  <si>
    <t>Averages</t>
  </si>
  <si>
    <t>Assumptions for Land Acquisition</t>
  </si>
  <si>
    <t>Owner Type</t>
  </si>
  <si>
    <t>Appraised Cost (if applicable)</t>
  </si>
  <si>
    <t>Total Area (SF)</t>
  </si>
  <si>
    <t>Price per SF</t>
  </si>
  <si>
    <t>Market Value Assumption</t>
  </si>
  <si>
    <t>Privately-Owned</t>
  </si>
  <si>
    <t>Municipally-Owned</t>
  </si>
  <si>
    <t>Phase I Area Totals</t>
  </si>
  <si>
    <t>Phase II Area Totals</t>
  </si>
  <si>
    <t>DEVELOPMENT PLAN</t>
  </si>
  <si>
    <t>Quick Rent Adjuster</t>
  </si>
  <si>
    <t>FOR RENT RESIDENTIAL</t>
  </si>
  <si>
    <t>Net Rentable Square Feet (NRSF)</t>
  </si>
  <si>
    <t>$/SF/Mo.</t>
  </si>
  <si>
    <t>Total Annual</t>
  </si>
  <si>
    <t>Studios (Market)</t>
  </si>
  <si>
    <t>1 bedroom/1 bath (Market)</t>
  </si>
  <si>
    <t>2 bedroom/2 bath (Market)</t>
  </si>
  <si>
    <t>3 bedroom/3 bath (Market)</t>
  </si>
  <si>
    <t>Studios (Affordable)</t>
  </si>
  <si>
    <t>1 bedroom/1 bath (Affordable)</t>
  </si>
  <si>
    <t>2 bedroom/2 bath (Affordable)</t>
  </si>
  <si>
    <t>3 bedroom/3 bath (Affordable)</t>
  </si>
  <si>
    <t>Totals:</t>
  </si>
  <si>
    <t>Averages:</t>
  </si>
  <si>
    <t>=</t>
  </si>
  <si>
    <t>COMMERCIAL SPACE</t>
  </si>
  <si>
    <t>Square Feet</t>
  </si>
  <si>
    <t>NNN Rent</t>
  </si>
  <si>
    <t>Workshop</t>
  </si>
  <si>
    <t>Total Commercial</t>
  </si>
  <si>
    <t>PARKING</t>
  </si>
  <si>
    <t>Total Structured Parking</t>
  </si>
  <si>
    <t>NET OPERATING INCOME</t>
  </si>
  <si>
    <t>INCOME</t>
  </si>
  <si>
    <t>Per Unit</t>
  </si>
  <si>
    <t>$/SF Res</t>
  </si>
  <si>
    <t>Un-Trended</t>
  </si>
  <si>
    <t>Residential Rental Income</t>
  </si>
  <si>
    <t>Commercial Rental Income</t>
  </si>
  <si>
    <t>Commercial RENT</t>
  </si>
  <si>
    <t>Gross Income</t>
  </si>
  <si>
    <t>Other Income</t>
  </si>
  <si>
    <t>$/unit</t>
  </si>
  <si>
    <t>$/SF</t>
  </si>
  <si>
    <t>Residential Parking Income</t>
  </si>
  <si>
    <t>Metered Street Parking</t>
  </si>
  <si>
    <t>Metered Structured Parking</t>
  </si>
  <si>
    <t>Additional Income</t>
  </si>
  <si>
    <t>Total Other Income</t>
  </si>
  <si>
    <t>Effective Gross Income</t>
  </si>
  <si>
    <t>EXPENSES</t>
  </si>
  <si>
    <t>Per SF</t>
  </si>
  <si>
    <t>Total Operating Expenses</t>
  </si>
  <si>
    <t>Net Operating Income</t>
  </si>
  <si>
    <t>TOTAL PROJECT VALUE</t>
  </si>
  <si>
    <t>Market Cap Rate=</t>
  </si>
  <si>
    <t>PROJECT COSTS</t>
  </si>
  <si>
    <t>BASIS</t>
  </si>
  <si>
    <t xml:space="preserve">   Budget     </t>
  </si>
  <si>
    <t>Hard Costs for Bldg. Construction</t>
  </si>
  <si>
    <t>Parking Structure</t>
  </si>
  <si>
    <t>Hard Cost Contingency</t>
  </si>
  <si>
    <t>Site Prep (includes demolition)</t>
  </si>
  <si>
    <t>$10/SF</t>
  </si>
  <si>
    <t>Land Acquisition</t>
  </si>
  <si>
    <t>Land cost</t>
  </si>
  <si>
    <t>Impact Fees (Includes City Stormwater Utility Fee)</t>
  </si>
  <si>
    <t>Infrastructure</t>
  </si>
  <si>
    <t>Civil Work - Road Type A (includes utilities)</t>
  </si>
  <si>
    <t>Civil Work - Road Type B (includes utilities)</t>
  </si>
  <si>
    <t>Civil Work - Pedestrian Corridor A (incl. util.)</t>
  </si>
  <si>
    <t>Civil Work - Pedestrian Corridor B (incl. util.)</t>
  </si>
  <si>
    <t>Site Work - Green Infrastructure</t>
  </si>
  <si>
    <t>Site Work - Hardscape</t>
  </si>
  <si>
    <t>Legal</t>
  </si>
  <si>
    <t>Estimate</t>
  </si>
  <si>
    <t>Land Closing Costs/commissions</t>
  </si>
  <si>
    <t xml:space="preserve">Design </t>
  </si>
  <si>
    <t>Construction Management Fee</t>
  </si>
  <si>
    <t>Taxes</t>
  </si>
  <si>
    <t>Insurance</t>
  </si>
  <si>
    <t>Marketing, FF&amp;E and Preleasing</t>
  </si>
  <si>
    <t>Operating Deficit</t>
  </si>
  <si>
    <t>Retail TI's</t>
  </si>
  <si>
    <t>Commercial brokerage</t>
  </si>
  <si>
    <t>Construction Loan Origination</t>
  </si>
  <si>
    <t>Construction Interest</t>
  </si>
  <si>
    <t>Additional Contingency</t>
  </si>
  <si>
    <t>Total Project Cost</t>
  </si>
  <si>
    <t>Yield on cost</t>
  </si>
  <si>
    <t>Return on cost</t>
  </si>
  <si>
    <t>FINANCING</t>
  </si>
  <si>
    <t>Bridge Funding reduction</t>
  </si>
  <si>
    <t>Private financing Amount</t>
  </si>
  <si>
    <t>New Markets Tax Credit</t>
  </si>
  <si>
    <t>Norfolk Southern Carbon Offset</t>
  </si>
  <si>
    <t>Total Sources</t>
  </si>
  <si>
    <t>SALES ANALYSIS</t>
  </si>
  <si>
    <t>Untrended</t>
  </si>
  <si>
    <t>Gross Sales Proceeds</t>
  </si>
  <si>
    <t>Net Sales Proceeds</t>
  </si>
  <si>
    <t>LESS: Construction Debt</t>
  </si>
  <si>
    <t>LESS: Investor Equity</t>
  </si>
  <si>
    <t>Net Profit</t>
  </si>
  <si>
    <t>Sales Price per Unit</t>
  </si>
  <si>
    <t>Gross Price</t>
  </si>
  <si>
    <t>Net Price</t>
  </si>
  <si>
    <t>YIELD INDICATORS</t>
  </si>
  <si>
    <t>Equity multiple</t>
  </si>
  <si>
    <t>Leveraged Project IRR</t>
  </si>
  <si>
    <t>Unleveraged Project IRR</t>
  </si>
  <si>
    <t>Debt Yield</t>
  </si>
  <si>
    <t>Exit Cap Rate</t>
  </si>
  <si>
    <t>Phase I Draw Schedule</t>
  </si>
  <si>
    <t>Schedule----&gt;</t>
  </si>
  <si>
    <t>Predevelopment</t>
  </si>
  <si>
    <t>Closeout</t>
  </si>
  <si>
    <t>Duration----&gt;</t>
  </si>
  <si>
    <t>Predevelopment ends</t>
  </si>
  <si>
    <t>Demolition begins</t>
  </si>
  <si>
    <t>Demolition ends</t>
  </si>
  <si>
    <t>Construction begins</t>
  </si>
  <si>
    <t>Construction ends</t>
  </si>
  <si>
    <t>Close-out begins</t>
  </si>
  <si>
    <t>Close-out ends</t>
  </si>
  <si>
    <t>&lt;---- columns to unhide for longer development period</t>
  </si>
  <si>
    <t>TOTAL</t>
  </si>
  <si>
    <t>TOTAL EXPENDED</t>
  </si>
  <si>
    <t>TOTAL COST</t>
  </si>
  <si>
    <t>Hard Cost Draw Percentage</t>
  </si>
  <si>
    <t>difference</t>
  </si>
  <si>
    <t>Gap Funding</t>
  </si>
  <si>
    <t>Net Total Private Financing</t>
  </si>
  <si>
    <t>Equity DRAW</t>
  </si>
  <si>
    <t>TOTAL Equity</t>
  </si>
  <si>
    <t>Permanent loan debt</t>
  </si>
  <si>
    <t>Total annual debt service</t>
  </si>
  <si>
    <t>Operating cash flow during closeout</t>
  </si>
  <si>
    <t>Leveraged</t>
  </si>
  <si>
    <t>Net Proceeds from Sale after debt repayment</t>
  </si>
  <si>
    <t>Leveraged Quarterly cash flow</t>
  </si>
  <si>
    <t>Leveraged Quarterly IRR</t>
  </si>
  <si>
    <t>Leveraged Annual IRR</t>
  </si>
  <si>
    <t>Unleveraged</t>
  </si>
  <si>
    <t>Total Net proceeds from Sale</t>
  </si>
  <si>
    <t>Unleveraged Quarterly Total Cash Flow</t>
  </si>
  <si>
    <t>Unleveraged Quarterly IRR</t>
  </si>
  <si>
    <t>Unleveraged Annual IRR</t>
  </si>
  <si>
    <t>Quick Rate Adjuster</t>
  </si>
  <si>
    <t>HOTEL</t>
  </si>
  <si>
    <t>Average Room Rate</t>
  </si>
  <si>
    <t>Monthly Revenue at 67.7% occupancy</t>
  </si>
  <si>
    <t>Rooms</t>
  </si>
  <si>
    <t>Hotel Income</t>
  </si>
  <si>
    <t>Commercial Rent</t>
  </si>
  <si>
    <t>Hard Cost Escalation Contingency</t>
  </si>
  <si>
    <t>Land</t>
  </si>
  <si>
    <t>Estimate of residual value</t>
  </si>
  <si>
    <t>Gap Funding reduction</t>
  </si>
  <si>
    <t>Clemson Construction Funding</t>
  </si>
  <si>
    <t>Phase II Draw Schedule</t>
  </si>
  <si>
    <t>Construction Ends</t>
  </si>
  <si>
    <t>Closeout begins</t>
  </si>
  <si>
    <t>Closeout ends</t>
  </si>
  <si>
    <t>Leveraged QUARTERLY cash flow</t>
  </si>
  <si>
    <t>Leveraged QUARTERLY IRR</t>
  </si>
  <si>
    <t>UNLeveraged QUARTERLY TOTAL Cash flow</t>
  </si>
  <si>
    <t>UNLeveraged QUARTERLY IRR</t>
  </si>
  <si>
    <t>UNLeveraged Annual IRR</t>
  </si>
  <si>
    <t>ALL Draw-Phase I &amp; Phase II</t>
  </si>
  <si>
    <t>Quarter----&gt;</t>
  </si>
  <si>
    <t>UNLeveraged Quarterly TOTAL Cash flow</t>
  </si>
  <si>
    <t>UNLeveraged Quarterly IRR</t>
  </si>
  <si>
    <t>Larger and smaller communities in the broader area of the country have done away with minimums for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</si>
</sst>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"/>
    <numFmt numFmtId="166" formatCode="&quot;$&quot;#,##0.00"/>
    <numFmt numFmtId="167" formatCode="&quot;$&quot;###\ &quot;per SF net leasable&quot;"/>
    <numFmt numFmtId="168" formatCode="##%\ &quot;of GMP costs&quot;"/>
    <numFmt numFmtId="169" formatCode="&quot;$&quot;##,###\ &quot;per unit&quot;"/>
    <numFmt numFmtId="170" formatCode="##%\ &quot;of total hard costs&quot;"/>
    <numFmt numFmtId="171" formatCode="##%\ &quot;of Project Budget&quot;"/>
    <numFmt numFmtId="172" formatCode="#\ &quot;Months of OPEX&quot;"/>
    <numFmt numFmtId="173" formatCode="&quot;$&quot;###\ &quot;per SF of retail&quot;"/>
    <numFmt numFmtId="174" formatCode="##.00%\ &quot;of loan amount&quot;"/>
    <numFmt numFmtId="175" formatCode="#.##%\ "/>
    <numFmt numFmtId="176" formatCode="##%\ &quot;of loan amount&quot;"/>
    <numFmt numFmtId="177" formatCode="###\ &quot;Units&quot;"/>
    <numFmt numFmtId="178" formatCode="_(* #,##0_);_(* \(#,##0\);_(* &quot;-&quot;??_);_(@_)"/>
    <numFmt numFmtId="179" formatCode="&quot;Density=&quot;#\ &quot;Units/Acre&quot;"/>
    <numFmt numFmtId="180" formatCode="0.0%"/>
    <numFmt numFmtId="181" formatCode="&quot;Studio---&quot;#%"/>
    <numFmt numFmtId="182" formatCode="&quot;$&quot;#,##0;[Red]\-&quot;$&quot;#,##0"/>
    <numFmt numFmtId="183" formatCode="##,###&quot; SF&quot;"/>
    <numFmt numFmtId="184" formatCode="###&quot; SF&quot;"/>
    <numFmt numFmtId="185" formatCode="&quot;Parking area at&quot;\ ###\ &quot;sf per stall&quot;"/>
    <numFmt numFmtId="186" formatCode="&quot;Building area at&quot;\ ##%\ &quot;circulation&quot;"/>
    <numFmt numFmtId="187" formatCode="&quot;Building footprint at&quot;\ ##\ &quot;stories&quot;"/>
    <numFmt numFmtId="188" formatCode="#,###\ &quot;SF Retail Income&quot;"/>
    <numFmt numFmtId="189" formatCode="&quot;LESS:&quot;\ #%\ &quot;Vacancy&quot;"/>
    <numFmt numFmtId="190" formatCode="&quot;$&quot;##,###\ &quot;per stall&quot;"/>
    <numFmt numFmtId="191" formatCode="&quot;Fee/unit=&quot;&quot;$&quot;##,###"/>
    <numFmt numFmtId="192" formatCode="&quot;Feasible Project Costs at&quot;\ ##%\ &quot;ROC&quot;"/>
    <numFmt numFmtId="193" formatCode="&quot;Gap at&quot;\ ##%"/>
    <numFmt numFmtId="194" formatCode="&quot;Residual land value at&quot;\ ##%\ &quot;ROC&quot;"/>
    <numFmt numFmtId="195" formatCode="##%\ \ \ &quot;Debt&quot;"/>
    <numFmt numFmtId="196" formatCode="##%\ \ \ &quot;Equity&quot;"/>
    <numFmt numFmtId="197" formatCode="&quot;LESS:&quot;\ #%\ \ &quot;Selling Costs&quot;"/>
    <numFmt numFmtId="198" formatCode="0.0"/>
    <numFmt numFmtId="199" formatCode="[$-409]mmm\-yy"/>
    <numFmt numFmtId="200" formatCode="&quot;1 bedroom unit at&quot;\ ###\ &quot;SF&quot;"/>
    <numFmt numFmtId="201" formatCode="&quot;2 bedroom unit at&quot;\ ###\ &quot;SF&quot;"/>
    <numFmt numFmtId="202" formatCode="0.000"/>
    <numFmt numFmtId="203" formatCode="_-* #,##0.00_-;\-* #,##0.00_-;_-* &quot;-&quot;??_-;_-@_-"/>
    <numFmt numFmtId="204" formatCode="&quot;$&quot;##,###\ &quot;/SF&quot;"/>
    <numFmt numFmtId="205" formatCode="#\ &quot;ft&quot;"/>
    <numFmt numFmtId="206" formatCode="#\ &quot;SF&quot;"/>
    <numFmt numFmtId="207" formatCode="&quot;$&quot;##,###\ &quot;/LF&quot;"/>
    <numFmt numFmtId="208" formatCode="#.#%\ &quot;of GMP&quot;"/>
    <numFmt numFmtId="209" formatCode="#.##%\ &quot;of GMP&quot;"/>
    <numFmt numFmtId="210" formatCode="#%\ &quot;on a ten year term&quot;"/>
    <numFmt numFmtId="211" formatCode="##.0%\ &quot;of Hard Costs&quot;"/>
  </numFmts>
  <fonts count="2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F0"/>
      <name val="Arial"/>
      <family val="2"/>
    </font>
    <font>
      <b/>
      <sz val="10"/>
      <color rgb="FF00B0F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0"/>
      <color rgb="FFE36C09"/>
      <name val="Arial"/>
      <family val="2"/>
    </font>
    <font>
      <b/>
      <sz val="9"/>
      <color theme="1"/>
      <name val="Arial"/>
      <family val="2"/>
    </font>
    <font>
      <b/>
      <sz val="10"/>
      <color rgb="FF0432FF"/>
      <name val="Arial"/>
      <family val="2"/>
    </font>
    <font>
      <sz val="11"/>
      <color rgb="FF00B0F0"/>
      <name val="Calibri"/>
      <family val="2"/>
    </font>
    <font>
      <b/>
      <sz val="10"/>
      <color rgb="FF1F497D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color rgb="FF000000"/>
      <name val="Arial"/>
      <family val="2"/>
    </font>
    <font>
      <b/>
      <sz val="10"/>
      <name val="Batang"/>
      <family val="1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DDD9C3"/>
        <bgColor rgb="FFDDD9C3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17365D"/>
        <bgColor rgb="FF17365D"/>
      </patternFill>
    </fill>
    <fill>
      <patternFill patternType="solid">
        <fgColor rgb="FFF2DBDB"/>
        <bgColor rgb="FFF2DBDB"/>
      </patternFill>
    </fill>
    <fill>
      <patternFill patternType="solid">
        <fgColor rgb="FFD6E3BC"/>
        <bgColor rgb="FFD6E3BC"/>
      </patternFill>
    </fill>
    <fill>
      <patternFill patternType="solid">
        <fgColor rgb="FFC2D69B"/>
        <bgColor rgb="FFC2D69B"/>
      </patternFill>
    </fill>
    <fill>
      <patternFill patternType="solid">
        <fgColor rgb="FFFFFFFF"/>
        <bgColor indexed="64"/>
      </patternFill>
    </fill>
    <fill>
      <patternFill patternType="solid">
        <fgColor rgb="FFE8B7B7"/>
        <bgColor indexed="64"/>
      </patternFill>
    </fill>
    <fill>
      <patternFill patternType="solid">
        <fgColor rgb="FFF5D0A1"/>
        <bgColor indexed="64"/>
      </patternFill>
    </fill>
    <fill>
      <patternFill patternType="solid">
        <fgColor rgb="FFB7DFF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</fills>
  <borders count="1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6">
    <xf numFmtId="0" fontId="0" fillId="0" borderId="0"/>
    <xf numFmtId="0" fontId="20" fillId="0" borderId="19"/>
    <xf numFmtId="9" fontId="20" fillId="0" borderId="19" applyFont="0" applyFill="0" applyBorder="0" applyAlignment="0" applyProtection="0"/>
    <xf numFmtId="203" fontId="20" fillId="0" borderId="19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121">
    <xf numFmtId="0" fontId="0" fillId="0" borderId="0" xfId="0"/>
    <xf numFmtId="0" fontId="3" fillId="2" borderId="1" xfId="0" applyFont="1" applyFill="1" applyBorder="1"/>
    <xf numFmtId="0" fontId="3" fillId="0" borderId="0" xfId="0" applyFont="1"/>
    <xf numFmtId="0" fontId="3" fillId="0" borderId="7" xfId="0" applyFont="1" applyBorder="1"/>
    <xf numFmtId="6" fontId="3" fillId="0" borderId="1" xfId="0" applyNumberFormat="1" applyFont="1" applyBorder="1"/>
    <xf numFmtId="6" fontId="3" fillId="0" borderId="1" xfId="0" applyNumberFormat="1" applyFont="1" applyBorder="1" applyAlignment="1">
      <alignment horizontal="center"/>
    </xf>
    <xf numFmtId="0" fontId="3" fillId="0" borderId="13" xfId="0" applyFont="1" applyBorder="1"/>
    <xf numFmtId="6" fontId="3" fillId="0" borderId="14" xfId="0" applyNumberFormat="1" applyFont="1" applyBorder="1"/>
    <xf numFmtId="6" fontId="4" fillId="0" borderId="0" xfId="0" applyNumberFormat="1" applyFont="1" applyAlignment="1">
      <alignment horizontal="center"/>
    </xf>
    <xf numFmtId="10" fontId="3" fillId="0" borderId="1" xfId="0" applyNumberFormat="1" applyFont="1" applyBorder="1"/>
    <xf numFmtId="181" fontId="3" fillId="0" borderId="7" xfId="0" applyNumberFormat="1" applyFont="1" applyBorder="1" applyAlignment="1">
      <alignment horizontal="left"/>
    </xf>
    <xf numFmtId="38" fontId="6" fillId="0" borderId="1" xfId="0" applyNumberFormat="1" applyFont="1" applyBorder="1" applyAlignment="1">
      <alignment horizontal="center"/>
    </xf>
    <xf numFmtId="38" fontId="3" fillId="0" borderId="1" xfId="0" applyNumberFormat="1" applyFont="1" applyBorder="1" applyAlignment="1">
      <alignment horizontal="center"/>
    </xf>
    <xf numFmtId="8" fontId="3" fillId="0" borderId="1" xfId="0" applyNumberFormat="1" applyFont="1" applyBorder="1" applyAlignment="1">
      <alignment horizontal="center"/>
    </xf>
    <xf numFmtId="182" fontId="3" fillId="0" borderId="1" xfId="0" applyNumberFormat="1" applyFont="1" applyBorder="1" applyAlignment="1">
      <alignment horizontal="center"/>
    </xf>
    <xf numFmtId="182" fontId="3" fillId="0" borderId="23" xfId="0" applyNumberFormat="1" applyFont="1" applyBorder="1" applyAlignment="1">
      <alignment horizontal="center"/>
    </xf>
    <xf numFmtId="0" fontId="3" fillId="0" borderId="36" xfId="0" applyFont="1" applyBorder="1"/>
    <xf numFmtId="177" fontId="4" fillId="0" borderId="37" xfId="0" applyNumberFormat="1" applyFont="1" applyBorder="1" applyAlignment="1">
      <alignment horizontal="center"/>
    </xf>
    <xf numFmtId="183" fontId="4" fillId="0" borderId="37" xfId="0" applyNumberFormat="1" applyFont="1" applyBorder="1" applyAlignment="1">
      <alignment horizontal="center" vertical="center"/>
    </xf>
    <xf numFmtId="6" fontId="4" fillId="0" borderId="1" xfId="0" applyNumberFormat="1" applyFont="1" applyBorder="1" applyAlignment="1">
      <alignment horizontal="center"/>
    </xf>
    <xf numFmtId="0" fontId="3" fillId="0" borderId="38" xfId="0" applyFont="1" applyBorder="1"/>
    <xf numFmtId="184" fontId="4" fillId="0" borderId="39" xfId="0" applyNumberFormat="1" applyFont="1" applyBorder="1" applyAlignment="1">
      <alignment horizontal="center" vertical="center"/>
    </xf>
    <xf numFmtId="166" fontId="4" fillId="0" borderId="39" xfId="0" applyNumberFormat="1" applyFont="1" applyBorder="1" applyAlignment="1">
      <alignment horizontal="center"/>
    </xf>
    <xf numFmtId="0" fontId="8" fillId="0" borderId="7" xfId="0" applyFont="1" applyBorder="1"/>
    <xf numFmtId="8" fontId="3" fillId="0" borderId="1" xfId="0" applyNumberFormat="1" applyFont="1" applyBorder="1"/>
    <xf numFmtId="0" fontId="8" fillId="0" borderId="13" xfId="0" applyFont="1" applyBorder="1"/>
    <xf numFmtId="8" fontId="3" fillId="0" borderId="14" xfId="0" applyNumberFormat="1" applyFont="1" applyBorder="1"/>
    <xf numFmtId="0" fontId="3" fillId="0" borderId="41" xfId="0" applyFont="1" applyBorder="1"/>
    <xf numFmtId="6" fontId="3" fillId="0" borderId="0" xfId="0" applyNumberFormat="1" applyFont="1"/>
    <xf numFmtId="184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0" fontId="3" fillId="3" borderId="30" xfId="0" applyFont="1" applyFill="1" applyBorder="1"/>
    <xf numFmtId="5" fontId="3" fillId="3" borderId="31" xfId="0" applyNumberFormat="1" applyFont="1" applyFill="1" applyBorder="1" applyAlignment="1">
      <alignment horizontal="center"/>
    </xf>
    <xf numFmtId="166" fontId="3" fillId="3" borderId="31" xfId="0" applyNumberFormat="1" applyFont="1" applyFill="1" applyBorder="1" applyAlignment="1">
      <alignment horizontal="center"/>
    </xf>
    <xf numFmtId="5" fontId="3" fillId="3" borderId="32" xfId="0" applyNumberFormat="1" applyFont="1" applyFill="1" applyBorder="1" applyAlignment="1">
      <alignment horizontal="center"/>
    </xf>
    <xf numFmtId="188" fontId="3" fillId="0" borderId="22" xfId="0" applyNumberFormat="1" applyFont="1" applyBorder="1" applyAlignment="1">
      <alignment horizontal="left"/>
    </xf>
    <xf numFmtId="5" fontId="3" fillId="0" borderId="45" xfId="0" applyNumberFormat="1" applyFont="1" applyBorder="1" applyAlignment="1">
      <alignment horizontal="center"/>
    </xf>
    <xf numFmtId="188" fontId="3" fillId="0" borderId="1" xfId="0" applyNumberFormat="1" applyFont="1" applyBorder="1" applyAlignment="1">
      <alignment horizontal="left"/>
    </xf>
    <xf numFmtId="5" fontId="4" fillId="0" borderId="1" xfId="0" applyNumberFormat="1" applyFont="1" applyBorder="1" applyAlignment="1">
      <alignment horizontal="center"/>
    </xf>
    <xf numFmtId="188" fontId="4" fillId="0" borderId="3" xfId="0" applyNumberFormat="1" applyFont="1" applyBorder="1" applyAlignment="1">
      <alignment horizontal="left"/>
    </xf>
    <xf numFmtId="5" fontId="3" fillId="0" borderId="1" xfId="0" applyNumberFormat="1" applyFont="1" applyBorder="1" applyAlignment="1">
      <alignment horizontal="center"/>
    </xf>
    <xf numFmtId="7" fontId="3" fillId="0" borderId="1" xfId="0" applyNumberFormat="1" applyFont="1" applyBorder="1" applyAlignment="1">
      <alignment horizontal="center"/>
    </xf>
    <xf numFmtId="0" fontId="3" fillId="0" borderId="46" xfId="0" applyFont="1" applyBorder="1"/>
    <xf numFmtId="5" fontId="4" fillId="0" borderId="48" xfId="0" applyNumberFormat="1" applyFont="1" applyBorder="1" applyAlignment="1">
      <alignment horizontal="center"/>
    </xf>
    <xf numFmtId="189" fontId="6" fillId="0" borderId="46" xfId="0" applyNumberFormat="1" applyFont="1" applyBorder="1" applyAlignment="1">
      <alignment horizontal="left"/>
    </xf>
    <xf numFmtId="5" fontId="3" fillId="0" borderId="48" xfId="0" applyNumberFormat="1" applyFont="1" applyBorder="1" applyAlignment="1">
      <alignment horizontal="center"/>
    </xf>
    <xf numFmtId="5" fontId="4" fillId="4" borderId="51" xfId="0" applyNumberFormat="1" applyFont="1" applyFill="1" applyBorder="1" applyAlignment="1">
      <alignment horizontal="left"/>
    </xf>
    <xf numFmtId="5" fontId="4" fillId="4" borderId="40" xfId="0" applyNumberFormat="1" applyFont="1" applyFill="1" applyBorder="1" applyAlignment="1">
      <alignment horizontal="center"/>
    </xf>
    <xf numFmtId="166" fontId="4" fillId="4" borderId="52" xfId="0" applyNumberFormat="1" applyFont="1" applyFill="1" applyBorder="1" applyAlignment="1">
      <alignment horizontal="center"/>
    </xf>
    <xf numFmtId="0" fontId="4" fillId="4" borderId="43" xfId="0" applyFont="1" applyFill="1" applyBorder="1"/>
    <xf numFmtId="190" fontId="3" fillId="0" borderId="1" xfId="0" applyNumberFormat="1" applyFont="1" applyBorder="1" applyAlignment="1">
      <alignment horizontal="center"/>
    </xf>
    <xf numFmtId="168" fontId="6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91" fontId="6" fillId="0" borderId="1" xfId="0" applyNumberFormat="1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5" fontId="6" fillId="0" borderId="1" xfId="0" applyNumberFormat="1" applyFont="1" applyBorder="1" applyAlignment="1">
      <alignment horizontal="center"/>
    </xf>
    <xf numFmtId="10" fontId="3" fillId="0" borderId="0" xfId="0" applyNumberFormat="1" applyFont="1"/>
    <xf numFmtId="170" fontId="6" fillId="0" borderId="1" xfId="0" applyNumberFormat="1" applyFont="1" applyBorder="1" applyAlignment="1">
      <alignment horizontal="center"/>
    </xf>
    <xf numFmtId="171" fontId="6" fillId="0" borderId="1" xfId="0" applyNumberFormat="1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69" fontId="6" fillId="0" borderId="1" xfId="0" applyNumberFormat="1" applyFont="1" applyBorder="1" applyAlignment="1">
      <alignment horizontal="center"/>
    </xf>
    <xf numFmtId="172" fontId="6" fillId="0" borderId="1" xfId="0" applyNumberFormat="1" applyFont="1" applyBorder="1" applyAlignment="1">
      <alignment horizontal="center"/>
    </xf>
    <xf numFmtId="173" fontId="6" fillId="0" borderId="0" xfId="0" applyNumberFormat="1" applyFont="1" applyAlignment="1">
      <alignment horizontal="center"/>
    </xf>
    <xf numFmtId="175" fontId="3" fillId="0" borderId="7" xfId="0" applyNumberFormat="1" applyFont="1" applyBorder="1"/>
    <xf numFmtId="5" fontId="3" fillId="0" borderId="14" xfId="0" applyNumberFormat="1" applyFont="1" applyBorder="1" applyAlignment="1">
      <alignment horizontal="center"/>
    </xf>
    <xf numFmtId="0" fontId="4" fillId="4" borderId="56" xfId="0" applyFont="1" applyFill="1" applyBorder="1"/>
    <xf numFmtId="0" fontId="3" fillId="4" borderId="56" xfId="0" applyFont="1" applyFill="1" applyBorder="1"/>
    <xf numFmtId="5" fontId="4" fillId="4" borderId="31" xfId="0" applyNumberFormat="1" applyFont="1" applyFill="1" applyBorder="1" applyAlignment="1">
      <alignment horizontal="center"/>
    </xf>
    <xf numFmtId="0" fontId="4" fillId="4" borderId="5" xfId="0" applyFont="1" applyFill="1" applyBorder="1"/>
    <xf numFmtId="180" fontId="4" fillId="4" borderId="6" xfId="0" applyNumberFormat="1" applyFont="1" applyFill="1" applyBorder="1" applyAlignment="1">
      <alignment horizontal="center"/>
    </xf>
    <xf numFmtId="0" fontId="4" fillId="4" borderId="7" xfId="0" applyFont="1" applyFill="1" applyBorder="1"/>
    <xf numFmtId="180" fontId="4" fillId="4" borderId="8" xfId="0" applyNumberFormat="1" applyFont="1" applyFill="1" applyBorder="1" applyAlignment="1">
      <alignment horizontal="center"/>
    </xf>
    <xf numFmtId="165" fontId="3" fillId="0" borderId="0" xfId="0" applyNumberFormat="1" applyFont="1"/>
    <xf numFmtId="7" fontId="3" fillId="0" borderId="0" xfId="0" applyNumberFormat="1" applyFont="1"/>
    <xf numFmtId="192" fontId="6" fillId="4" borderId="10" xfId="0" applyNumberFormat="1" applyFont="1" applyFill="1" applyBorder="1" applyAlignment="1">
      <alignment horizontal="left"/>
    </xf>
    <xf numFmtId="6" fontId="4" fillId="4" borderId="11" xfId="0" applyNumberFormat="1" applyFont="1" applyFill="1" applyBorder="1" applyAlignment="1">
      <alignment horizontal="center"/>
    </xf>
    <xf numFmtId="193" fontId="6" fillId="4" borderId="7" xfId="0" applyNumberFormat="1" applyFont="1" applyFill="1" applyBorder="1" applyAlignment="1">
      <alignment horizontal="left"/>
    </xf>
    <xf numFmtId="0" fontId="12" fillId="0" borderId="0" xfId="0" applyFont="1"/>
    <xf numFmtId="194" fontId="4" fillId="0" borderId="0" xfId="0" applyNumberFormat="1" applyFont="1"/>
    <xf numFmtId="0" fontId="4" fillId="0" borderId="57" xfId="0" applyFont="1" applyBorder="1" applyAlignment="1">
      <alignment horizontal="center"/>
    </xf>
    <xf numFmtId="0" fontId="3" fillId="0" borderId="12" xfId="0" applyFont="1" applyBorder="1"/>
    <xf numFmtId="37" fontId="3" fillId="0" borderId="33" xfId="0" applyNumberFormat="1" applyFont="1" applyBorder="1" applyAlignment="1">
      <alignment horizontal="center"/>
    </xf>
    <xf numFmtId="37" fontId="3" fillId="0" borderId="33" xfId="0" applyNumberFormat="1" applyFont="1" applyBorder="1"/>
    <xf numFmtId="197" fontId="6" fillId="0" borderId="58" xfId="0" applyNumberFormat="1" applyFont="1" applyBorder="1" applyAlignment="1">
      <alignment horizontal="left"/>
    </xf>
    <xf numFmtId="5" fontId="3" fillId="0" borderId="59" xfId="0" applyNumberFormat="1" applyFont="1" applyBorder="1" applyAlignment="1">
      <alignment horizontal="center"/>
    </xf>
    <xf numFmtId="37" fontId="3" fillId="0" borderId="59" xfId="0" applyNumberFormat="1" applyFont="1" applyBorder="1"/>
    <xf numFmtId="37" fontId="3" fillId="0" borderId="60" xfId="0" applyNumberFormat="1" applyFont="1" applyBorder="1" applyAlignment="1">
      <alignment horizontal="center"/>
    </xf>
    <xf numFmtId="37" fontId="3" fillId="0" borderId="60" xfId="0" applyNumberFormat="1" applyFont="1" applyBorder="1"/>
    <xf numFmtId="166" fontId="3" fillId="0" borderId="0" xfId="0" applyNumberFormat="1" applyFont="1"/>
    <xf numFmtId="0" fontId="3" fillId="0" borderId="58" xfId="0" applyFont="1" applyBorder="1"/>
    <xf numFmtId="37" fontId="3" fillId="0" borderId="59" xfId="0" applyNumberFormat="1" applyFont="1" applyBorder="1" applyAlignment="1">
      <alignment horizontal="center"/>
    </xf>
    <xf numFmtId="165" fontId="4" fillId="0" borderId="60" xfId="0" applyNumberFormat="1" applyFont="1" applyBorder="1" applyAlignment="1">
      <alignment horizontal="center"/>
    </xf>
    <xf numFmtId="165" fontId="4" fillId="0" borderId="60" xfId="0" applyNumberFormat="1" applyFont="1" applyBorder="1"/>
    <xf numFmtId="5" fontId="3" fillId="0" borderId="0" xfId="0" applyNumberFormat="1" applyFont="1"/>
    <xf numFmtId="0" fontId="3" fillId="0" borderId="64" xfId="0" applyFont="1" applyBorder="1" applyAlignment="1">
      <alignment horizontal="right"/>
    </xf>
    <xf numFmtId="165" fontId="3" fillId="0" borderId="34" xfId="0" applyNumberFormat="1" applyFont="1" applyBorder="1" applyAlignment="1">
      <alignment horizontal="center"/>
    </xf>
    <xf numFmtId="165" fontId="3" fillId="0" borderId="65" xfId="0" applyNumberFormat="1" applyFont="1" applyBorder="1" applyAlignment="1">
      <alignment horizontal="right"/>
    </xf>
    <xf numFmtId="165" fontId="3" fillId="0" borderId="35" xfId="0" applyNumberFormat="1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0" fontId="3" fillId="0" borderId="64" xfId="0" applyFont="1" applyBorder="1"/>
    <xf numFmtId="198" fontId="3" fillId="0" borderId="34" xfId="0" applyNumberFormat="1" applyFont="1" applyBorder="1" applyAlignment="1">
      <alignment horizontal="center"/>
    </xf>
    <xf numFmtId="0" fontId="4" fillId="0" borderId="64" xfId="0" applyFont="1" applyBorder="1"/>
    <xf numFmtId="9" fontId="4" fillId="0" borderId="34" xfId="0" applyNumberFormat="1" applyFont="1" applyBorder="1" applyAlignment="1">
      <alignment horizontal="center"/>
    </xf>
    <xf numFmtId="0" fontId="3" fillId="0" borderId="0" xfId="0" applyFont="1" applyAlignment="1">
      <alignment horizontal="right"/>
    </xf>
    <xf numFmtId="9" fontId="3" fillId="0" borderId="34" xfId="0" applyNumberFormat="1" applyFont="1" applyBorder="1" applyAlignment="1">
      <alignment horizontal="center"/>
    </xf>
    <xf numFmtId="10" fontId="3" fillId="0" borderId="34" xfId="0" applyNumberFormat="1" applyFont="1" applyBorder="1" applyAlignment="1">
      <alignment horizontal="center"/>
    </xf>
    <xf numFmtId="14" fontId="4" fillId="6" borderId="5" xfId="0" applyNumberFormat="1" applyFont="1" applyFill="1" applyBorder="1" applyAlignment="1">
      <alignment horizontal="right" vertical="center"/>
    </xf>
    <xf numFmtId="0" fontId="4" fillId="6" borderId="20" xfId="0" applyFont="1" applyFill="1" applyBorder="1" applyAlignment="1">
      <alignment horizontal="center"/>
    </xf>
    <xf numFmtId="14" fontId="4" fillId="6" borderId="10" xfId="0" applyNumberFormat="1" applyFont="1" applyFill="1" applyBorder="1" applyAlignment="1">
      <alignment horizontal="right" vertical="center"/>
    </xf>
    <xf numFmtId="14" fontId="4" fillId="6" borderId="2" xfId="0" applyNumberFormat="1" applyFont="1" applyFill="1" applyBorder="1"/>
    <xf numFmtId="14" fontId="4" fillId="6" borderId="2" xfId="0" applyNumberFormat="1" applyFont="1" applyFill="1" applyBorder="1" applyAlignment="1">
      <alignment horizontal="center"/>
    </xf>
    <xf numFmtId="14" fontId="4" fillId="6" borderId="11" xfId="0" applyNumberFormat="1" applyFont="1" applyFill="1" applyBorder="1"/>
    <xf numFmtId="0" fontId="13" fillId="0" borderId="57" xfId="0" applyFont="1" applyBorder="1" applyAlignment="1">
      <alignment horizontal="center"/>
    </xf>
    <xf numFmtId="0" fontId="13" fillId="0" borderId="57" xfId="0" applyFont="1" applyBorder="1"/>
    <xf numFmtId="0" fontId="13" fillId="0" borderId="0" xfId="0" applyFont="1"/>
    <xf numFmtId="0" fontId="3" fillId="0" borderId="66" xfId="0" applyFont="1" applyBorder="1" applyAlignment="1">
      <alignment horizontal="center"/>
    </xf>
    <xf numFmtId="199" fontId="4" fillId="0" borderId="1" xfId="0" applyNumberFormat="1" applyFont="1" applyBorder="1"/>
    <xf numFmtId="199" fontId="4" fillId="0" borderId="4" xfId="0" applyNumberFormat="1" applyFont="1" applyBorder="1"/>
    <xf numFmtId="199" fontId="3" fillId="0" borderId="1" xfId="0" applyNumberFormat="1" applyFont="1" applyBorder="1"/>
    <xf numFmtId="199" fontId="3" fillId="0" borderId="1" xfId="0" applyNumberFormat="1" applyFont="1" applyBorder="1" applyAlignment="1">
      <alignment horizontal="center"/>
    </xf>
    <xf numFmtId="0" fontId="3" fillId="6" borderId="43" xfId="0" applyFont="1" applyFill="1" applyBorder="1"/>
    <xf numFmtId="180" fontId="6" fillId="6" borderId="67" xfId="0" applyNumberFormat="1" applyFont="1" applyFill="1" applyBorder="1"/>
    <xf numFmtId="180" fontId="6" fillId="6" borderId="40" xfId="0" applyNumberFormat="1" applyFont="1" applyFill="1" applyBorder="1"/>
    <xf numFmtId="180" fontId="4" fillId="6" borderId="56" xfId="0" applyNumberFormat="1" applyFont="1" applyFill="1" applyBorder="1"/>
    <xf numFmtId="180" fontId="14" fillId="6" borderId="56" xfId="0" applyNumberFormat="1" applyFont="1" applyFill="1" applyBorder="1"/>
    <xf numFmtId="38" fontId="3" fillId="0" borderId="1" xfId="0" applyNumberFormat="1" applyFont="1" applyBorder="1"/>
    <xf numFmtId="5" fontId="5" fillId="0" borderId="1" xfId="0" applyNumberFormat="1" applyFont="1" applyBorder="1"/>
    <xf numFmtId="5" fontId="3" fillId="0" borderId="1" xfId="0" applyNumberFormat="1" applyFont="1" applyBorder="1"/>
    <xf numFmtId="0" fontId="5" fillId="0" borderId="0" xfId="0" applyFont="1"/>
    <xf numFmtId="5" fontId="6" fillId="0" borderId="1" xfId="0" applyNumberFormat="1" applyFont="1" applyBorder="1"/>
    <xf numFmtId="0" fontId="5" fillId="0" borderId="1" xfId="0" applyFont="1" applyBorder="1"/>
    <xf numFmtId="38" fontId="5" fillId="0" borderId="1" xfId="0" applyNumberFormat="1" applyFont="1" applyBorder="1"/>
    <xf numFmtId="38" fontId="6" fillId="0" borderId="1" xfId="0" applyNumberFormat="1" applyFont="1" applyBorder="1"/>
    <xf numFmtId="5" fontId="14" fillId="0" borderId="1" xfId="0" applyNumberFormat="1" applyFont="1" applyBorder="1"/>
    <xf numFmtId="0" fontId="6" fillId="0" borderId="0" xfId="0" applyFont="1"/>
    <xf numFmtId="38" fontId="14" fillId="0" borderId="1" xfId="0" applyNumberFormat="1" applyFont="1" applyBorder="1"/>
    <xf numFmtId="0" fontId="3" fillId="0" borderId="1" xfId="0" applyFont="1" applyBorder="1"/>
    <xf numFmtId="6" fontId="5" fillId="0" borderId="1" xfId="0" applyNumberFormat="1" applyFont="1" applyBorder="1"/>
    <xf numFmtId="165" fontId="3" fillId="0" borderId="1" xfId="0" applyNumberFormat="1" applyFont="1" applyBorder="1"/>
    <xf numFmtId="5" fontId="5" fillId="0" borderId="1" xfId="0" applyNumberFormat="1" applyFont="1" applyBorder="1" applyAlignment="1">
      <alignment horizontal="center" wrapText="1"/>
    </xf>
    <xf numFmtId="38" fontId="3" fillId="0" borderId="14" xfId="0" applyNumberFormat="1" applyFont="1" applyBorder="1"/>
    <xf numFmtId="5" fontId="5" fillId="0" borderId="14" xfId="0" applyNumberFormat="1" applyFont="1" applyBorder="1"/>
    <xf numFmtId="5" fontId="3" fillId="0" borderId="14" xfId="0" applyNumberFormat="1" applyFont="1" applyBorder="1"/>
    <xf numFmtId="38" fontId="4" fillId="0" borderId="16" xfId="0" applyNumberFormat="1" applyFont="1" applyBorder="1"/>
    <xf numFmtId="0" fontId="3" fillId="0" borderId="5" xfId="0" applyFont="1" applyBorder="1"/>
    <xf numFmtId="6" fontId="3" fillId="0" borderId="21" xfId="0" applyNumberFormat="1" applyFont="1" applyBorder="1"/>
    <xf numFmtId="0" fontId="3" fillId="0" borderId="10" xfId="0" applyFont="1" applyBorder="1"/>
    <xf numFmtId="6" fontId="3" fillId="0" borderId="25" xfId="0" applyNumberFormat="1" applyFont="1" applyBorder="1"/>
    <xf numFmtId="0" fontId="3" fillId="0" borderId="4" xfId="0" applyFont="1" applyBorder="1"/>
    <xf numFmtId="0" fontId="3" fillId="0" borderId="3" xfId="0" applyFont="1" applyBorder="1"/>
    <xf numFmtId="6" fontId="3" fillId="0" borderId="64" xfId="0" applyNumberFormat="1" applyFont="1" applyBorder="1"/>
    <xf numFmtId="5" fontId="3" fillId="0" borderId="4" xfId="0" applyNumberFormat="1" applyFont="1" applyBorder="1"/>
    <xf numFmtId="5" fontId="3" fillId="0" borderId="68" xfId="0" applyNumberFormat="1" applyFont="1" applyBorder="1"/>
    <xf numFmtId="164" fontId="3" fillId="0" borderId="33" xfId="0" applyNumberFormat="1" applyFont="1" applyBorder="1"/>
    <xf numFmtId="5" fontId="3" fillId="2" borderId="1" xfId="0" applyNumberFormat="1" applyFont="1" applyFill="1" applyBorder="1"/>
    <xf numFmtId="0" fontId="3" fillId="0" borderId="65" xfId="0" applyFont="1" applyBorder="1"/>
    <xf numFmtId="6" fontId="3" fillId="0" borderId="35" xfId="0" applyNumberFormat="1" applyFont="1" applyBorder="1"/>
    <xf numFmtId="6" fontId="3" fillId="0" borderId="66" xfId="0" applyNumberFormat="1" applyFont="1" applyBorder="1"/>
    <xf numFmtId="6" fontId="3" fillId="2" borderId="1" xfId="0" applyNumberFormat="1" applyFont="1" applyFill="1" applyBorder="1"/>
    <xf numFmtId="165" fontId="3" fillId="2" borderId="1" xfId="0" applyNumberFormat="1" applyFont="1" applyFill="1" applyBorder="1"/>
    <xf numFmtId="37" fontId="4" fillId="2" borderId="1" xfId="0" applyNumberFormat="1" applyFont="1" applyFill="1" applyBorder="1"/>
    <xf numFmtId="37" fontId="4" fillId="0" borderId="4" xfId="0" applyNumberFormat="1" applyFont="1" applyBorder="1"/>
    <xf numFmtId="5" fontId="3" fillId="0" borderId="64" xfId="0" applyNumberFormat="1" applyFont="1" applyBorder="1"/>
    <xf numFmtId="5" fontId="3" fillId="0" borderId="23" xfId="0" applyNumberFormat="1" applyFont="1" applyBorder="1"/>
    <xf numFmtId="5" fontId="4" fillId="0" borderId="23" xfId="0" applyNumberFormat="1" applyFont="1" applyBorder="1"/>
    <xf numFmtId="10" fontId="3" fillId="0" borderId="64" xfId="0" applyNumberFormat="1" applyFont="1" applyBorder="1"/>
    <xf numFmtId="5" fontId="4" fillId="2" borderId="1" xfId="0" applyNumberFormat="1" applyFont="1" applyFill="1" applyBorder="1"/>
    <xf numFmtId="5" fontId="4" fillId="0" borderId="1" xfId="0" applyNumberFormat="1" applyFont="1" applyBorder="1"/>
    <xf numFmtId="10" fontId="4" fillId="0" borderId="3" xfId="0" applyNumberFormat="1" applyFont="1" applyBorder="1"/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5" fontId="3" fillId="0" borderId="59" xfId="0" applyNumberFormat="1" applyFont="1" applyBorder="1"/>
    <xf numFmtId="0" fontId="3" fillId="0" borderId="0" xfId="0" applyFont="1" applyAlignment="1">
      <alignment horizontal="left"/>
    </xf>
    <xf numFmtId="0" fontId="4" fillId="6" borderId="6" xfId="0" applyFont="1" applyFill="1" applyBorder="1" applyAlignment="1">
      <alignment horizontal="center"/>
    </xf>
    <xf numFmtId="199" fontId="4" fillId="0" borderId="1" xfId="0" applyNumberFormat="1" applyFont="1" applyBorder="1" applyAlignment="1">
      <alignment horizontal="center"/>
    </xf>
    <xf numFmtId="0" fontId="3" fillId="6" borderId="67" xfId="0" applyFont="1" applyFill="1" applyBorder="1"/>
    <xf numFmtId="10" fontId="3" fillId="6" borderId="67" xfId="0" applyNumberFormat="1" applyFont="1" applyFill="1" applyBorder="1"/>
    <xf numFmtId="180" fontId="6" fillId="6" borderId="56" xfId="0" applyNumberFormat="1" applyFont="1" applyFill="1" applyBorder="1"/>
    <xf numFmtId="0" fontId="6" fillId="0" borderId="1" xfId="0" applyFont="1" applyBorder="1"/>
    <xf numFmtId="0" fontId="6" fillId="0" borderId="4" xfId="0" applyFont="1" applyBorder="1"/>
    <xf numFmtId="38" fontId="6" fillId="0" borderId="4" xfId="0" applyNumberFormat="1" applyFont="1" applyBorder="1"/>
    <xf numFmtId="5" fontId="6" fillId="0" borderId="4" xfId="0" applyNumberFormat="1" applyFont="1" applyBorder="1"/>
    <xf numFmtId="0" fontId="5" fillId="0" borderId="4" xfId="0" applyFont="1" applyBorder="1"/>
    <xf numFmtId="5" fontId="5" fillId="0" borderId="4" xfId="0" applyNumberFormat="1" applyFont="1" applyBorder="1"/>
    <xf numFmtId="0" fontId="15" fillId="0" borderId="1" xfId="0" applyFont="1" applyBorder="1"/>
    <xf numFmtId="165" fontId="5" fillId="0" borderId="1" xfId="0" applyNumberFormat="1" applyFont="1" applyBorder="1"/>
    <xf numFmtId="165" fontId="5" fillId="0" borderId="0" xfId="0" applyNumberFormat="1" applyFont="1"/>
    <xf numFmtId="38" fontId="5" fillId="0" borderId="4" xfId="0" applyNumberFormat="1" applyFont="1" applyBorder="1"/>
    <xf numFmtId="0" fontId="3" fillId="0" borderId="71" xfId="0" applyFont="1" applyBorder="1"/>
    <xf numFmtId="0" fontId="5" fillId="0" borderId="72" xfId="0" applyFont="1" applyBorder="1"/>
    <xf numFmtId="0" fontId="5" fillId="0" borderId="14" xfId="0" applyFont="1" applyBorder="1"/>
    <xf numFmtId="5" fontId="4" fillId="0" borderId="0" xfId="0" applyNumberFormat="1" applyFont="1"/>
    <xf numFmtId="6" fontId="4" fillId="0" borderId="73" xfId="0" applyNumberFormat="1" applyFont="1" applyBorder="1"/>
    <xf numFmtId="5" fontId="4" fillId="0" borderId="73" xfId="0" applyNumberFormat="1" applyFont="1" applyBorder="1"/>
    <xf numFmtId="6" fontId="3" fillId="0" borderId="20" xfId="0" applyNumberFormat="1" applyFont="1" applyBorder="1"/>
    <xf numFmtId="6" fontId="4" fillId="2" borderId="1" xfId="0" applyNumberFormat="1" applyFont="1" applyFill="1" applyBorder="1"/>
    <xf numFmtId="6" fontId="3" fillId="0" borderId="2" xfId="0" applyNumberFormat="1" applyFont="1" applyBorder="1"/>
    <xf numFmtId="165" fontId="4" fillId="2" borderId="1" xfId="0" applyNumberFormat="1" applyFont="1" applyFill="1" applyBorder="1"/>
    <xf numFmtId="5" fontId="3" fillId="0" borderId="44" xfId="0" applyNumberFormat="1" applyFont="1" applyBorder="1"/>
    <xf numFmtId="5" fontId="3" fillId="0" borderId="45" xfId="0" applyNumberFormat="1" applyFont="1" applyBorder="1"/>
    <xf numFmtId="37" fontId="4" fillId="0" borderId="74" xfId="0" applyNumberFormat="1" applyFont="1" applyBorder="1"/>
    <xf numFmtId="10" fontId="4" fillId="0" borderId="64" xfId="0" applyNumberFormat="1" applyFont="1" applyBorder="1"/>
    <xf numFmtId="0" fontId="4" fillId="2" borderId="1" xfId="0" applyFont="1" applyFill="1" applyBorder="1" applyAlignment="1">
      <alignment wrapText="1"/>
    </xf>
    <xf numFmtId="165" fontId="3" fillId="0" borderId="3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>
      <alignment horizontal="right"/>
    </xf>
    <xf numFmtId="10" fontId="4" fillId="0" borderId="1" xfId="0" applyNumberFormat="1" applyFont="1" applyBorder="1"/>
    <xf numFmtId="5" fontId="5" fillId="0" borderId="0" xfId="0" applyNumberFormat="1" applyFont="1"/>
    <xf numFmtId="201" fontId="3" fillId="0" borderId="7" xfId="0" applyNumberFormat="1" applyFont="1" applyBorder="1" applyAlignment="1">
      <alignment horizontal="left"/>
    </xf>
    <xf numFmtId="0" fontId="3" fillId="0" borderId="0" xfId="0" applyFont="1" applyAlignment="1">
      <alignment horizontal="center"/>
    </xf>
    <xf numFmtId="199" fontId="4" fillId="0" borderId="1" xfId="0" applyNumberFormat="1" applyFont="1" applyBorder="1" applyAlignment="1">
      <alignment horizontal="right"/>
    </xf>
    <xf numFmtId="10" fontId="3" fillId="2" borderId="1" xfId="0" applyNumberFormat="1" applyFont="1" applyFill="1" applyBorder="1"/>
    <xf numFmtId="0" fontId="0" fillId="0" borderId="19" xfId="0" applyBorder="1"/>
    <xf numFmtId="0" fontId="3" fillId="0" borderId="19" xfId="0" applyFont="1" applyBorder="1"/>
    <xf numFmtId="0" fontId="3" fillId="0" borderId="19" xfId="0" applyFont="1" applyBorder="1" applyAlignment="1">
      <alignment horizontal="left" vertical="center"/>
    </xf>
    <xf numFmtId="0" fontId="4" fillId="0" borderId="30" xfId="0" applyFont="1" applyBorder="1" applyAlignment="1">
      <alignment horizontal="right"/>
    </xf>
    <xf numFmtId="6" fontId="3" fillId="0" borderId="31" xfId="0" applyNumberFormat="1" applyFont="1" applyBorder="1"/>
    <xf numFmtId="0" fontId="4" fillId="0" borderId="61" xfId="0" applyFont="1" applyBorder="1"/>
    <xf numFmtId="181" fontId="3" fillId="0" borderId="30" xfId="0" applyNumberFormat="1" applyFont="1" applyBorder="1" applyAlignment="1">
      <alignment horizontal="left"/>
    </xf>
    <xf numFmtId="38" fontId="3" fillId="0" borderId="31" xfId="0" applyNumberFormat="1" applyFont="1" applyBorder="1" applyAlignment="1">
      <alignment horizontal="center"/>
    </xf>
    <xf numFmtId="0" fontId="3" fillId="0" borderId="75" xfId="0" applyFont="1" applyBorder="1"/>
    <xf numFmtId="178" fontId="3" fillId="0" borderId="31" xfId="0" applyNumberFormat="1" applyFont="1" applyBorder="1" applyAlignment="1">
      <alignment horizontal="center"/>
    </xf>
    <xf numFmtId="184" fontId="4" fillId="0" borderId="31" xfId="0" applyNumberFormat="1" applyFont="1" applyBorder="1" applyAlignment="1">
      <alignment horizontal="center" vertical="center"/>
    </xf>
    <xf numFmtId="166" fontId="4" fillId="0" borderId="31" xfId="0" applyNumberFormat="1" applyFont="1" applyBorder="1" applyAlignment="1">
      <alignment horizontal="center"/>
    </xf>
    <xf numFmtId="3" fontId="3" fillId="0" borderId="56" xfId="0" applyNumberFormat="1" applyFont="1" applyBorder="1" applyAlignment="1">
      <alignment horizontal="center"/>
    </xf>
    <xf numFmtId="8" fontId="3" fillId="0" borderId="31" xfId="0" applyNumberFormat="1" applyFont="1" applyBorder="1"/>
    <xf numFmtId="0" fontId="3" fillId="0" borderId="51" xfId="0" applyFont="1" applyBorder="1"/>
    <xf numFmtId="3" fontId="3" fillId="0" borderId="52" xfId="0" applyNumberFormat="1" applyFont="1" applyBorder="1"/>
    <xf numFmtId="5" fontId="4" fillId="4" borderId="60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left"/>
    </xf>
    <xf numFmtId="5" fontId="4" fillId="0" borderId="31" xfId="0" applyNumberFormat="1" applyFont="1" applyBorder="1" applyAlignment="1">
      <alignment horizontal="center"/>
    </xf>
    <xf numFmtId="165" fontId="4" fillId="4" borderId="70" xfId="0" applyNumberFormat="1" applyFont="1" applyFill="1" applyBorder="1" applyAlignment="1">
      <alignment horizontal="center"/>
    </xf>
    <xf numFmtId="166" fontId="4" fillId="4" borderId="70" xfId="0" applyNumberFormat="1" applyFont="1" applyFill="1" applyBorder="1" applyAlignment="1">
      <alignment horizontal="center"/>
    </xf>
    <xf numFmtId="0" fontId="3" fillId="0" borderId="30" xfId="0" applyFont="1" applyBorder="1" applyAlignment="1">
      <alignment wrapText="1"/>
    </xf>
    <xf numFmtId="5" fontId="3" fillId="0" borderId="31" xfId="0" applyNumberFormat="1" applyFont="1" applyBorder="1" applyAlignment="1">
      <alignment horizontal="center"/>
    </xf>
    <xf numFmtId="5" fontId="6" fillId="0" borderId="31" xfId="0" applyNumberFormat="1" applyFont="1" applyBorder="1" applyAlignment="1">
      <alignment horizontal="center"/>
    </xf>
    <xf numFmtId="0" fontId="4" fillId="0" borderId="61" xfId="0" applyFont="1" applyBorder="1" applyAlignment="1">
      <alignment horizontal="left"/>
    </xf>
    <xf numFmtId="0" fontId="4" fillId="0" borderId="62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0" fontId="4" fillId="0" borderId="31" xfId="0" applyFont="1" applyBorder="1" applyAlignment="1">
      <alignment horizontal="right"/>
    </xf>
    <xf numFmtId="6" fontId="4" fillId="0" borderId="31" xfId="0" applyNumberFormat="1" applyFont="1" applyBorder="1" applyAlignment="1">
      <alignment horizontal="center" vertical="center"/>
    </xf>
    <xf numFmtId="0" fontId="4" fillId="0" borderId="75" xfId="0" applyFont="1" applyBorder="1" applyAlignment="1">
      <alignment horizontal="right"/>
    </xf>
    <xf numFmtId="195" fontId="4" fillId="0" borderId="30" xfId="0" applyNumberFormat="1" applyFont="1" applyBorder="1" applyAlignment="1">
      <alignment horizontal="right"/>
    </xf>
    <xf numFmtId="5" fontId="3" fillId="0" borderId="31" xfId="0" applyNumberFormat="1" applyFont="1" applyBorder="1" applyAlignment="1">
      <alignment horizontal="center" vertical="center"/>
    </xf>
    <xf numFmtId="5" fontId="4" fillId="0" borderId="31" xfId="0" applyNumberFormat="1" applyFont="1" applyBorder="1" applyAlignment="1">
      <alignment horizontal="center" vertical="center"/>
    </xf>
    <xf numFmtId="5" fontId="4" fillId="0" borderId="32" xfId="0" applyNumberFormat="1" applyFont="1" applyBorder="1" applyAlignment="1">
      <alignment horizontal="center" vertical="center"/>
    </xf>
    <xf numFmtId="0" fontId="7" fillId="0" borderId="61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3" fillId="0" borderId="18" xfId="0" applyFont="1" applyBorder="1" applyAlignment="1">
      <alignment horizontal="right"/>
    </xf>
    <xf numFmtId="0" fontId="3" fillId="0" borderId="61" xfId="0" applyFont="1" applyBorder="1"/>
    <xf numFmtId="0" fontId="7" fillId="0" borderId="18" xfId="0" applyFont="1" applyBorder="1" applyAlignment="1">
      <alignment horizontal="center"/>
    </xf>
    <xf numFmtId="199" fontId="4" fillId="0" borderId="31" xfId="0" applyNumberFormat="1" applyFont="1" applyBorder="1" applyAlignment="1">
      <alignment horizontal="center"/>
    </xf>
    <xf numFmtId="199" fontId="4" fillId="0" borderId="31" xfId="0" applyNumberFormat="1" applyFont="1" applyBorder="1"/>
    <xf numFmtId="199" fontId="4" fillId="0" borderId="26" xfId="0" applyNumberFormat="1" applyFont="1" applyBorder="1"/>
    <xf numFmtId="10" fontId="3" fillId="6" borderId="28" xfId="0" applyNumberFormat="1" applyFont="1" applyFill="1" applyBorder="1"/>
    <xf numFmtId="9" fontId="4" fillId="0" borderId="56" xfId="0" applyNumberFormat="1" applyFont="1" applyBorder="1" applyAlignment="1">
      <alignment horizontal="center"/>
    </xf>
    <xf numFmtId="0" fontId="3" fillId="0" borderId="69" xfId="0" applyFont="1" applyBorder="1"/>
    <xf numFmtId="175" fontId="3" fillId="0" borderId="69" xfId="0" applyNumberFormat="1" applyFont="1" applyBorder="1"/>
    <xf numFmtId="5" fontId="4" fillId="0" borderId="31" xfId="0" applyNumberFormat="1" applyFont="1" applyBorder="1"/>
    <xf numFmtId="6" fontId="4" fillId="0" borderId="75" xfId="0" applyNumberFormat="1" applyFont="1" applyBorder="1"/>
    <xf numFmtId="5" fontId="4" fillId="0" borderId="75" xfId="0" applyNumberFormat="1" applyFont="1" applyBorder="1"/>
    <xf numFmtId="5" fontId="3" fillId="2" borderId="4" xfId="0" applyNumberFormat="1" applyFont="1" applyFill="1" applyBorder="1"/>
    <xf numFmtId="0" fontId="3" fillId="0" borderId="26" xfId="0" applyFont="1" applyBorder="1"/>
    <xf numFmtId="0" fontId="3" fillId="6" borderId="19" xfId="0" applyFont="1" applyFill="1" applyBorder="1"/>
    <xf numFmtId="6" fontId="4" fillId="0" borderId="31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3" fillId="0" borderId="55" xfId="0" applyFont="1" applyBorder="1"/>
    <xf numFmtId="5" fontId="3" fillId="0" borderId="56" xfId="0" applyNumberFormat="1" applyFont="1" applyBorder="1"/>
    <xf numFmtId="0" fontId="6" fillId="0" borderId="76" xfId="0" applyFont="1" applyBorder="1"/>
    <xf numFmtId="5" fontId="6" fillId="0" borderId="76" xfId="0" applyNumberFormat="1" applyFont="1" applyBorder="1"/>
    <xf numFmtId="0" fontId="5" fillId="0" borderId="76" xfId="0" applyFont="1" applyBorder="1"/>
    <xf numFmtId="5" fontId="5" fillId="0" borderId="76" xfId="0" applyNumberFormat="1" applyFont="1" applyBorder="1"/>
    <xf numFmtId="0" fontId="3" fillId="0" borderId="31" xfId="0" applyFont="1" applyBorder="1"/>
    <xf numFmtId="38" fontId="4" fillId="0" borderId="31" xfId="0" applyNumberFormat="1" applyFont="1" applyBorder="1"/>
    <xf numFmtId="5" fontId="4" fillId="0" borderId="56" xfId="0" applyNumberFormat="1" applyFont="1" applyBorder="1"/>
    <xf numFmtId="5" fontId="4" fillId="0" borderId="55" xfId="0" applyNumberFormat="1" applyFont="1" applyBorder="1"/>
    <xf numFmtId="165" fontId="3" fillId="2" borderId="19" xfId="0" applyNumberFormat="1" applyFont="1" applyFill="1" applyBorder="1"/>
    <xf numFmtId="5" fontId="3" fillId="0" borderId="80" xfId="0" applyNumberFormat="1" applyFont="1" applyBorder="1"/>
    <xf numFmtId="0" fontId="3" fillId="7" borderId="19" xfId="0" applyFont="1" applyFill="1" applyBorder="1"/>
    <xf numFmtId="0" fontId="3" fillId="8" borderId="19" xfId="0" applyFont="1" applyFill="1" applyBorder="1"/>
    <xf numFmtId="0" fontId="4" fillId="0" borderId="26" xfId="0" applyFont="1" applyBorder="1" applyAlignment="1">
      <alignment horizontal="center"/>
    </xf>
    <xf numFmtId="195" fontId="6" fillId="0" borderId="30" xfId="0" applyNumberFormat="1" applyFont="1" applyBorder="1" applyAlignment="1">
      <alignment horizontal="right"/>
    </xf>
    <xf numFmtId="0" fontId="8" fillId="0" borderId="19" xfId="0" applyFont="1" applyBorder="1" applyAlignment="1">
      <alignment horizontal="right" vertical="center"/>
    </xf>
    <xf numFmtId="8" fontId="8" fillId="0" borderId="19" xfId="0" applyNumberFormat="1" applyFont="1" applyBorder="1" applyAlignment="1">
      <alignment horizontal="center" vertical="center"/>
    </xf>
    <xf numFmtId="0" fontId="8" fillId="0" borderId="22" xfId="0" applyFont="1" applyBorder="1"/>
    <xf numFmtId="8" fontId="3" fillId="0" borderId="23" xfId="0" applyNumberFormat="1" applyFont="1" applyBorder="1"/>
    <xf numFmtId="38" fontId="8" fillId="0" borderId="1" xfId="0" applyNumberFormat="1" applyFont="1" applyBorder="1" applyAlignment="1">
      <alignment horizontal="center"/>
    </xf>
    <xf numFmtId="38" fontId="8" fillId="0" borderId="31" xfId="0" applyNumberFormat="1" applyFont="1" applyBorder="1" applyAlignment="1">
      <alignment horizontal="center"/>
    </xf>
    <xf numFmtId="8" fontId="8" fillId="0" borderId="1" xfId="0" applyNumberFormat="1" applyFont="1" applyBorder="1" applyAlignment="1">
      <alignment horizontal="center"/>
    </xf>
    <xf numFmtId="8" fontId="8" fillId="0" borderId="23" xfId="0" applyNumberFormat="1" applyFont="1" applyBorder="1"/>
    <xf numFmtId="8" fontId="8" fillId="0" borderId="14" xfId="0" applyNumberFormat="1" applyFont="1" applyBorder="1"/>
    <xf numFmtId="3" fontId="8" fillId="0" borderId="1" xfId="0" applyNumberFormat="1" applyFont="1" applyBorder="1" applyAlignment="1">
      <alignment horizontal="center"/>
    </xf>
    <xf numFmtId="3" fontId="8" fillId="0" borderId="23" xfId="0" applyNumberFormat="1" applyFont="1" applyBorder="1" applyAlignment="1">
      <alignment horizontal="center"/>
    </xf>
    <xf numFmtId="3" fontId="8" fillId="0" borderId="14" xfId="0" applyNumberFormat="1" applyFont="1" applyBorder="1" applyAlignment="1">
      <alignment horizontal="center"/>
    </xf>
    <xf numFmtId="5" fontId="5" fillId="0" borderId="1" xfId="0" applyNumberFormat="1" applyFont="1" applyBorder="1" applyAlignment="1">
      <alignment horizontal="center"/>
    </xf>
    <xf numFmtId="0" fontId="18" fillId="9" borderId="70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19" fillId="9" borderId="18" xfId="0" applyFont="1" applyFill="1" applyBorder="1" applyAlignment="1">
      <alignment horizontal="left" vertical="center" indent="1"/>
    </xf>
    <xf numFmtId="0" fontId="18" fillId="9" borderId="19" xfId="0" applyFont="1" applyFill="1" applyBorder="1" applyAlignment="1">
      <alignment horizontal="center" vertical="center"/>
    </xf>
    <xf numFmtId="0" fontId="8" fillId="9" borderId="19" xfId="0" applyFont="1" applyFill="1" applyBorder="1" applyAlignment="1">
      <alignment vertical="center"/>
    </xf>
    <xf numFmtId="0" fontId="19" fillId="9" borderId="19" xfId="0" applyFont="1" applyFill="1" applyBorder="1" applyAlignment="1">
      <alignment vertical="center"/>
    </xf>
    <xf numFmtId="0" fontId="19" fillId="9" borderId="61" xfId="0" applyFont="1" applyFill="1" applyBorder="1" applyAlignment="1">
      <alignment horizontal="left" vertical="center" indent="1"/>
    </xf>
    <xf numFmtId="0" fontId="19" fillId="9" borderId="62" xfId="0" applyFont="1" applyFill="1" applyBorder="1" applyAlignment="1">
      <alignment vertical="center"/>
    </xf>
    <xf numFmtId="37" fontId="5" fillId="9" borderId="4" xfId="0" applyNumberFormat="1" applyFont="1" applyFill="1" applyBorder="1" applyAlignment="1">
      <alignment horizontal="center" vertical="center"/>
    </xf>
    <xf numFmtId="37" fontId="5" fillId="9" borderId="8" xfId="0" applyNumberFormat="1" applyFont="1" applyFill="1" applyBorder="1" applyAlignment="1">
      <alignment horizontal="center" vertical="center"/>
    </xf>
    <xf numFmtId="7" fontId="5" fillId="9" borderId="4" xfId="0" applyNumberFormat="1" applyFont="1" applyFill="1" applyBorder="1" applyAlignment="1">
      <alignment horizontal="center" vertical="center"/>
    </xf>
    <xf numFmtId="7" fontId="8" fillId="9" borderId="8" xfId="0" applyNumberFormat="1" applyFont="1" applyFill="1" applyBorder="1" applyAlignment="1">
      <alignment horizontal="center" vertical="center"/>
    </xf>
    <xf numFmtId="0" fontId="19" fillId="9" borderId="64" xfId="0" applyFont="1" applyFill="1" applyBorder="1" applyAlignment="1">
      <alignment horizontal="left" vertical="center" indent="1"/>
    </xf>
    <xf numFmtId="7" fontId="5" fillId="9" borderId="1" xfId="0" applyNumberFormat="1" applyFont="1" applyFill="1" applyBorder="1" applyAlignment="1">
      <alignment horizontal="center" vertical="center"/>
    </xf>
    <xf numFmtId="0" fontId="19" fillId="9" borderId="27" xfId="0" applyFont="1" applyFill="1" applyBorder="1" applyAlignment="1">
      <alignment vertical="center"/>
    </xf>
    <xf numFmtId="0" fontId="9" fillId="9" borderId="27" xfId="0" applyFont="1" applyFill="1" applyBorder="1" applyAlignment="1">
      <alignment horizontal="center" vertical="center"/>
    </xf>
    <xf numFmtId="0" fontId="18" fillId="9" borderId="27" xfId="0" applyFont="1" applyFill="1" applyBorder="1" applyAlignment="1">
      <alignment horizontal="center" vertical="center"/>
    </xf>
    <xf numFmtId="0" fontId="8" fillId="9" borderId="27" xfId="0" applyFont="1" applyFill="1" applyBorder="1" applyAlignment="1">
      <alignment vertical="center"/>
    </xf>
    <xf numFmtId="0" fontId="19" fillId="9" borderId="66" xfId="0" applyFont="1" applyFill="1" applyBorder="1" applyAlignment="1">
      <alignment horizontal="left" vertical="center" indent="1"/>
    </xf>
    <xf numFmtId="0" fontId="18" fillId="9" borderId="76" xfId="0" applyFont="1" applyFill="1" applyBorder="1" applyAlignment="1">
      <alignment horizontal="center" vertical="center"/>
    </xf>
    <xf numFmtId="0" fontId="19" fillId="9" borderId="76" xfId="0" applyFont="1" applyFill="1" applyBorder="1" applyAlignment="1">
      <alignment vertical="center"/>
    </xf>
    <xf numFmtId="0" fontId="19" fillId="9" borderId="4" xfId="0" applyFont="1" applyFill="1" applyBorder="1" applyAlignment="1">
      <alignment vertical="center"/>
    </xf>
    <xf numFmtId="0" fontId="8" fillId="9" borderId="73" xfId="0" applyFont="1" applyFill="1" applyBorder="1" applyAlignment="1">
      <alignment vertical="center"/>
    </xf>
    <xf numFmtId="0" fontId="9" fillId="9" borderId="73" xfId="0" applyFont="1" applyFill="1" applyBorder="1" applyAlignment="1">
      <alignment horizontal="center" vertical="center"/>
    </xf>
    <xf numFmtId="0" fontId="19" fillId="9" borderId="68" xfId="0" applyFont="1" applyFill="1" applyBorder="1" applyAlignment="1">
      <alignment horizontal="left" vertical="center" indent="1"/>
    </xf>
    <xf numFmtId="0" fontId="18" fillId="9" borderId="62" xfId="0" applyFont="1" applyFill="1" applyBorder="1" applyAlignment="1">
      <alignment horizontal="center" vertical="center"/>
    </xf>
    <xf numFmtId="0" fontId="9" fillId="9" borderId="70" xfId="0" applyFont="1" applyFill="1" applyBorder="1" applyAlignment="1">
      <alignment horizontal="center" vertical="center"/>
    </xf>
    <xf numFmtId="37" fontId="8" fillId="9" borderId="67" xfId="0" applyNumberFormat="1" applyFont="1" applyFill="1" applyBorder="1" applyAlignment="1">
      <alignment horizontal="center" vertical="center"/>
    </xf>
    <xf numFmtId="37" fontId="8" fillId="9" borderId="83" xfId="0" applyNumberFormat="1" applyFont="1" applyFill="1" applyBorder="1" applyAlignment="1">
      <alignment horizontal="center" vertical="center"/>
    </xf>
    <xf numFmtId="37" fontId="5" fillId="9" borderId="31" xfId="0" applyNumberFormat="1" applyFont="1" applyFill="1" applyBorder="1" applyAlignment="1">
      <alignment horizontal="center" vertical="center"/>
    </xf>
    <xf numFmtId="37" fontId="5" fillId="9" borderId="32" xfId="0" applyNumberFormat="1" applyFont="1" applyFill="1" applyBorder="1" applyAlignment="1">
      <alignment horizontal="center" vertical="center"/>
    </xf>
    <xf numFmtId="0" fontId="9" fillId="9" borderId="85" xfId="0" applyFont="1" applyFill="1" applyBorder="1" applyAlignment="1">
      <alignment horizontal="center" vertical="center"/>
    </xf>
    <xf numFmtId="37" fontId="8" fillId="9" borderId="85" xfId="0" applyNumberFormat="1" applyFont="1" applyFill="1" applyBorder="1" applyAlignment="1">
      <alignment horizontal="center" vertical="center"/>
    </xf>
    <xf numFmtId="0" fontId="8" fillId="9" borderId="70" xfId="0" applyFont="1" applyFill="1" applyBorder="1" applyAlignment="1">
      <alignment vertical="center"/>
    </xf>
    <xf numFmtId="0" fontId="8" fillId="9" borderId="85" xfId="0" applyFont="1" applyFill="1" applyBorder="1" applyAlignment="1">
      <alignment vertical="center"/>
    </xf>
    <xf numFmtId="0" fontId="18" fillId="9" borderId="80" xfId="0" applyFont="1" applyFill="1" applyBorder="1" applyAlignment="1">
      <alignment horizontal="center" vertical="center"/>
    </xf>
    <xf numFmtId="37" fontId="5" fillId="9" borderId="23" xfId="0" applyNumberFormat="1" applyFont="1" applyFill="1" applyBorder="1" applyAlignment="1">
      <alignment horizontal="center" vertical="center"/>
    </xf>
    <xf numFmtId="37" fontId="5" fillId="9" borderId="24" xfId="0" applyNumberFormat="1" applyFont="1" applyFill="1" applyBorder="1" applyAlignment="1">
      <alignment horizontal="center" vertical="center"/>
    </xf>
    <xf numFmtId="5" fontId="8" fillId="9" borderId="56" xfId="0" applyNumberFormat="1" applyFont="1" applyFill="1" applyBorder="1" applyAlignment="1">
      <alignment horizontal="center" vertical="center"/>
    </xf>
    <xf numFmtId="5" fontId="8" fillId="9" borderId="86" xfId="0" applyNumberFormat="1" applyFont="1" applyFill="1" applyBorder="1" applyAlignment="1">
      <alignment horizontal="center" vertical="center"/>
    </xf>
    <xf numFmtId="0" fontId="18" fillId="9" borderId="74" xfId="0" applyFont="1" applyFill="1" applyBorder="1" applyAlignment="1">
      <alignment horizontal="center" vertical="center"/>
    </xf>
    <xf numFmtId="37" fontId="5" fillId="9" borderId="74" xfId="0" applyNumberFormat="1" applyFont="1" applyFill="1" applyBorder="1" applyAlignment="1">
      <alignment horizontal="center" vertical="center"/>
    </xf>
    <xf numFmtId="37" fontId="5" fillId="9" borderId="56" xfId="0" applyNumberFormat="1" applyFont="1" applyFill="1" applyBorder="1" applyAlignment="1">
      <alignment horizontal="center" vertical="center"/>
    </xf>
    <xf numFmtId="37" fontId="5" fillId="9" borderId="86" xfId="0" applyNumberFormat="1" applyFont="1" applyFill="1" applyBorder="1" applyAlignment="1">
      <alignment horizontal="center" vertical="center"/>
    </xf>
    <xf numFmtId="0" fontId="19" fillId="9" borderId="80" xfId="0" applyFont="1" applyFill="1" applyBorder="1" applyAlignment="1">
      <alignment vertical="center"/>
    </xf>
    <xf numFmtId="0" fontId="19" fillId="9" borderId="74" xfId="0" applyFont="1" applyFill="1" applyBorder="1" applyAlignment="1">
      <alignment vertical="center"/>
    </xf>
    <xf numFmtId="5" fontId="8" fillId="9" borderId="40" xfId="0" applyNumberFormat="1" applyFont="1" applyFill="1" applyBorder="1" applyAlignment="1">
      <alignment horizontal="center" vertical="center"/>
    </xf>
    <xf numFmtId="5" fontId="8" fillId="9" borderId="52" xfId="0" applyNumberFormat="1" applyFont="1" applyFill="1" applyBorder="1" applyAlignment="1">
      <alignment horizontal="center" vertical="center"/>
    </xf>
    <xf numFmtId="37" fontId="8" fillId="9" borderId="70" xfId="0" applyNumberFormat="1" applyFont="1" applyFill="1" applyBorder="1" applyAlignment="1">
      <alignment horizontal="center" vertical="center"/>
    </xf>
    <xf numFmtId="37" fontId="8" fillId="9" borderId="42" xfId="0" applyNumberFormat="1" applyFont="1" applyFill="1" applyBorder="1" applyAlignment="1">
      <alignment horizontal="center" vertical="center"/>
    </xf>
    <xf numFmtId="7" fontId="19" fillId="9" borderId="1" xfId="0" applyNumberFormat="1" applyFont="1" applyFill="1" applyBorder="1" applyAlignment="1">
      <alignment horizontal="center" vertical="center"/>
    </xf>
    <xf numFmtId="37" fontId="5" fillId="9" borderId="55" xfId="0" applyNumberFormat="1" applyFont="1" applyFill="1" applyBorder="1" applyAlignment="1">
      <alignment horizontal="center" vertical="center"/>
    </xf>
    <xf numFmtId="7" fontId="5" fillId="9" borderId="25" xfId="0" applyNumberFormat="1" applyFont="1" applyFill="1" applyBorder="1" applyAlignment="1">
      <alignment horizontal="center" vertical="center"/>
    </xf>
    <xf numFmtId="7" fontId="19" fillId="9" borderId="2" xfId="0" applyNumberFormat="1" applyFont="1" applyFill="1" applyBorder="1" applyAlignment="1">
      <alignment horizontal="center" vertical="center"/>
    </xf>
    <xf numFmtId="7" fontId="5" fillId="9" borderId="40" xfId="0" applyNumberFormat="1" applyFont="1" applyFill="1" applyBorder="1" applyAlignment="1">
      <alignment horizontal="center" vertical="center"/>
    </xf>
    <xf numFmtId="7" fontId="19" fillId="9" borderId="52" xfId="0" applyNumberFormat="1" applyFont="1" applyFill="1" applyBorder="1" applyAlignment="1">
      <alignment horizontal="center" vertical="center"/>
    </xf>
    <xf numFmtId="0" fontId="3" fillId="9" borderId="19" xfId="0" applyFont="1" applyFill="1" applyBorder="1"/>
    <xf numFmtId="166" fontId="4" fillId="0" borderId="19" xfId="0" applyNumberFormat="1" applyFont="1" applyBorder="1" applyAlignment="1">
      <alignment horizontal="center"/>
    </xf>
    <xf numFmtId="178" fontId="3" fillId="0" borderId="19" xfId="0" applyNumberFormat="1" applyFont="1" applyBorder="1" applyAlignment="1">
      <alignment horizontal="center"/>
    </xf>
    <xf numFmtId="184" fontId="4" fillId="0" borderId="19" xfId="0" applyNumberFormat="1" applyFont="1" applyBorder="1" applyAlignment="1">
      <alignment horizontal="center" vertical="center"/>
    </xf>
    <xf numFmtId="178" fontId="3" fillId="9" borderId="19" xfId="0" applyNumberFormat="1" applyFont="1" applyFill="1" applyBorder="1" applyAlignment="1">
      <alignment horizontal="center"/>
    </xf>
    <xf numFmtId="0" fontId="3" fillId="3" borderId="41" xfId="0" applyFont="1" applyFill="1" applyBorder="1"/>
    <xf numFmtId="5" fontId="3" fillId="3" borderId="86" xfId="0" applyNumberFormat="1" applyFont="1" applyFill="1" applyBorder="1" applyAlignment="1">
      <alignment horizontal="center"/>
    </xf>
    <xf numFmtId="0" fontId="13" fillId="0" borderId="82" xfId="0" applyFont="1" applyBorder="1" applyAlignment="1">
      <alignment horizontal="center"/>
    </xf>
    <xf numFmtId="9" fontId="3" fillId="0" borderId="0" xfId="0" applyNumberFormat="1" applyFont="1"/>
    <xf numFmtId="0" fontId="7" fillId="0" borderId="19" xfId="0" applyFont="1" applyBorder="1"/>
    <xf numFmtId="179" fontId="7" fillId="0" borderId="19" xfId="0" applyNumberFormat="1" applyFont="1" applyBorder="1"/>
    <xf numFmtId="0" fontId="3" fillId="0" borderId="19" xfId="0" applyFont="1" applyBorder="1" applyAlignment="1">
      <alignment horizontal="right"/>
    </xf>
    <xf numFmtId="185" fontId="3" fillId="0" borderId="19" xfId="0" applyNumberFormat="1" applyFont="1" applyBorder="1" applyAlignment="1">
      <alignment horizontal="right"/>
    </xf>
    <xf numFmtId="186" fontId="6" fillId="0" borderId="19" xfId="0" applyNumberFormat="1" applyFont="1" applyBorder="1" applyAlignment="1">
      <alignment horizontal="right"/>
    </xf>
    <xf numFmtId="187" fontId="6" fillId="0" borderId="19" xfId="0" applyNumberFormat="1" applyFont="1" applyBorder="1"/>
    <xf numFmtId="37" fontId="5" fillId="9" borderId="9" xfId="0" applyNumberFormat="1" applyFont="1" applyFill="1" applyBorder="1" applyAlignment="1">
      <alignment horizontal="center" vertical="center"/>
    </xf>
    <xf numFmtId="37" fontId="5" fillId="9" borderId="44" xfId="0" applyNumberFormat="1" applyFont="1" applyFill="1" applyBorder="1" applyAlignment="1">
      <alignment horizontal="center" vertical="center"/>
    </xf>
    <xf numFmtId="7" fontId="19" fillId="9" borderId="87" xfId="0" applyNumberFormat="1" applyFont="1" applyFill="1" applyBorder="1" applyAlignment="1">
      <alignment horizontal="center" vertical="center"/>
    </xf>
    <xf numFmtId="5" fontId="8" fillId="9" borderId="9" xfId="0" applyNumberFormat="1" applyFont="1" applyFill="1" applyBorder="1" applyAlignment="1">
      <alignment horizontal="center" vertical="center"/>
    </xf>
    <xf numFmtId="5" fontId="8" fillId="9" borderId="63" xfId="0" applyNumberFormat="1" applyFont="1" applyFill="1" applyBorder="1" applyAlignment="1">
      <alignment horizontal="center" vertical="center"/>
    </xf>
    <xf numFmtId="7" fontId="19" fillId="9" borderId="11" xfId="0" applyNumberFormat="1" applyFont="1" applyFill="1" applyBorder="1" applyAlignment="1">
      <alignment horizontal="center" vertical="center"/>
    </xf>
    <xf numFmtId="1" fontId="8" fillId="9" borderId="88" xfId="0" applyNumberFormat="1" applyFont="1" applyFill="1" applyBorder="1" applyAlignment="1">
      <alignment horizontal="center" vertical="center"/>
    </xf>
    <xf numFmtId="2" fontId="8" fillId="9" borderId="52" xfId="0" applyNumberFormat="1" applyFont="1" applyFill="1" applyBorder="1" applyAlignment="1">
      <alignment horizontal="center" vertical="center"/>
    </xf>
    <xf numFmtId="165" fontId="5" fillId="9" borderId="23" xfId="0" applyNumberFormat="1" applyFont="1" applyFill="1" applyBorder="1" applyAlignment="1">
      <alignment horizontal="center" vertical="center"/>
    </xf>
    <xf numFmtId="165" fontId="5" fillId="9" borderId="24" xfId="0" applyNumberFormat="1" applyFont="1" applyFill="1" applyBorder="1" applyAlignment="1">
      <alignment horizontal="center" vertical="center"/>
    </xf>
    <xf numFmtId="180" fontId="5" fillId="9" borderId="23" xfId="0" applyNumberFormat="1" applyFont="1" applyFill="1" applyBorder="1" applyAlignment="1">
      <alignment horizontal="center" vertical="center" wrapText="1"/>
    </xf>
    <xf numFmtId="180" fontId="5" fillId="9" borderId="24" xfId="0" applyNumberFormat="1" applyFont="1" applyFill="1" applyBorder="1" applyAlignment="1">
      <alignment horizontal="center" vertical="center"/>
    </xf>
    <xf numFmtId="0" fontId="19" fillId="9" borderId="65" xfId="0" applyFont="1" applyFill="1" applyBorder="1" applyAlignment="1">
      <alignment horizontal="left" vertical="center" indent="1"/>
    </xf>
    <xf numFmtId="0" fontId="18" fillId="9" borderId="77" xfId="0" applyFont="1" applyFill="1" applyBorder="1" applyAlignment="1">
      <alignment horizontal="center" vertical="center"/>
    </xf>
    <xf numFmtId="0" fontId="8" fillId="9" borderId="19" xfId="0" applyFont="1" applyFill="1" applyBorder="1" applyAlignment="1">
      <alignment horizontal="right" vertical="center"/>
    </xf>
    <xf numFmtId="0" fontId="3" fillId="9" borderId="18" xfId="0" applyFont="1" applyFill="1" applyBorder="1" applyAlignment="1">
      <alignment vertical="center"/>
    </xf>
    <xf numFmtId="0" fontId="3" fillId="9" borderId="18" xfId="0" applyFont="1" applyFill="1" applyBorder="1" applyAlignment="1">
      <alignment horizontal="left" vertical="center"/>
    </xf>
    <xf numFmtId="38" fontId="8" fillId="9" borderId="9" xfId="0" applyNumberFormat="1" applyFont="1" applyFill="1" applyBorder="1" applyAlignment="1">
      <alignment horizontal="center" vertical="center"/>
    </xf>
    <xf numFmtId="0" fontId="3" fillId="9" borderId="61" xfId="0" applyFont="1" applyFill="1" applyBorder="1" applyAlignment="1">
      <alignment horizontal="left" vertical="center"/>
    </xf>
    <xf numFmtId="8" fontId="8" fillId="9" borderId="63" xfId="0" applyNumberFormat="1" applyFont="1" applyFill="1" applyBorder="1" applyAlignment="1">
      <alignment horizontal="center" vertical="center"/>
    </xf>
    <xf numFmtId="8" fontId="3" fillId="0" borderId="19" xfId="0" applyNumberFormat="1" applyFont="1" applyBorder="1"/>
    <xf numFmtId="0" fontId="0" fillId="9" borderId="18" xfId="0" applyFill="1" applyBorder="1"/>
    <xf numFmtId="0" fontId="7" fillId="9" borderId="19" xfId="0" applyFont="1" applyFill="1" applyBorder="1"/>
    <xf numFmtId="179" fontId="7" fillId="9" borderId="19" xfId="0" applyNumberFormat="1" applyFont="1" applyFill="1" applyBorder="1"/>
    <xf numFmtId="0" fontId="3" fillId="9" borderId="19" xfId="0" applyFont="1" applyFill="1" applyBorder="1" applyAlignment="1">
      <alignment horizontal="right"/>
    </xf>
    <xf numFmtId="185" fontId="3" fillId="9" borderId="19" xfId="0" applyNumberFormat="1" applyFont="1" applyFill="1" applyBorder="1" applyAlignment="1">
      <alignment horizontal="right"/>
    </xf>
    <xf numFmtId="186" fontId="3" fillId="9" borderId="19" xfId="0" applyNumberFormat="1" applyFont="1" applyFill="1" applyBorder="1" applyAlignment="1">
      <alignment horizontal="right"/>
    </xf>
    <xf numFmtId="187" fontId="3" fillId="9" borderId="19" xfId="0" applyNumberFormat="1" applyFont="1" applyFill="1" applyBorder="1"/>
    <xf numFmtId="5" fontId="8" fillId="0" borderId="31" xfId="0" applyNumberFormat="1" applyFont="1" applyBorder="1" applyAlignment="1">
      <alignment horizontal="center"/>
    </xf>
    <xf numFmtId="37" fontId="8" fillId="9" borderId="31" xfId="0" applyNumberFormat="1" applyFont="1" applyFill="1" applyBorder="1" applyAlignment="1">
      <alignment horizontal="center" vertical="center"/>
    </xf>
    <xf numFmtId="37" fontId="8" fillId="9" borderId="75" xfId="0" applyNumberFormat="1" applyFont="1" applyFill="1" applyBorder="1" applyAlignment="1">
      <alignment horizontal="center" vertical="center"/>
    </xf>
    <xf numFmtId="37" fontId="8" fillId="9" borderId="73" xfId="0" applyNumberFormat="1" applyFont="1" applyFill="1" applyBorder="1" applyAlignment="1">
      <alignment horizontal="center" vertical="center"/>
    </xf>
    <xf numFmtId="37" fontId="8" fillId="9" borderId="56" xfId="0" applyNumberFormat="1" applyFont="1" applyFill="1" applyBorder="1" applyAlignment="1">
      <alignment horizontal="center" vertical="center"/>
    </xf>
    <xf numFmtId="37" fontId="8" fillId="9" borderId="32" xfId="0" applyNumberFormat="1" applyFont="1" applyFill="1" applyBorder="1" applyAlignment="1">
      <alignment horizontal="center" vertical="center"/>
    </xf>
    <xf numFmtId="37" fontId="8" fillId="9" borderId="86" xfId="0" applyNumberFormat="1" applyFont="1" applyFill="1" applyBorder="1" applyAlignment="1">
      <alignment horizontal="center" vertical="center"/>
    </xf>
    <xf numFmtId="37" fontId="8" fillId="9" borderId="9" xfId="0" applyNumberFormat="1" applyFont="1" applyFill="1" applyBorder="1" applyAlignment="1">
      <alignment horizontal="center" vertical="center"/>
    </xf>
    <xf numFmtId="37" fontId="8" fillId="9" borderId="53" xfId="0" applyNumberFormat="1" applyFont="1" applyFill="1" applyBorder="1" applyAlignment="1">
      <alignment horizontal="center" vertical="center"/>
    </xf>
    <xf numFmtId="6" fontId="3" fillId="0" borderId="27" xfId="0" applyNumberFormat="1" applyFont="1" applyBorder="1"/>
    <xf numFmtId="10" fontId="3" fillId="0" borderId="27" xfId="0" applyNumberFormat="1" applyFont="1" applyBorder="1"/>
    <xf numFmtId="10" fontId="4" fillId="0" borderId="27" xfId="0" applyNumberFormat="1" applyFont="1" applyBorder="1"/>
    <xf numFmtId="195" fontId="4" fillId="0" borderId="41" xfId="0" applyNumberFormat="1" applyFont="1" applyBorder="1" applyAlignment="1">
      <alignment horizontal="right"/>
    </xf>
    <xf numFmtId="10" fontId="4" fillId="0" borderId="34" xfId="0" applyNumberFormat="1" applyFont="1" applyBorder="1" applyAlignment="1">
      <alignment horizontal="center"/>
    </xf>
    <xf numFmtId="2" fontId="3" fillId="0" borderId="34" xfId="0" applyNumberFormat="1" applyFont="1" applyBorder="1" applyAlignment="1">
      <alignment horizontal="center"/>
    </xf>
    <xf numFmtId="6" fontId="4" fillId="0" borderId="1" xfId="0" applyNumberFormat="1" applyFont="1" applyBorder="1" applyAlignment="1">
      <alignment horizontal="center" vertical="center"/>
    </xf>
    <xf numFmtId="5" fontId="3" fillId="0" borderId="32" xfId="0" applyNumberFormat="1" applyFont="1" applyBorder="1" applyAlignment="1">
      <alignment horizontal="center" vertical="center"/>
    </xf>
    <xf numFmtId="5" fontId="3" fillId="0" borderId="86" xfId="0" applyNumberFormat="1" applyFont="1" applyBorder="1" applyAlignment="1">
      <alignment horizontal="center" vertical="center"/>
    </xf>
    <xf numFmtId="5" fontId="3" fillId="0" borderId="15" xfId="0" applyNumberFormat="1" applyFont="1" applyBorder="1" applyAlignment="1">
      <alignment horizontal="center" vertical="center"/>
    </xf>
    <xf numFmtId="5" fontId="3" fillId="0" borderId="32" xfId="0" applyNumberFormat="1" applyFont="1" applyBorder="1" applyAlignment="1">
      <alignment horizontal="center"/>
    </xf>
    <xf numFmtId="5" fontId="3" fillId="0" borderId="86" xfId="0" applyNumberFormat="1" applyFont="1" applyBorder="1" applyAlignment="1">
      <alignment horizontal="center"/>
    </xf>
    <xf numFmtId="5" fontId="3" fillId="0" borderId="24" xfId="0" applyNumberFormat="1" applyFont="1" applyBorder="1" applyAlignment="1">
      <alignment horizontal="center"/>
    </xf>
    <xf numFmtId="5" fontId="3" fillId="0" borderId="15" xfId="0" applyNumberFormat="1" applyFont="1" applyBorder="1" applyAlignment="1">
      <alignment horizontal="center"/>
    </xf>
    <xf numFmtId="5" fontId="4" fillId="0" borderId="32" xfId="0" applyNumberFormat="1" applyFont="1" applyBorder="1" applyAlignment="1">
      <alignment horizontal="center"/>
    </xf>
    <xf numFmtId="37" fontId="8" fillId="9" borderId="23" xfId="0" applyNumberFormat="1" applyFont="1" applyFill="1" applyBorder="1" applyAlignment="1">
      <alignment horizontal="center" vertical="center"/>
    </xf>
    <xf numFmtId="37" fontId="8" fillId="9" borderId="24" xfId="0" applyNumberFormat="1" applyFont="1" applyFill="1" applyBorder="1" applyAlignment="1">
      <alignment horizontal="center" vertical="center"/>
    </xf>
    <xf numFmtId="3" fontId="8" fillId="0" borderId="8" xfId="0" applyNumberFormat="1" applyFont="1" applyBorder="1"/>
    <xf numFmtId="0" fontId="0" fillId="9" borderId="19" xfId="0" applyFill="1" applyBorder="1"/>
    <xf numFmtId="0" fontId="0" fillId="9" borderId="9" xfId="0" applyFill="1" applyBorder="1"/>
    <xf numFmtId="0" fontId="0" fillId="9" borderId="63" xfId="0" applyFill="1" applyBorder="1"/>
    <xf numFmtId="165" fontId="8" fillId="0" borderId="1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169" fontId="8" fillId="0" borderId="1" xfId="0" applyNumberFormat="1" applyFont="1" applyBorder="1" applyAlignment="1">
      <alignment horizontal="center"/>
    </xf>
    <xf numFmtId="196" fontId="4" fillId="0" borderId="13" xfId="0" applyNumberFormat="1" applyFont="1" applyBorder="1" applyAlignment="1">
      <alignment horizontal="right"/>
    </xf>
    <xf numFmtId="195" fontId="4" fillId="0" borderId="22" xfId="0" applyNumberFormat="1" applyFont="1" applyBorder="1" applyAlignment="1">
      <alignment horizontal="right"/>
    </xf>
    <xf numFmtId="0" fontId="18" fillId="11" borderId="28" xfId="0" applyFont="1" applyFill="1" applyBorder="1" applyAlignment="1">
      <alignment vertical="center"/>
    </xf>
    <xf numFmtId="0" fontId="18" fillId="11" borderId="54" xfId="0" applyFont="1" applyFill="1" applyBorder="1" applyAlignment="1">
      <alignment vertical="center"/>
    </xf>
    <xf numFmtId="7" fontId="18" fillId="11" borderId="81" xfId="0" applyNumberFormat="1" applyFont="1" applyFill="1" applyBorder="1" applyAlignment="1">
      <alignment horizontal="center" vertical="center"/>
    </xf>
    <xf numFmtId="0" fontId="18" fillId="11" borderId="84" xfId="0" applyFont="1" applyFill="1" applyBorder="1" applyAlignment="1">
      <alignment horizontal="center" vertical="center"/>
    </xf>
    <xf numFmtId="179" fontId="7" fillId="11" borderId="18" xfId="0" applyNumberFormat="1" applyFont="1" applyFill="1" applyBorder="1" applyAlignment="1">
      <alignment horizontal="center"/>
    </xf>
    <xf numFmtId="179" fontId="7" fillId="11" borderId="19" xfId="0" applyNumberFormat="1" applyFont="1" applyFill="1" applyBorder="1" applyAlignment="1">
      <alignment horizontal="center"/>
    </xf>
    <xf numFmtId="0" fontId="7" fillId="11" borderId="18" xfId="0" applyFont="1" applyFill="1" applyBorder="1" applyAlignment="1">
      <alignment horizontal="left"/>
    </xf>
    <xf numFmtId="0" fontId="7" fillId="11" borderId="19" xfId="0" applyFont="1" applyFill="1" applyBorder="1" applyAlignment="1">
      <alignment horizontal="center"/>
    </xf>
    <xf numFmtId="0" fontId="7" fillId="11" borderId="28" xfId="0" applyFont="1" applyFill="1" applyBorder="1" applyAlignment="1">
      <alignment horizontal="left"/>
    </xf>
    <xf numFmtId="3" fontId="7" fillId="11" borderId="29" xfId="0" applyNumberFormat="1" applyFont="1" applyFill="1" applyBorder="1"/>
    <xf numFmtId="0" fontId="7" fillId="11" borderId="43" xfId="0" applyFont="1" applyFill="1" applyBorder="1" applyAlignment="1">
      <alignment horizontal="left"/>
    </xf>
    <xf numFmtId="0" fontId="7" fillId="11" borderId="70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center"/>
    </xf>
    <xf numFmtId="0" fontId="7" fillId="11" borderId="53" xfId="0" applyFont="1" applyFill="1" applyBorder="1" applyAlignment="1">
      <alignment horizontal="center"/>
    </xf>
    <xf numFmtId="0" fontId="7" fillId="11" borderId="28" xfId="0" applyFont="1" applyFill="1" applyBorder="1"/>
    <xf numFmtId="179" fontId="7" fillId="11" borderId="42" xfId="0" applyNumberFormat="1" applyFont="1" applyFill="1" applyBorder="1"/>
    <xf numFmtId="0" fontId="18" fillId="11" borderId="43" xfId="0" applyFont="1" applyFill="1" applyBorder="1" applyAlignment="1">
      <alignment vertical="center"/>
    </xf>
    <xf numFmtId="0" fontId="18" fillId="11" borderId="70" xfId="0" applyFont="1" applyFill="1" applyBorder="1" applyAlignment="1">
      <alignment vertical="center"/>
    </xf>
    <xf numFmtId="0" fontId="18" fillId="11" borderId="42" xfId="0" applyFont="1" applyFill="1" applyBorder="1" applyAlignment="1">
      <alignment vertical="center"/>
    </xf>
    <xf numFmtId="7" fontId="18" fillId="11" borderId="54" xfId="0" applyNumberFormat="1" applyFont="1" applyFill="1" applyBorder="1" applyAlignment="1">
      <alignment horizontal="center" vertical="center"/>
    </xf>
    <xf numFmtId="0" fontId="18" fillId="11" borderId="29" xfId="0" applyFont="1" applyFill="1" applyBorder="1" applyAlignment="1">
      <alignment horizontal="center" vertical="center"/>
    </xf>
    <xf numFmtId="0" fontId="17" fillId="11" borderId="54" xfId="0" applyFont="1" applyFill="1" applyBorder="1"/>
    <xf numFmtId="3" fontId="7" fillId="11" borderId="42" xfId="0" applyNumberFormat="1" applyFont="1" applyFill="1" applyBorder="1"/>
    <xf numFmtId="3" fontId="4" fillId="12" borderId="42" xfId="0" applyNumberFormat="1" applyFont="1" applyFill="1" applyBorder="1"/>
    <xf numFmtId="178" fontId="3" fillId="13" borderId="39" xfId="0" applyNumberFormat="1" applyFont="1" applyFill="1" applyBorder="1" applyAlignment="1">
      <alignment horizontal="center"/>
    </xf>
    <xf numFmtId="0" fontId="3" fillId="13" borderId="37" xfId="0" applyFont="1" applyFill="1" applyBorder="1" applyAlignment="1">
      <alignment horizontal="center"/>
    </xf>
    <xf numFmtId="0" fontId="3" fillId="13" borderId="40" xfId="0" applyFont="1" applyFill="1" applyBorder="1"/>
    <xf numFmtId="0" fontId="4" fillId="13" borderId="56" xfId="0" applyFont="1" applyFill="1" applyBorder="1"/>
    <xf numFmtId="0" fontId="3" fillId="13" borderId="56" xfId="0" applyFont="1" applyFill="1" applyBorder="1"/>
    <xf numFmtId="0" fontId="4" fillId="13" borderId="5" xfId="0" applyFont="1" applyFill="1" applyBorder="1"/>
    <xf numFmtId="180" fontId="4" fillId="13" borderId="6" xfId="0" applyNumberFormat="1" applyFont="1" applyFill="1" applyBorder="1" applyAlignment="1">
      <alignment horizontal="center"/>
    </xf>
    <xf numFmtId="0" fontId="4" fillId="13" borderId="7" xfId="0" applyFont="1" applyFill="1" applyBorder="1"/>
    <xf numFmtId="180" fontId="4" fillId="13" borderId="8" xfId="0" applyNumberFormat="1" applyFont="1" applyFill="1" applyBorder="1" applyAlignment="1">
      <alignment horizontal="center"/>
    </xf>
    <xf numFmtId="192" fontId="6" fillId="13" borderId="10" xfId="0" applyNumberFormat="1" applyFont="1" applyFill="1" applyBorder="1" applyAlignment="1">
      <alignment horizontal="left"/>
    </xf>
    <xf numFmtId="6" fontId="4" fillId="13" borderId="11" xfId="0" applyNumberFormat="1" applyFont="1" applyFill="1" applyBorder="1" applyAlignment="1">
      <alignment horizontal="center"/>
    </xf>
    <xf numFmtId="193" fontId="4" fillId="13" borderId="7" xfId="0" applyNumberFormat="1" applyFont="1" applyFill="1" applyBorder="1"/>
    <xf numFmtId="5" fontId="4" fillId="13" borderId="31" xfId="0" applyNumberFormat="1" applyFont="1" applyFill="1" applyBorder="1" applyAlignment="1">
      <alignment horizontal="center"/>
    </xf>
    <xf numFmtId="179" fontId="7" fillId="12" borderId="70" xfId="0" applyNumberFormat="1" applyFont="1" applyFill="1" applyBorder="1"/>
    <xf numFmtId="0" fontId="7" fillId="12" borderId="42" xfId="0" applyFont="1" applyFill="1" applyBorder="1"/>
    <xf numFmtId="178" fontId="3" fillId="14" borderId="39" xfId="0" applyNumberFormat="1" applyFont="1" applyFill="1" applyBorder="1" applyAlignment="1">
      <alignment horizontal="center"/>
    </xf>
    <xf numFmtId="0" fontId="3" fillId="14" borderId="37" xfId="0" applyFont="1" applyFill="1" applyBorder="1" applyAlignment="1">
      <alignment horizontal="center"/>
    </xf>
    <xf numFmtId="0" fontId="3" fillId="14" borderId="40" xfId="0" applyFont="1" applyFill="1" applyBorder="1"/>
    <xf numFmtId="0" fontId="7" fillId="11" borderId="19" xfId="0" applyFont="1" applyFill="1" applyBorder="1"/>
    <xf numFmtId="0" fontId="11" fillId="11" borderId="56" xfId="0" applyFont="1" applyFill="1" applyBorder="1" applyAlignment="1">
      <alignment horizontal="right" wrapText="1"/>
    </xf>
    <xf numFmtId="10" fontId="6" fillId="11" borderId="56" xfId="0" applyNumberFormat="1" applyFont="1" applyFill="1" applyBorder="1" applyAlignment="1">
      <alignment horizontal="center"/>
    </xf>
    <xf numFmtId="0" fontId="7" fillId="11" borderId="43" xfId="0" applyFont="1" applyFill="1" applyBorder="1"/>
    <xf numFmtId="0" fontId="7" fillId="11" borderId="70" xfId="0" applyFont="1" applyFill="1" applyBorder="1" applyAlignment="1">
      <alignment horizontal="center" wrapText="1"/>
    </xf>
    <xf numFmtId="0" fontId="7" fillId="11" borderId="42" xfId="0" applyFont="1" applyFill="1" applyBorder="1" applyAlignment="1">
      <alignment horizontal="center" wrapText="1"/>
    </xf>
    <xf numFmtId="167" fontId="6" fillId="0" borderId="31" xfId="0" applyNumberFormat="1" applyFont="1" applyBorder="1" applyAlignment="1">
      <alignment horizontal="center"/>
    </xf>
    <xf numFmtId="0" fontId="7" fillId="11" borderId="61" xfId="0" applyFont="1" applyFill="1" applyBorder="1" applyAlignment="1">
      <alignment horizontal="left"/>
    </xf>
    <xf numFmtId="0" fontId="7" fillId="11" borderId="62" xfId="0" applyFont="1" applyFill="1" applyBorder="1" applyAlignment="1">
      <alignment horizontal="center"/>
    </xf>
    <xf numFmtId="0" fontId="7" fillId="11" borderId="63" xfId="0" applyFont="1" applyFill="1" applyBorder="1" applyAlignment="1">
      <alignment horizontal="center"/>
    </xf>
    <xf numFmtId="0" fontId="4" fillId="0" borderId="19" xfId="0" applyFont="1" applyBorder="1"/>
    <xf numFmtId="0" fontId="4" fillId="0" borderId="19" xfId="0" applyFont="1" applyBorder="1" applyAlignment="1">
      <alignment horizontal="right"/>
    </xf>
    <xf numFmtId="1" fontId="9" fillId="0" borderId="19" xfId="0" applyNumberFormat="1" applyFont="1" applyBorder="1" applyAlignment="1">
      <alignment horizontal="left"/>
    </xf>
    <xf numFmtId="180" fontId="6" fillId="0" borderId="31" xfId="0" applyNumberFormat="1" applyFont="1" applyBorder="1" applyAlignment="1">
      <alignment horizontal="center"/>
    </xf>
    <xf numFmtId="0" fontId="4" fillId="0" borderId="32" xfId="0" applyFont="1" applyBorder="1"/>
    <xf numFmtId="0" fontId="7" fillId="11" borderId="62" xfId="0" applyFont="1" applyFill="1" applyBorder="1" applyAlignment="1">
      <alignment horizontal="center" wrapText="1"/>
    </xf>
    <xf numFmtId="8" fontId="3" fillId="0" borderId="31" xfId="0" applyNumberFormat="1" applyFont="1" applyBorder="1" applyAlignment="1">
      <alignment horizontal="center"/>
    </xf>
    <xf numFmtId="182" fontId="3" fillId="0" borderId="31" xfId="0" applyNumberFormat="1" applyFont="1" applyBorder="1" applyAlignment="1">
      <alignment horizontal="center"/>
    </xf>
    <xf numFmtId="165" fontId="3" fillId="0" borderId="68" xfId="0" applyNumberFormat="1" applyFont="1" applyBorder="1" applyAlignment="1">
      <alignment horizontal="right"/>
    </xf>
    <xf numFmtId="165" fontId="3" fillId="0" borderId="45" xfId="0" applyNumberFormat="1" applyFont="1" applyBorder="1" applyAlignment="1">
      <alignment horizontal="center"/>
    </xf>
    <xf numFmtId="0" fontId="8" fillId="0" borderId="30" xfId="0" applyFont="1" applyBorder="1"/>
    <xf numFmtId="3" fontId="8" fillId="0" borderId="31" xfId="0" applyNumberFormat="1" applyFont="1" applyBorder="1" applyAlignment="1">
      <alignment horizontal="center"/>
    </xf>
    <xf numFmtId="8" fontId="8" fillId="0" borderId="31" xfId="0" applyNumberFormat="1" applyFont="1" applyBorder="1"/>
    <xf numFmtId="179" fontId="7" fillId="11" borderId="28" xfId="0" applyNumberFormat="1" applyFont="1" applyFill="1" applyBorder="1" applyAlignment="1">
      <alignment horizontal="center"/>
    </xf>
    <xf numFmtId="179" fontId="7" fillId="11" borderId="54" xfId="0" applyNumberFormat="1" applyFont="1" applyFill="1" applyBorder="1" applyAlignment="1">
      <alignment horizontal="center"/>
    </xf>
    <xf numFmtId="180" fontId="16" fillId="0" borderId="20" xfId="0" applyNumberFormat="1" applyFont="1" applyBorder="1"/>
    <xf numFmtId="0" fontId="4" fillId="0" borderId="6" xfId="0" applyFont="1" applyBorder="1"/>
    <xf numFmtId="200" fontId="3" fillId="0" borderId="30" xfId="0" applyNumberFormat="1" applyFont="1" applyBorder="1" applyAlignment="1">
      <alignment horizontal="left"/>
    </xf>
    <xf numFmtId="165" fontId="3" fillId="0" borderId="31" xfId="0" applyNumberFormat="1" applyFont="1" applyBorder="1" applyAlignment="1">
      <alignment horizontal="center"/>
    </xf>
    <xf numFmtId="6" fontId="3" fillId="0" borderId="31" xfId="0" applyNumberFormat="1" applyFont="1" applyBorder="1" applyAlignment="1">
      <alignment horizontal="center"/>
    </xf>
    <xf numFmtId="8" fontId="8" fillId="0" borderId="31" xfId="0" applyNumberFormat="1" applyFont="1" applyBorder="1" applyAlignment="1">
      <alignment horizontal="center"/>
    </xf>
    <xf numFmtId="0" fontId="18" fillId="9" borderId="54" xfId="0" applyFont="1" applyFill="1" applyBorder="1" applyAlignment="1">
      <alignment horizontal="center" vertical="center"/>
    </xf>
    <xf numFmtId="5" fontId="8" fillId="9" borderId="54" xfId="0" applyNumberFormat="1" applyFont="1" applyFill="1" applyBorder="1" applyAlignment="1">
      <alignment horizontal="center" vertical="center"/>
    </xf>
    <xf numFmtId="5" fontId="8" fillId="9" borderId="29" xfId="0" applyNumberFormat="1" applyFont="1" applyFill="1" applyBorder="1" applyAlignment="1">
      <alignment horizontal="center" vertical="center"/>
    </xf>
    <xf numFmtId="0" fontId="19" fillId="9" borderId="43" xfId="0" applyFont="1" applyFill="1" applyBorder="1" applyAlignment="1">
      <alignment horizontal="left" vertical="center" indent="1"/>
    </xf>
    <xf numFmtId="37" fontId="5" fillId="9" borderId="67" xfId="0" applyNumberFormat="1" applyFont="1" applyFill="1" applyBorder="1" applyAlignment="1">
      <alignment horizontal="center" vertical="center"/>
    </xf>
    <xf numFmtId="5" fontId="3" fillId="0" borderId="56" xfId="0" applyNumberFormat="1" applyFont="1" applyBorder="1" applyAlignment="1">
      <alignment horizontal="center"/>
    </xf>
    <xf numFmtId="0" fontId="0" fillId="9" borderId="42" xfId="0" applyFill="1" applyBorder="1"/>
    <xf numFmtId="0" fontId="4" fillId="0" borderId="0" xfId="0" applyFont="1"/>
    <xf numFmtId="3" fontId="3" fillId="0" borderId="0" xfId="0" applyNumberFormat="1" applyFont="1"/>
    <xf numFmtId="7" fontId="3" fillId="9" borderId="19" xfId="0" applyNumberFormat="1" applyFont="1" applyFill="1" applyBorder="1"/>
    <xf numFmtId="5" fontId="3" fillId="9" borderId="19" xfId="0" applyNumberFormat="1" applyFont="1" applyFill="1" applyBorder="1"/>
    <xf numFmtId="0" fontId="0" fillId="9" borderId="0" xfId="0" applyFill="1"/>
    <xf numFmtId="14" fontId="5" fillId="9" borderId="19" xfId="0" applyNumberFormat="1" applyFont="1" applyFill="1" applyBorder="1" applyAlignment="1">
      <alignment horizontal="center"/>
    </xf>
    <xf numFmtId="14" fontId="3" fillId="9" borderId="19" xfId="0" applyNumberFormat="1" applyFont="1" applyFill="1" applyBorder="1" applyAlignment="1">
      <alignment horizontal="center"/>
    </xf>
    <xf numFmtId="0" fontId="3" fillId="9" borderId="19" xfId="0" applyFont="1" applyFill="1" applyBorder="1" applyAlignment="1">
      <alignment horizontal="left" vertical="center"/>
    </xf>
    <xf numFmtId="0" fontId="4" fillId="9" borderId="19" xfId="0" applyFont="1" applyFill="1" applyBorder="1" applyAlignment="1">
      <alignment horizontal="center" vertical="center"/>
    </xf>
    <xf numFmtId="37" fontId="8" fillId="9" borderId="19" xfId="0" applyNumberFormat="1" applyFont="1" applyFill="1" applyBorder="1" applyAlignment="1">
      <alignment horizontal="center" vertical="center"/>
    </xf>
    <xf numFmtId="37" fontId="5" fillId="9" borderId="19" xfId="0" applyNumberFormat="1" applyFont="1" applyFill="1" applyBorder="1" applyAlignment="1">
      <alignment horizontal="center" vertical="center"/>
    </xf>
    <xf numFmtId="7" fontId="8" fillId="9" borderId="19" xfId="0" applyNumberFormat="1" applyFont="1" applyFill="1" applyBorder="1" applyAlignment="1">
      <alignment horizontal="center" vertical="center"/>
    </xf>
    <xf numFmtId="5" fontId="8" fillId="9" borderId="19" xfId="0" applyNumberFormat="1" applyFont="1" applyFill="1" applyBorder="1" applyAlignment="1">
      <alignment horizontal="center" vertical="center"/>
    </xf>
    <xf numFmtId="7" fontId="19" fillId="9" borderId="19" xfId="0" applyNumberFormat="1" applyFont="1" applyFill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165" fontId="5" fillId="9" borderId="19" xfId="0" applyNumberFormat="1" applyFont="1" applyFill="1" applyBorder="1" applyAlignment="1">
      <alignment horizontal="center" vertical="center"/>
    </xf>
    <xf numFmtId="180" fontId="5" fillId="9" borderId="19" xfId="0" applyNumberFormat="1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/>
    </xf>
    <xf numFmtId="0" fontId="17" fillId="9" borderId="19" xfId="0" applyFont="1" applyFill="1" applyBorder="1"/>
    <xf numFmtId="5" fontId="0" fillId="9" borderId="19" xfId="0" applyNumberFormat="1" applyFill="1" applyBorder="1"/>
    <xf numFmtId="165" fontId="0" fillId="9" borderId="19" xfId="0" applyNumberFormat="1" applyFill="1" applyBorder="1"/>
    <xf numFmtId="10" fontId="0" fillId="9" borderId="19" xfId="0" applyNumberFormat="1" applyFill="1" applyBorder="1"/>
    <xf numFmtId="9" fontId="0" fillId="9" borderId="19" xfId="0" applyNumberFormat="1" applyFill="1" applyBorder="1"/>
    <xf numFmtId="198" fontId="0" fillId="9" borderId="19" xfId="0" applyNumberFormat="1" applyFill="1" applyBorder="1"/>
    <xf numFmtId="165" fontId="7" fillId="11" borderId="24" xfId="0" applyNumberFormat="1" applyFont="1" applyFill="1" applyBorder="1" applyAlignment="1">
      <alignment horizontal="center"/>
    </xf>
    <xf numFmtId="0" fontId="0" fillId="15" borderId="0" xfId="0" applyFill="1"/>
    <xf numFmtId="0" fontId="3" fillId="9" borderId="0" xfId="0" applyFont="1" applyFill="1"/>
    <xf numFmtId="0" fontId="4" fillId="9" borderId="0" xfId="0" applyFont="1" applyFill="1"/>
    <xf numFmtId="0" fontId="4" fillId="11" borderId="28" xfId="0" applyFont="1" applyFill="1" applyBorder="1"/>
    <xf numFmtId="0" fontId="4" fillId="11" borderId="54" xfId="0" applyFont="1" applyFill="1" applyBorder="1"/>
    <xf numFmtId="0" fontId="4" fillId="11" borderId="29" xfId="0" applyFont="1" applyFill="1" applyBorder="1"/>
    <xf numFmtId="0" fontId="4" fillId="9" borderId="19" xfId="0" applyFont="1" applyFill="1" applyBorder="1"/>
    <xf numFmtId="0" fontId="4" fillId="11" borderId="54" xfId="0" applyFont="1" applyFill="1" applyBorder="1" applyAlignment="1">
      <alignment horizontal="center"/>
    </xf>
    <xf numFmtId="0" fontId="4" fillId="11" borderId="29" xfId="0" applyFont="1" applyFill="1" applyBorder="1" applyAlignment="1">
      <alignment horizontal="center"/>
    </xf>
    <xf numFmtId="0" fontId="4" fillId="11" borderId="61" xfId="0" applyFont="1" applyFill="1" applyBorder="1"/>
    <xf numFmtId="0" fontId="4" fillId="11" borderId="62" xfId="0" applyFont="1" applyFill="1" applyBorder="1"/>
    <xf numFmtId="0" fontId="4" fillId="11" borderId="62" xfId="0" applyFont="1" applyFill="1" applyBorder="1" applyAlignment="1">
      <alignment horizontal="center"/>
    </xf>
    <xf numFmtId="0" fontId="4" fillId="11" borderId="63" xfId="0" applyFont="1" applyFill="1" applyBorder="1" applyAlignment="1">
      <alignment horizontal="center"/>
    </xf>
    <xf numFmtId="0" fontId="4" fillId="11" borderId="18" xfId="0" applyFont="1" applyFill="1" applyBorder="1"/>
    <xf numFmtId="0" fontId="4" fillId="11" borderId="19" xfId="0" applyFont="1" applyFill="1" applyBorder="1"/>
    <xf numFmtId="0" fontId="4" fillId="11" borderId="19" xfId="0" applyFont="1" applyFill="1" applyBorder="1" applyAlignment="1">
      <alignment horizontal="center"/>
    </xf>
    <xf numFmtId="0" fontId="4" fillId="11" borderId="9" xfId="0" applyFont="1" applyFill="1" applyBorder="1" applyAlignment="1">
      <alignment horizontal="center"/>
    </xf>
    <xf numFmtId="0" fontId="3" fillId="9" borderId="30" xfId="0" applyFont="1" applyFill="1" applyBorder="1"/>
    <xf numFmtId="0" fontId="3" fillId="9" borderId="31" xfId="0" applyFont="1" applyFill="1" applyBorder="1"/>
    <xf numFmtId="0" fontId="3" fillId="9" borderId="31" xfId="0" applyFont="1" applyFill="1" applyBorder="1" applyAlignment="1">
      <alignment horizontal="center"/>
    </xf>
    <xf numFmtId="0" fontId="3" fillId="9" borderId="32" xfId="0" applyFont="1" applyFill="1" applyBorder="1"/>
    <xf numFmtId="0" fontId="4" fillId="9" borderId="43" xfId="0" applyFont="1" applyFill="1" applyBorder="1"/>
    <xf numFmtId="0" fontId="3" fillId="9" borderId="70" xfId="0" applyFont="1" applyFill="1" applyBorder="1"/>
    <xf numFmtId="0" fontId="3" fillId="9" borderId="42" xfId="0" applyFont="1" applyFill="1" applyBorder="1"/>
    <xf numFmtId="0" fontId="3" fillId="9" borderId="7" xfId="0" applyFont="1" applyFill="1" applyBorder="1"/>
    <xf numFmtId="0" fontId="3" fillId="9" borderId="1" xfId="0" applyFont="1" applyFill="1" applyBorder="1"/>
    <xf numFmtId="0" fontId="3" fillId="9" borderId="1" xfId="0" applyFont="1" applyFill="1" applyBorder="1" applyAlignment="1">
      <alignment horizontal="center"/>
    </xf>
    <xf numFmtId="0" fontId="3" fillId="9" borderId="8" xfId="0" applyFont="1" applyFill="1" applyBorder="1"/>
    <xf numFmtId="5" fontId="3" fillId="9" borderId="31" xfId="0" applyNumberFormat="1" applyFont="1" applyFill="1" applyBorder="1"/>
    <xf numFmtId="5" fontId="3" fillId="9" borderId="32" xfId="0" applyNumberFormat="1" applyFont="1" applyFill="1" applyBorder="1"/>
    <xf numFmtId="165" fontId="3" fillId="9" borderId="1" xfId="0" applyNumberFormat="1" applyFont="1" applyFill="1" applyBorder="1"/>
    <xf numFmtId="165" fontId="3" fillId="9" borderId="8" xfId="0" applyNumberFormat="1" applyFont="1" applyFill="1" applyBorder="1"/>
    <xf numFmtId="0" fontId="3" fillId="9" borderId="10" xfId="0" applyFont="1" applyFill="1" applyBorder="1"/>
    <xf numFmtId="0" fontId="3" fillId="9" borderId="2" xfId="0" applyFont="1" applyFill="1" applyBorder="1"/>
    <xf numFmtId="0" fontId="3" fillId="9" borderId="2" xfId="0" applyFont="1" applyFill="1" applyBorder="1" applyAlignment="1">
      <alignment horizontal="center"/>
    </xf>
    <xf numFmtId="0" fontId="3" fillId="9" borderId="11" xfId="0" applyFont="1" applyFill="1" applyBorder="1"/>
    <xf numFmtId="10" fontId="3" fillId="9" borderId="1" xfId="0" applyNumberFormat="1" applyFont="1" applyFill="1" applyBorder="1"/>
    <xf numFmtId="10" fontId="3" fillId="9" borderId="8" xfId="0" applyNumberFormat="1" applyFont="1" applyFill="1" applyBorder="1"/>
    <xf numFmtId="10" fontId="3" fillId="9" borderId="23" xfId="0" applyNumberFormat="1" applyFont="1" applyFill="1" applyBorder="1"/>
    <xf numFmtId="10" fontId="3" fillId="9" borderId="24" xfId="0" applyNumberFormat="1" applyFont="1" applyFill="1" applyBorder="1"/>
    <xf numFmtId="10" fontId="3" fillId="9" borderId="31" xfId="0" applyNumberFormat="1" applyFont="1" applyFill="1" applyBorder="1"/>
    <xf numFmtId="10" fontId="3" fillId="9" borderId="32" xfId="0" applyNumberFormat="1" applyFont="1" applyFill="1" applyBorder="1"/>
    <xf numFmtId="2" fontId="3" fillId="9" borderId="2" xfId="0" applyNumberFormat="1" applyFont="1" applyFill="1" applyBorder="1"/>
    <xf numFmtId="198" fontId="3" fillId="9" borderId="2" xfId="0" applyNumberFormat="1" applyFont="1" applyFill="1" applyBorder="1"/>
    <xf numFmtId="198" fontId="3" fillId="9" borderId="11" xfId="0" applyNumberFormat="1" applyFont="1" applyFill="1" applyBorder="1"/>
    <xf numFmtId="0" fontId="3" fillId="9" borderId="30" xfId="0" applyFont="1" applyFill="1" applyBorder="1" applyAlignment="1">
      <alignment horizontal="left" indent="1"/>
    </xf>
    <xf numFmtId="37" fontId="3" fillId="9" borderId="31" xfId="0" applyNumberFormat="1" applyFont="1" applyFill="1" applyBorder="1"/>
    <xf numFmtId="37" fontId="4" fillId="9" borderId="31" xfId="0" applyNumberFormat="1" applyFont="1" applyFill="1" applyBorder="1"/>
    <xf numFmtId="37" fontId="3" fillId="9" borderId="32" xfId="0" applyNumberFormat="1" applyFont="1" applyFill="1" applyBorder="1"/>
    <xf numFmtId="37" fontId="3" fillId="9" borderId="19" xfId="0" applyNumberFormat="1" applyFont="1" applyFill="1" applyBorder="1"/>
    <xf numFmtId="0" fontId="3" fillId="9" borderId="7" xfId="0" applyFont="1" applyFill="1" applyBorder="1" applyAlignment="1">
      <alignment horizontal="left" indent="1"/>
    </xf>
    <xf numFmtId="37" fontId="3" fillId="9" borderId="1" xfId="0" applyNumberFormat="1" applyFont="1" applyFill="1" applyBorder="1"/>
    <xf numFmtId="37" fontId="4" fillId="9" borderId="1" xfId="0" applyNumberFormat="1" applyFont="1" applyFill="1" applyBorder="1"/>
    <xf numFmtId="37" fontId="3" fillId="9" borderId="8" xfId="0" applyNumberFormat="1" applyFont="1" applyFill="1" applyBorder="1"/>
    <xf numFmtId="0" fontId="3" fillId="9" borderId="22" xfId="0" applyFont="1" applyFill="1" applyBorder="1"/>
    <xf numFmtId="37" fontId="3" fillId="9" borderId="23" xfId="0" applyNumberFormat="1" applyFont="1" applyFill="1" applyBorder="1"/>
    <xf numFmtId="37" fontId="4" fillId="9" borderId="23" xfId="0" applyNumberFormat="1" applyFont="1" applyFill="1" applyBorder="1"/>
    <xf numFmtId="37" fontId="3" fillId="9" borderId="24" xfId="0" applyNumberFormat="1" applyFont="1" applyFill="1" applyBorder="1"/>
    <xf numFmtId="0" fontId="3" fillId="11" borderId="54" xfId="0" applyFont="1" applyFill="1" applyBorder="1"/>
    <xf numFmtId="0" fontId="3" fillId="0" borderId="7" xfId="0" applyFont="1" applyBorder="1" applyAlignment="1">
      <alignment horizontal="left" indent="1"/>
    </xf>
    <xf numFmtId="5" fontId="3" fillId="0" borderId="8" xfId="0" applyNumberFormat="1" applyFont="1" applyBorder="1" applyAlignment="1">
      <alignment horizontal="center"/>
    </xf>
    <xf numFmtId="37" fontId="4" fillId="9" borderId="2" xfId="0" applyNumberFormat="1" applyFont="1" applyFill="1" applyBorder="1"/>
    <xf numFmtId="37" fontId="3" fillId="9" borderId="2" xfId="0" applyNumberFormat="1" applyFont="1" applyFill="1" applyBorder="1"/>
    <xf numFmtId="37" fontId="3" fillId="9" borderId="11" xfId="0" applyNumberFormat="1" applyFont="1" applyFill="1" applyBorder="1"/>
    <xf numFmtId="0" fontId="3" fillId="0" borderId="18" xfId="0" applyFont="1" applyBorder="1"/>
    <xf numFmtId="0" fontId="4" fillId="0" borderId="43" xfId="0" applyFont="1" applyBorder="1"/>
    <xf numFmtId="0" fontId="3" fillId="0" borderId="70" xfId="0" applyFont="1" applyBorder="1"/>
    <xf numFmtId="0" fontId="3" fillId="0" borderId="42" xfId="0" applyFont="1" applyBorder="1"/>
    <xf numFmtId="0" fontId="3" fillId="0" borderId="30" xfId="0" applyFont="1" applyBorder="1" applyAlignment="1">
      <alignment horizontal="left" indent="1"/>
    </xf>
    <xf numFmtId="37" fontId="4" fillId="0" borderId="31" xfId="0" applyNumberFormat="1" applyFont="1" applyBorder="1"/>
    <xf numFmtId="37" fontId="3" fillId="0" borderId="31" xfId="0" applyNumberFormat="1" applyFont="1" applyBorder="1"/>
    <xf numFmtId="37" fontId="3" fillId="0" borderId="32" xfId="0" applyNumberFormat="1" applyFont="1" applyBorder="1"/>
    <xf numFmtId="0" fontId="3" fillId="0" borderId="22" xfId="0" applyFont="1" applyBorder="1"/>
    <xf numFmtId="0" fontId="3" fillId="0" borderId="23" xfId="0" applyFont="1" applyBorder="1"/>
    <xf numFmtId="37" fontId="4" fillId="0" borderId="23" xfId="0" applyNumberFormat="1" applyFont="1" applyBorder="1"/>
    <xf numFmtId="37" fontId="3" fillId="0" borderId="23" xfId="0" applyNumberFormat="1" applyFont="1" applyBorder="1"/>
    <xf numFmtId="37" fontId="3" fillId="0" borderId="24" xfId="0" applyNumberFormat="1" applyFont="1" applyBorder="1"/>
    <xf numFmtId="0" fontId="3" fillId="0" borderId="2" xfId="0" applyFont="1" applyBorder="1"/>
    <xf numFmtId="37" fontId="4" fillId="0" borderId="2" xfId="0" applyNumberFormat="1" applyFont="1" applyBorder="1"/>
    <xf numFmtId="37" fontId="3" fillId="0" borderId="2" xfId="0" applyNumberFormat="1" applyFont="1" applyBorder="1"/>
    <xf numFmtId="37" fontId="3" fillId="0" borderId="11" xfId="0" applyNumberFormat="1" applyFont="1" applyBorder="1"/>
    <xf numFmtId="0" fontId="3" fillId="11" borderId="18" xfId="0" applyFont="1" applyFill="1" applyBorder="1"/>
    <xf numFmtId="0" fontId="3" fillId="11" borderId="19" xfId="0" applyFont="1" applyFill="1" applyBorder="1"/>
    <xf numFmtId="3" fontId="3" fillId="0" borderId="70" xfId="0" applyNumberFormat="1" applyFont="1" applyBorder="1"/>
    <xf numFmtId="3" fontId="3" fillId="0" borderId="42" xfId="0" applyNumberFormat="1" applyFont="1" applyBorder="1"/>
    <xf numFmtId="3" fontId="4" fillId="9" borderId="31" xfId="0" applyNumberFormat="1" applyFont="1" applyFill="1" applyBorder="1"/>
    <xf numFmtId="3" fontId="3" fillId="9" borderId="31" xfId="0" applyNumberFormat="1" applyFont="1" applyFill="1" applyBorder="1"/>
    <xf numFmtId="3" fontId="3" fillId="9" borderId="32" xfId="0" applyNumberFormat="1" applyFont="1" applyFill="1" applyBorder="1"/>
    <xf numFmtId="3" fontId="4" fillId="9" borderId="1" xfId="0" applyNumberFormat="1" applyFont="1" applyFill="1" applyBorder="1"/>
    <xf numFmtId="3" fontId="3" fillId="9" borderId="1" xfId="0" applyNumberFormat="1" applyFont="1" applyFill="1" applyBorder="1"/>
    <xf numFmtId="3" fontId="3" fillId="9" borderId="8" xfId="0" applyNumberFormat="1" applyFont="1" applyFill="1" applyBorder="1"/>
    <xf numFmtId="0" fontId="3" fillId="0" borderId="88" xfId="0" applyFont="1" applyBorder="1"/>
    <xf numFmtId="3" fontId="4" fillId="0" borderId="88" xfId="0" applyNumberFormat="1" applyFont="1" applyBorder="1"/>
    <xf numFmtId="3" fontId="4" fillId="0" borderId="63" xfId="0" applyNumberFormat="1" applyFont="1" applyBorder="1"/>
    <xf numFmtId="5" fontId="3" fillId="0" borderId="3" xfId="0" applyNumberFormat="1" applyFont="1" applyBorder="1" applyAlignment="1">
      <alignment horizontal="center"/>
    </xf>
    <xf numFmtId="5" fontId="3" fillId="0" borderId="79" xfId="0" applyNumberFormat="1" applyFont="1" applyBorder="1" applyAlignment="1">
      <alignment horizontal="center"/>
    </xf>
    <xf numFmtId="0" fontId="3" fillId="0" borderId="22" xfId="0" applyFont="1" applyBorder="1" applyAlignment="1">
      <alignment horizontal="left" indent="1"/>
    </xf>
    <xf numFmtId="5" fontId="3" fillId="0" borderId="23" xfId="0" applyNumberFormat="1" applyFont="1" applyBorder="1" applyAlignment="1">
      <alignment horizontal="center"/>
    </xf>
    <xf numFmtId="0" fontId="3" fillId="0" borderId="70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10" xfId="0" applyFont="1" applyBorder="1" applyAlignment="1">
      <alignment horizontal="left" indent="1"/>
    </xf>
    <xf numFmtId="5" fontId="3" fillId="0" borderId="2" xfId="0" applyNumberFormat="1" applyFont="1" applyBorder="1" applyAlignment="1">
      <alignment horizontal="center"/>
    </xf>
    <xf numFmtId="5" fontId="3" fillId="0" borderId="11" xfId="0" applyNumberFormat="1" applyFont="1" applyBorder="1" applyAlignment="1">
      <alignment horizontal="center"/>
    </xf>
    <xf numFmtId="0" fontId="4" fillId="11" borderId="28" xfId="0" applyFont="1" applyFill="1" applyBorder="1" applyAlignment="1">
      <alignment horizontal="left"/>
    </xf>
    <xf numFmtId="0" fontId="4" fillId="11" borderId="54" xfId="0" applyFont="1" applyFill="1" applyBorder="1" applyAlignment="1">
      <alignment horizontal="left"/>
    </xf>
    <xf numFmtId="0" fontId="4" fillId="11" borderId="29" xfId="0" applyFont="1" applyFill="1" applyBorder="1" applyAlignment="1">
      <alignment horizontal="left"/>
    </xf>
    <xf numFmtId="0" fontId="9" fillId="9" borderId="43" xfId="0" applyFont="1" applyFill="1" applyBorder="1" applyAlignment="1">
      <alignment horizontal="left" vertical="center"/>
    </xf>
    <xf numFmtId="0" fontId="4" fillId="9" borderId="43" xfId="1" applyFont="1" applyFill="1" applyBorder="1"/>
    <xf numFmtId="0" fontId="4" fillId="9" borderId="89" xfId="1" applyFont="1" applyFill="1" applyBorder="1" applyAlignment="1">
      <alignment horizontal="center"/>
    </xf>
    <xf numFmtId="0" fontId="4" fillId="9" borderId="83" xfId="0" applyFont="1" applyFill="1" applyBorder="1" applyAlignment="1">
      <alignment horizontal="center"/>
    </xf>
    <xf numFmtId="0" fontId="3" fillId="9" borderId="18" xfId="1" applyFont="1" applyFill="1" applyBorder="1"/>
    <xf numFmtId="3" fontId="5" fillId="9" borderId="55" xfId="0" applyNumberFormat="1" applyFont="1" applyFill="1" applyBorder="1"/>
    <xf numFmtId="9" fontId="5" fillId="9" borderId="55" xfId="0" applyNumberFormat="1" applyFont="1" applyFill="1" applyBorder="1"/>
    <xf numFmtId="178" fontId="3" fillId="9" borderId="86" xfId="0" applyNumberFormat="1" applyFont="1" applyFill="1" applyBorder="1"/>
    <xf numFmtId="0" fontId="3" fillId="9" borderId="65" xfId="1" applyFont="1" applyFill="1" applyBorder="1"/>
    <xf numFmtId="3" fontId="5" fillId="9" borderId="25" xfId="0" applyNumberFormat="1" applyFont="1" applyFill="1" applyBorder="1"/>
    <xf numFmtId="9" fontId="5" fillId="9" borderId="25" xfId="0" applyNumberFormat="1" applyFont="1" applyFill="1" applyBorder="1"/>
    <xf numFmtId="178" fontId="3" fillId="9" borderId="11" xfId="0" applyNumberFormat="1" applyFont="1" applyFill="1" applyBorder="1"/>
    <xf numFmtId="0" fontId="8" fillId="9" borderId="70" xfId="0" applyFont="1" applyFill="1" applyBorder="1"/>
    <xf numFmtId="178" fontId="3" fillId="9" borderId="56" xfId="0" applyNumberFormat="1" applyFont="1" applyFill="1" applyBorder="1"/>
    <xf numFmtId="0" fontId="3" fillId="9" borderId="64" xfId="1" applyFont="1" applyFill="1" applyBorder="1"/>
    <xf numFmtId="178" fontId="3" fillId="9" borderId="1" xfId="0" applyNumberFormat="1" applyFont="1" applyFill="1" applyBorder="1"/>
    <xf numFmtId="7" fontId="8" fillId="9" borderId="19" xfId="0" quotePrefix="1" applyNumberFormat="1" applyFont="1" applyFill="1" applyBorder="1" applyAlignment="1">
      <alignment horizontal="center" vertical="center"/>
    </xf>
    <xf numFmtId="0" fontId="8" fillId="9" borderId="55" xfId="0" applyFont="1" applyFill="1" applyBorder="1"/>
    <xf numFmtId="0" fontId="8" fillId="10" borderId="8" xfId="0" applyFont="1" applyFill="1" applyBorder="1"/>
    <xf numFmtId="0" fontId="8" fillId="9" borderId="19" xfId="0" applyFont="1" applyFill="1" applyBorder="1"/>
    <xf numFmtId="0" fontId="3" fillId="9" borderId="68" xfId="1" applyFont="1" applyFill="1" applyBorder="1"/>
    <xf numFmtId="10" fontId="8" fillId="9" borderId="23" xfId="0" applyNumberFormat="1" applyFont="1" applyFill="1" applyBorder="1"/>
    <xf numFmtId="1" fontId="8" fillId="10" borderId="9" xfId="0" applyNumberFormat="1" applyFont="1" applyFill="1" applyBorder="1"/>
    <xf numFmtId="1" fontId="8" fillId="9" borderId="19" xfId="0" applyNumberFormat="1" applyFont="1" applyFill="1" applyBorder="1"/>
    <xf numFmtId="10" fontId="8" fillId="9" borderId="1" xfId="0" applyNumberFormat="1" applyFont="1" applyFill="1" applyBorder="1"/>
    <xf numFmtId="1" fontId="8" fillId="10" borderId="87" xfId="0" applyNumberFormat="1" applyFont="1" applyFill="1" applyBorder="1"/>
    <xf numFmtId="0" fontId="8" fillId="9" borderId="56" xfId="0" applyFont="1" applyFill="1" applyBorder="1"/>
    <xf numFmtId="0" fontId="8" fillId="10" borderId="9" xfId="0" applyFont="1" applyFill="1" applyBorder="1"/>
    <xf numFmtId="1" fontId="8" fillId="10" borderId="44" xfId="0" applyNumberFormat="1" applyFont="1" applyFill="1" applyBorder="1"/>
    <xf numFmtId="7" fontId="8" fillId="9" borderId="8" xfId="0" quotePrefix="1" applyNumberFormat="1" applyFont="1" applyFill="1" applyBorder="1" applyAlignment="1">
      <alignment horizontal="center" vertical="center"/>
    </xf>
    <xf numFmtId="178" fontId="8" fillId="10" borderId="87" xfId="0" applyNumberFormat="1" applyFont="1" applyFill="1" applyBorder="1"/>
    <xf numFmtId="0" fontId="3" fillId="9" borderId="61" xfId="1" applyFont="1" applyFill="1" applyBorder="1"/>
    <xf numFmtId="10" fontId="8" fillId="9" borderId="40" xfId="0" applyNumberFormat="1" applyFont="1" applyFill="1" applyBorder="1"/>
    <xf numFmtId="178" fontId="8" fillId="10" borderId="63" xfId="0" applyNumberFormat="1" applyFont="1" applyFill="1" applyBorder="1" applyAlignment="1">
      <alignment horizontal="left"/>
    </xf>
    <xf numFmtId="0" fontId="4" fillId="11" borderId="43" xfId="0" applyFont="1" applyFill="1" applyBorder="1" applyAlignment="1">
      <alignment horizontal="left"/>
    </xf>
    <xf numFmtId="0" fontId="4" fillId="11" borderId="42" xfId="0" applyFont="1" applyFill="1" applyBorder="1" applyAlignment="1">
      <alignment horizontal="center"/>
    </xf>
    <xf numFmtId="0" fontId="9" fillId="9" borderId="61" xfId="0" applyFont="1" applyFill="1" applyBorder="1" applyAlignment="1">
      <alignment horizontal="left" vertical="center"/>
    </xf>
    <xf numFmtId="0" fontId="4" fillId="9" borderId="18" xfId="0" applyFont="1" applyFill="1" applyBorder="1"/>
    <xf numFmtId="0" fontId="4" fillId="9" borderId="86" xfId="0" applyFont="1" applyFill="1" applyBorder="1"/>
    <xf numFmtId="0" fontId="3" fillId="9" borderId="64" xfId="0" applyFont="1" applyFill="1" applyBorder="1"/>
    <xf numFmtId="9" fontId="3" fillId="9" borderId="8" xfId="0" applyNumberFormat="1" applyFont="1" applyFill="1" applyBorder="1" applyAlignment="1">
      <alignment wrapText="1"/>
    </xf>
    <xf numFmtId="0" fontId="3" fillId="9" borderId="61" xfId="0" applyFont="1" applyFill="1" applyBorder="1"/>
    <xf numFmtId="9" fontId="3" fillId="9" borderId="52" xfId="0" applyNumberFormat="1" applyFont="1" applyFill="1" applyBorder="1"/>
    <xf numFmtId="0" fontId="4" fillId="11" borderId="70" xfId="0" applyFont="1" applyFill="1" applyBorder="1" applyAlignment="1">
      <alignment horizontal="left"/>
    </xf>
    <xf numFmtId="0" fontId="4" fillId="11" borderId="42" xfId="0" applyFont="1" applyFill="1" applyBorder="1" applyAlignment="1">
      <alignment horizontal="left"/>
    </xf>
    <xf numFmtId="0" fontId="3" fillId="9" borderId="18" xfId="0" applyFont="1" applyFill="1" applyBorder="1"/>
    <xf numFmtId="165" fontId="6" fillId="9" borderId="19" xfId="0" applyNumberFormat="1" applyFont="1" applyFill="1" applyBorder="1"/>
    <xf numFmtId="0" fontId="9" fillId="9" borderId="90" xfId="0" applyFont="1" applyFill="1" applyBorder="1"/>
    <xf numFmtId="0" fontId="4" fillId="9" borderId="70" xfId="0" applyFont="1" applyFill="1" applyBorder="1"/>
    <xf numFmtId="0" fontId="8" fillId="9" borderId="18" xfId="0" applyFont="1" applyFill="1" applyBorder="1"/>
    <xf numFmtId="165" fontId="3" fillId="9" borderId="31" xfId="0" applyNumberFormat="1" applyFont="1" applyFill="1" applyBorder="1"/>
    <xf numFmtId="0" fontId="8" fillId="9" borderId="68" xfId="0" applyFont="1" applyFill="1" applyBorder="1"/>
    <xf numFmtId="165" fontId="3" fillId="9" borderId="56" xfId="0" applyNumberFormat="1" applyFont="1" applyFill="1" applyBorder="1"/>
    <xf numFmtId="0" fontId="8" fillId="9" borderId="64" xfId="0" applyFont="1" applyFill="1" applyBorder="1"/>
    <xf numFmtId="0" fontId="8" fillId="9" borderId="61" xfId="0" applyFont="1" applyFill="1" applyBorder="1"/>
    <xf numFmtId="165" fontId="3" fillId="9" borderId="40" xfId="0" applyNumberFormat="1" applyFont="1" applyFill="1" applyBorder="1"/>
    <xf numFmtId="0" fontId="4" fillId="9" borderId="83" xfId="0" applyFont="1" applyFill="1" applyBorder="1"/>
    <xf numFmtId="9" fontId="3" fillId="9" borderId="32" xfId="0" applyNumberFormat="1" applyFont="1" applyFill="1" applyBorder="1"/>
    <xf numFmtId="0" fontId="3" fillId="9" borderId="65" xfId="0" applyFont="1" applyFill="1" applyBorder="1"/>
    <xf numFmtId="0" fontId="3" fillId="9" borderId="18" xfId="0" applyFont="1" applyFill="1" applyBorder="1" applyAlignment="1">
      <alignment horizontal="left" indent="1"/>
    </xf>
    <xf numFmtId="9" fontId="5" fillId="9" borderId="56" xfId="0" applyNumberFormat="1" applyFont="1" applyFill="1" applyBorder="1" applyAlignment="1">
      <alignment horizontal="center"/>
    </xf>
    <xf numFmtId="9" fontId="5" fillId="9" borderId="9" xfId="0" applyNumberFormat="1" applyFont="1" applyFill="1" applyBorder="1" applyAlignment="1">
      <alignment horizontal="center"/>
    </xf>
    <xf numFmtId="3" fontId="5" fillId="9" borderId="55" xfId="0" applyNumberFormat="1" applyFont="1" applyFill="1" applyBorder="1" applyAlignment="1">
      <alignment horizontal="center"/>
    </xf>
    <xf numFmtId="3" fontId="5" fillId="9" borderId="86" xfId="0" applyNumberFormat="1" applyFont="1" applyFill="1" applyBorder="1" applyAlignment="1">
      <alignment horizontal="center"/>
    </xf>
    <xf numFmtId="0" fontId="3" fillId="9" borderId="64" xfId="0" applyFont="1" applyFill="1" applyBorder="1" applyAlignment="1">
      <alignment horizontal="left" indent="1"/>
    </xf>
    <xf numFmtId="165" fontId="3" fillId="9" borderId="3" xfId="0" applyNumberFormat="1" applyFont="1" applyFill="1" applyBorder="1" applyAlignment="1">
      <alignment horizontal="center"/>
    </xf>
    <xf numFmtId="165" fontId="3" fillId="9" borderId="8" xfId="0" applyNumberFormat="1" applyFont="1" applyFill="1" applyBorder="1" applyAlignment="1">
      <alignment horizontal="center"/>
    </xf>
    <xf numFmtId="10" fontId="3" fillId="9" borderId="55" xfId="0" applyNumberFormat="1" applyFont="1" applyFill="1" applyBorder="1" applyAlignment="1">
      <alignment horizontal="center"/>
    </xf>
    <xf numFmtId="10" fontId="3" fillId="9" borderId="86" xfId="0" applyNumberFormat="1" applyFont="1" applyFill="1" applyBorder="1" applyAlignment="1">
      <alignment horizontal="center"/>
    </xf>
    <xf numFmtId="165" fontId="5" fillId="9" borderId="56" xfId="0" applyNumberFormat="1" applyFont="1" applyFill="1" applyBorder="1" applyAlignment="1">
      <alignment horizontal="center"/>
    </xf>
    <xf numFmtId="165" fontId="5" fillId="9" borderId="9" xfId="0" applyNumberFormat="1" applyFont="1" applyFill="1" applyBorder="1" applyAlignment="1">
      <alignment horizontal="center"/>
    </xf>
    <xf numFmtId="165" fontId="3" fillId="9" borderId="1" xfId="0" applyNumberFormat="1" applyFont="1" applyFill="1" applyBorder="1" applyAlignment="1">
      <alignment horizontal="center"/>
    </xf>
    <xf numFmtId="165" fontId="3" fillId="9" borderId="87" xfId="0" applyNumberFormat="1" applyFont="1" applyFill="1" applyBorder="1" applyAlignment="1">
      <alignment horizontal="center"/>
    </xf>
    <xf numFmtId="10" fontId="3" fillId="9" borderId="56" xfId="0" applyNumberFormat="1" applyFont="1" applyFill="1" applyBorder="1" applyAlignment="1">
      <alignment horizontal="center"/>
    </xf>
    <xf numFmtId="10" fontId="3" fillId="9" borderId="9" xfId="0" applyNumberFormat="1" applyFont="1" applyFill="1" applyBorder="1" applyAlignment="1">
      <alignment horizontal="center"/>
    </xf>
    <xf numFmtId="0" fontId="3" fillId="9" borderId="66" xfId="0" applyFont="1" applyFill="1" applyBorder="1" applyAlignment="1">
      <alignment horizontal="left" indent="1"/>
    </xf>
    <xf numFmtId="165" fontId="3" fillId="9" borderId="26" xfId="0" applyNumberFormat="1" applyFont="1" applyFill="1" applyBorder="1" applyAlignment="1">
      <alignment horizontal="center"/>
    </xf>
    <xf numFmtId="165" fontId="8" fillId="9" borderId="32" xfId="0" applyNumberFormat="1" applyFont="1" applyFill="1" applyBorder="1" applyAlignment="1">
      <alignment horizontal="center"/>
    </xf>
    <xf numFmtId="165" fontId="3" fillId="9" borderId="56" xfId="0" applyNumberFormat="1" applyFont="1" applyFill="1" applyBorder="1" applyAlignment="1">
      <alignment horizontal="center"/>
    </xf>
    <xf numFmtId="165" fontId="3" fillId="9" borderId="70" xfId="0" applyNumberFormat="1" applyFont="1" applyFill="1" applyBorder="1" applyAlignment="1">
      <alignment horizontal="center"/>
    </xf>
    <xf numFmtId="10" fontId="3" fillId="9" borderId="42" xfId="0" applyNumberFormat="1" applyFont="1" applyFill="1" applyBorder="1" applyAlignment="1">
      <alignment horizontal="center"/>
    </xf>
    <xf numFmtId="165" fontId="3" fillId="9" borderId="55" xfId="0" applyNumberFormat="1" applyFont="1" applyFill="1" applyBorder="1" applyAlignment="1">
      <alignment horizontal="center"/>
    </xf>
    <xf numFmtId="0" fontId="3" fillId="9" borderId="61" xfId="0" applyFont="1" applyFill="1" applyBorder="1" applyAlignment="1">
      <alignment horizontal="left" indent="1"/>
    </xf>
    <xf numFmtId="10" fontId="3" fillId="9" borderId="88" xfId="0" applyNumberFormat="1" applyFont="1" applyFill="1" applyBorder="1" applyAlignment="1">
      <alignment horizontal="center"/>
    </xf>
    <xf numFmtId="10" fontId="3" fillId="9" borderId="52" xfId="0" applyNumberFormat="1" applyFont="1" applyFill="1" applyBorder="1" applyAlignment="1">
      <alignment horizontal="center"/>
    </xf>
    <xf numFmtId="0" fontId="5" fillId="0" borderId="9" xfId="0" applyFont="1" applyBorder="1"/>
    <xf numFmtId="0" fontId="5" fillId="0" borderId="76" xfId="0" applyFont="1" applyBorder="1" applyAlignment="1">
      <alignment horizontal="center"/>
    </xf>
    <xf numFmtId="0" fontId="5" fillId="0" borderId="87" xfId="0" applyFont="1" applyBorder="1"/>
    <xf numFmtId="0" fontId="3" fillId="0" borderId="66" xfId="0" applyFont="1" applyBorder="1"/>
    <xf numFmtId="0" fontId="5" fillId="0" borderId="27" xfId="0" applyFont="1" applyBorder="1" applyAlignment="1">
      <alignment horizontal="center"/>
    </xf>
    <xf numFmtId="0" fontId="5" fillId="0" borderId="53" xfId="0" applyFont="1" applyBorder="1"/>
    <xf numFmtId="0" fontId="5" fillId="0" borderId="62" xfId="0" applyFont="1" applyBorder="1" applyAlignment="1">
      <alignment horizontal="center"/>
    </xf>
    <xf numFmtId="0" fontId="5" fillId="0" borderId="63" xfId="0" applyFont="1" applyBorder="1"/>
    <xf numFmtId="0" fontId="4" fillId="11" borderId="43" xfId="0" applyFont="1" applyFill="1" applyBorder="1" applyAlignment="1">
      <alignment vertical="center"/>
    </xf>
    <xf numFmtId="0" fontId="3" fillId="11" borderId="70" xfId="0" applyFont="1" applyFill="1" applyBorder="1"/>
    <xf numFmtId="0" fontId="3" fillId="11" borderId="42" xfId="0" applyFont="1" applyFill="1" applyBorder="1"/>
    <xf numFmtId="0" fontId="4" fillId="11" borderId="18" xfId="0" applyFont="1" applyFill="1" applyBorder="1" applyAlignment="1">
      <alignment horizontal="center" vertical="center"/>
    </xf>
    <xf numFmtId="0" fontId="4" fillId="11" borderId="19" xfId="0" applyFont="1" applyFill="1" applyBorder="1" applyAlignment="1">
      <alignment horizontal="center" vertical="center" wrapText="1"/>
    </xf>
    <xf numFmtId="0" fontId="4" fillId="11" borderId="19" xfId="0" applyFont="1" applyFill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/>
    </xf>
    <xf numFmtId="0" fontId="4" fillId="11" borderId="43" xfId="0" applyFont="1" applyFill="1" applyBorder="1"/>
    <xf numFmtId="0" fontId="4" fillId="11" borderId="70" xfId="0" applyFont="1" applyFill="1" applyBorder="1"/>
    <xf numFmtId="0" fontId="4" fillId="11" borderId="42" xfId="0" applyFont="1" applyFill="1" applyBorder="1"/>
    <xf numFmtId="0" fontId="4" fillId="11" borderId="30" xfId="0" applyFont="1" applyFill="1" applyBorder="1"/>
    <xf numFmtId="0" fontId="4" fillId="11" borderId="31" xfId="0" applyFont="1" applyFill="1" applyBorder="1"/>
    <xf numFmtId="0" fontId="4" fillId="11" borderId="31" xfId="0" applyFont="1" applyFill="1" applyBorder="1" applyAlignment="1">
      <alignment horizontal="center"/>
    </xf>
    <xf numFmtId="0" fontId="4" fillId="11" borderId="32" xfId="0" applyFont="1" applyFill="1" applyBorder="1"/>
    <xf numFmtId="0" fontId="3" fillId="9" borderId="7" xfId="0" applyFont="1" applyFill="1" applyBorder="1" applyAlignment="1">
      <alignment horizontal="center"/>
    </xf>
    <xf numFmtId="2" fontId="3" fillId="9" borderId="1" xfId="0" applyNumberFormat="1" applyFont="1" applyFill="1" applyBorder="1" applyAlignment="1">
      <alignment horizontal="center" vertical="center"/>
    </xf>
    <xf numFmtId="43" fontId="3" fillId="9" borderId="1" xfId="0" applyNumberFormat="1" applyFont="1" applyFill="1" applyBorder="1" applyAlignment="1">
      <alignment horizontal="center" vertical="center"/>
    </xf>
    <xf numFmtId="166" fontId="3" fillId="9" borderId="1" xfId="0" applyNumberFormat="1" applyFont="1" applyFill="1" applyBorder="1"/>
    <xf numFmtId="0" fontId="3" fillId="9" borderId="1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 vertical="center"/>
    </xf>
    <xf numFmtId="43" fontId="3" fillId="9" borderId="2" xfId="0" applyNumberFormat="1" applyFont="1" applyFill="1" applyBorder="1" applyAlignment="1">
      <alignment horizontal="center" vertical="center"/>
    </xf>
    <xf numFmtId="178" fontId="3" fillId="9" borderId="2" xfId="0" applyNumberFormat="1" applyFont="1" applyFill="1" applyBorder="1"/>
    <xf numFmtId="166" fontId="3" fillId="9" borderId="2" xfId="0" applyNumberFormat="1" applyFont="1" applyFill="1" applyBorder="1"/>
    <xf numFmtId="0" fontId="3" fillId="0" borderId="79" xfId="0" applyFont="1" applyBorder="1"/>
    <xf numFmtId="166" fontId="3" fillId="0" borderId="19" xfId="0" applyNumberFormat="1" applyFont="1" applyBorder="1"/>
    <xf numFmtId="166" fontId="4" fillId="11" borderId="42" xfId="0" applyNumberFormat="1" applyFont="1" applyFill="1" applyBorder="1"/>
    <xf numFmtId="43" fontId="3" fillId="9" borderId="1" xfId="0" applyNumberFormat="1" applyFont="1" applyFill="1" applyBorder="1"/>
    <xf numFmtId="43" fontId="3" fillId="9" borderId="2" xfId="0" applyNumberFormat="1" applyFont="1" applyFill="1" applyBorder="1"/>
    <xf numFmtId="0" fontId="9" fillId="11" borderId="43" xfId="0" applyFont="1" applyFill="1" applyBorder="1"/>
    <xf numFmtId="0" fontId="3" fillId="9" borderId="30" xfId="0" applyFont="1" applyFill="1" applyBorder="1" applyAlignment="1">
      <alignment horizontal="center"/>
    </xf>
    <xf numFmtId="0" fontId="3" fillId="9" borderId="27" xfId="0" applyFont="1" applyFill="1" applyBorder="1"/>
    <xf numFmtId="0" fontId="3" fillId="9" borderId="75" xfId="0" applyFont="1" applyFill="1" applyBorder="1" applyAlignment="1">
      <alignment horizontal="center" vertical="center"/>
    </xf>
    <xf numFmtId="43" fontId="3" fillId="9" borderId="31" xfId="0" applyNumberFormat="1" applyFont="1" applyFill="1" applyBorder="1"/>
    <xf numFmtId="166" fontId="3" fillId="9" borderId="31" xfId="0" applyNumberFormat="1" applyFont="1" applyFill="1" applyBorder="1"/>
    <xf numFmtId="166" fontId="3" fillId="9" borderId="32" xfId="0" applyNumberFormat="1" applyFont="1" applyFill="1" applyBorder="1" applyAlignment="1">
      <alignment horizontal="left" indent="7"/>
    </xf>
    <xf numFmtId="0" fontId="3" fillId="9" borderId="76" xfId="0" applyFont="1" applyFill="1" applyBorder="1"/>
    <xf numFmtId="0" fontId="3" fillId="9" borderId="4" xfId="0" applyFont="1" applyFill="1" applyBorder="1" applyAlignment="1">
      <alignment horizontal="center" vertical="center"/>
    </xf>
    <xf numFmtId="166" fontId="3" fillId="9" borderId="8" xfId="0" applyNumberFormat="1" applyFont="1" applyFill="1" applyBorder="1" applyAlignment="1">
      <alignment horizontal="left" indent="7"/>
    </xf>
    <xf numFmtId="0" fontId="3" fillId="9" borderId="4" xfId="0" applyFont="1" applyFill="1" applyBorder="1" applyAlignment="1">
      <alignment horizontal="center"/>
    </xf>
    <xf numFmtId="0" fontId="3" fillId="9" borderId="62" xfId="0" applyFont="1" applyFill="1" applyBorder="1"/>
    <xf numFmtId="0" fontId="3" fillId="9" borderId="40" xfId="0" applyFont="1" applyFill="1" applyBorder="1"/>
    <xf numFmtId="166" fontId="3" fillId="9" borderId="11" xfId="0" applyNumberFormat="1" applyFont="1" applyFill="1" applyBorder="1" applyAlignment="1">
      <alignment horizontal="left" indent="7"/>
    </xf>
    <xf numFmtId="0" fontId="4" fillId="9" borderId="61" xfId="0" applyFont="1" applyFill="1" applyBorder="1"/>
    <xf numFmtId="2" fontId="4" fillId="9" borderId="62" xfId="0" applyNumberFormat="1" applyFont="1" applyFill="1" applyBorder="1" applyAlignment="1">
      <alignment horizontal="center"/>
    </xf>
    <xf numFmtId="43" fontId="4" fillId="9" borderId="62" xfId="0" applyNumberFormat="1" applyFont="1" applyFill="1" applyBorder="1"/>
    <xf numFmtId="166" fontId="4" fillId="9" borderId="62" xfId="0" applyNumberFormat="1" applyFont="1" applyFill="1" applyBorder="1"/>
    <xf numFmtId="166" fontId="4" fillId="9" borderId="63" xfId="0" applyNumberFormat="1" applyFont="1" applyFill="1" applyBorder="1" applyAlignment="1">
      <alignment horizontal="left" indent="7"/>
    </xf>
    <xf numFmtId="0" fontId="4" fillId="11" borderId="70" xfId="0" applyFont="1" applyFill="1" applyBorder="1" applyAlignment="1">
      <alignment horizontal="center"/>
    </xf>
    <xf numFmtId="0" fontId="3" fillId="9" borderId="9" xfId="0" applyFont="1" applyFill="1" applyBorder="1"/>
    <xf numFmtId="0" fontId="3" fillId="9" borderId="69" xfId="0" applyFont="1" applyFill="1" applyBorder="1"/>
    <xf numFmtId="166" fontId="3" fillId="9" borderId="69" xfId="0" applyNumberFormat="1" applyFont="1" applyFill="1" applyBorder="1"/>
    <xf numFmtId="178" fontId="3" fillId="9" borderId="23" xfId="0" applyNumberFormat="1" applyFont="1" applyFill="1" applyBorder="1"/>
    <xf numFmtId="0" fontId="3" fillId="9" borderId="74" xfId="0" applyFont="1" applyFill="1" applyBorder="1"/>
    <xf numFmtId="166" fontId="3" fillId="9" borderId="44" xfId="0" applyNumberFormat="1" applyFont="1" applyFill="1" applyBorder="1"/>
    <xf numFmtId="166" fontId="3" fillId="9" borderId="23" xfId="0" applyNumberFormat="1" applyFont="1" applyFill="1" applyBorder="1"/>
    <xf numFmtId="43" fontId="3" fillId="9" borderId="80" xfId="0" applyNumberFormat="1" applyFont="1" applyFill="1" applyBorder="1"/>
    <xf numFmtId="0" fontId="3" fillId="9" borderId="68" xfId="0" applyFont="1" applyFill="1" applyBorder="1"/>
    <xf numFmtId="166" fontId="3" fillId="9" borderId="4" xfId="0" applyNumberFormat="1" applyFont="1" applyFill="1" applyBorder="1"/>
    <xf numFmtId="43" fontId="3" fillId="9" borderId="76" xfId="0" applyNumberFormat="1" applyFont="1" applyFill="1" applyBorder="1"/>
    <xf numFmtId="166" fontId="3" fillId="9" borderId="87" xfId="0" applyNumberFormat="1" applyFont="1" applyFill="1" applyBorder="1"/>
    <xf numFmtId="0" fontId="3" fillId="9" borderId="56" xfId="0" applyFont="1" applyFill="1" applyBorder="1"/>
    <xf numFmtId="0" fontId="3" fillId="9" borderId="23" xfId="0" applyFont="1" applyFill="1" applyBorder="1"/>
    <xf numFmtId="166" fontId="3" fillId="9" borderId="19" xfId="0" applyNumberFormat="1" applyFont="1" applyFill="1" applyBorder="1"/>
    <xf numFmtId="0" fontId="3" fillId="9" borderId="80" xfId="0" applyFont="1" applyFill="1" applyBorder="1"/>
    <xf numFmtId="43" fontId="3" fillId="9" borderId="69" xfId="0" applyNumberFormat="1" applyFont="1" applyFill="1" applyBorder="1"/>
    <xf numFmtId="0" fontId="3" fillId="9" borderId="77" xfId="0" applyFont="1" applyFill="1" applyBorder="1"/>
    <xf numFmtId="43" fontId="3" fillId="9" borderId="25" xfId="0" applyNumberFormat="1" applyFont="1" applyFill="1" applyBorder="1"/>
    <xf numFmtId="166" fontId="3" fillId="9" borderId="78" xfId="0" applyNumberFormat="1" applyFont="1" applyFill="1" applyBorder="1"/>
    <xf numFmtId="0" fontId="4" fillId="0" borderId="68" xfId="0" applyFont="1" applyBorder="1" applyAlignment="1">
      <alignment horizontal="right"/>
    </xf>
    <xf numFmtId="178" fontId="8" fillId="9" borderId="19" xfId="4" applyNumberFormat="1" applyFont="1" applyFill="1" applyBorder="1" applyAlignment="1">
      <alignment horizontal="right" vertical="center"/>
    </xf>
    <xf numFmtId="3" fontId="3" fillId="0" borderId="8" xfId="0" applyNumberFormat="1" applyFont="1" applyBorder="1"/>
    <xf numFmtId="1" fontId="8" fillId="9" borderId="9" xfId="0" applyNumberFormat="1" applyFont="1" applyFill="1" applyBorder="1" applyAlignment="1">
      <alignment horizontal="center" vertical="center"/>
    </xf>
    <xf numFmtId="0" fontId="8" fillId="9" borderId="19" xfId="0" applyFont="1" applyFill="1" applyBorder="1" applyAlignment="1">
      <alignment horizontal="left" vertical="center"/>
    </xf>
    <xf numFmtId="38" fontId="8" fillId="9" borderId="9" xfId="0" applyNumberFormat="1" applyFont="1" applyFill="1" applyBorder="1" applyAlignment="1">
      <alignment horizontal="left" vertical="center"/>
    </xf>
    <xf numFmtId="207" fontId="6" fillId="0" borderId="1" xfId="0" applyNumberFormat="1" applyFont="1" applyBorder="1" applyAlignment="1">
      <alignment horizontal="center"/>
    </xf>
    <xf numFmtId="204" fontId="6" fillId="0" borderId="1" xfId="0" applyNumberFormat="1" applyFont="1" applyBorder="1" applyAlignment="1">
      <alignment horizontal="center"/>
    </xf>
    <xf numFmtId="209" fontId="6" fillId="0" borderId="14" xfId="0" applyNumberFormat="1" applyFont="1" applyBorder="1" applyAlignment="1">
      <alignment horizontal="center"/>
    </xf>
    <xf numFmtId="208" fontId="6" fillId="0" borderId="14" xfId="0" applyNumberFormat="1" applyFont="1" applyBorder="1" applyAlignment="1">
      <alignment horizontal="center"/>
    </xf>
    <xf numFmtId="210" fontId="6" fillId="0" borderId="1" xfId="0" applyNumberFormat="1" applyFont="1" applyBorder="1" applyAlignment="1">
      <alignment horizontal="center"/>
    </xf>
    <xf numFmtId="211" fontId="6" fillId="0" borderId="1" xfId="0" applyNumberFormat="1" applyFont="1" applyBorder="1" applyAlignment="1">
      <alignment horizontal="center"/>
    </xf>
    <xf numFmtId="7" fontId="5" fillId="9" borderId="56" xfId="0" applyNumberFormat="1" applyFont="1" applyFill="1" applyBorder="1" applyAlignment="1">
      <alignment horizontal="center" vertical="center"/>
    </xf>
    <xf numFmtId="7" fontId="19" fillId="9" borderId="86" xfId="0" applyNumberFormat="1" applyFont="1" applyFill="1" applyBorder="1" applyAlignment="1">
      <alignment horizontal="center" vertical="center"/>
    </xf>
    <xf numFmtId="1" fontId="8" fillId="9" borderId="67" xfId="0" applyNumberFormat="1" applyFont="1" applyFill="1" applyBorder="1" applyAlignment="1">
      <alignment horizontal="center" vertical="center"/>
    </xf>
    <xf numFmtId="1" fontId="8" fillId="9" borderId="42" xfId="0" applyNumberFormat="1" applyFont="1" applyFill="1" applyBorder="1" applyAlignment="1">
      <alignment vertical="center"/>
    </xf>
    <xf numFmtId="0" fontId="3" fillId="9" borderId="54" xfId="0" applyFont="1" applyFill="1" applyBorder="1"/>
    <xf numFmtId="0" fontId="3" fillId="9" borderId="29" xfId="0" applyFont="1" applyFill="1" applyBorder="1"/>
    <xf numFmtId="198" fontId="8" fillId="9" borderId="3" xfId="0" applyNumberFormat="1" applyFont="1" applyFill="1" applyBorder="1" applyAlignment="1">
      <alignment horizontal="right" vertical="center"/>
    </xf>
    <xf numFmtId="178" fontId="8" fillId="9" borderId="4" xfId="4" applyNumberFormat="1" applyFont="1" applyFill="1" applyBorder="1" applyAlignment="1">
      <alignment horizontal="right" vertical="center"/>
    </xf>
    <xf numFmtId="178" fontId="8" fillId="9" borderId="31" xfId="4" applyNumberFormat="1" applyFont="1" applyFill="1" applyBorder="1" applyAlignment="1">
      <alignment horizontal="right" vertical="center"/>
    </xf>
    <xf numFmtId="178" fontId="8" fillId="9" borderId="75" xfId="4" applyNumberFormat="1" applyFont="1" applyFill="1" applyBorder="1" applyAlignment="1">
      <alignment horizontal="right" vertical="center"/>
    </xf>
    <xf numFmtId="178" fontId="8" fillId="9" borderId="73" xfId="4" applyNumberFormat="1" applyFont="1" applyFill="1" applyBorder="1" applyAlignment="1">
      <alignment horizontal="right" vertical="center"/>
    </xf>
    <xf numFmtId="198" fontId="8" fillId="9" borderId="69" xfId="0" applyNumberFormat="1" applyFont="1" applyFill="1" applyBorder="1" applyAlignment="1">
      <alignment horizontal="right" vertical="center"/>
    </xf>
    <xf numFmtId="202" fontId="8" fillId="9" borderId="69" xfId="0" applyNumberFormat="1" applyFont="1" applyFill="1" applyBorder="1" applyAlignment="1">
      <alignment horizontal="right" vertical="center"/>
    </xf>
    <xf numFmtId="2" fontId="3" fillId="9" borderId="69" xfId="0" applyNumberFormat="1" applyFont="1" applyFill="1" applyBorder="1" applyAlignment="1">
      <alignment vertical="center"/>
    </xf>
    <xf numFmtId="2" fontId="8" fillId="9" borderId="69" xfId="0" applyNumberFormat="1" applyFont="1" applyFill="1" applyBorder="1" applyAlignment="1">
      <alignment horizontal="right" vertical="center"/>
    </xf>
    <xf numFmtId="198" fontId="8" fillId="9" borderId="55" xfId="0" applyNumberFormat="1" applyFont="1" applyFill="1" applyBorder="1" applyAlignment="1">
      <alignment horizontal="right" vertical="center"/>
    </xf>
    <xf numFmtId="0" fontId="3" fillId="9" borderId="64" xfId="0" applyFont="1" applyFill="1" applyBorder="1" applyAlignment="1">
      <alignment vertical="center"/>
    </xf>
    <xf numFmtId="0" fontId="3" fillId="9" borderId="68" xfId="0" applyFont="1" applyFill="1" applyBorder="1" applyAlignment="1">
      <alignment vertical="center"/>
    </xf>
    <xf numFmtId="0" fontId="3" fillId="9" borderId="66" xfId="0" applyFont="1" applyFill="1" applyBorder="1" applyAlignment="1">
      <alignment horizontal="left" vertical="center"/>
    </xf>
    <xf numFmtId="0" fontId="3" fillId="9" borderId="22" xfId="0" applyFont="1" applyFill="1" applyBorder="1" applyAlignment="1">
      <alignment vertical="center"/>
    </xf>
    <xf numFmtId="1" fontId="8" fillId="9" borderId="44" xfId="0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vertical="center"/>
    </xf>
    <xf numFmtId="0" fontId="3" fillId="9" borderId="30" xfId="0" applyFont="1" applyFill="1" applyBorder="1" applyAlignment="1">
      <alignment vertical="center"/>
    </xf>
    <xf numFmtId="0" fontId="3" fillId="9" borderId="66" xfId="0" applyFont="1" applyFill="1" applyBorder="1" applyAlignment="1">
      <alignment vertical="center"/>
    </xf>
    <xf numFmtId="1" fontId="8" fillId="9" borderId="101" xfId="0" applyNumberFormat="1" applyFont="1" applyFill="1" applyBorder="1" applyAlignment="1">
      <alignment horizontal="center" vertical="center"/>
    </xf>
    <xf numFmtId="0" fontId="3" fillId="9" borderId="64" xfId="0" applyFont="1" applyFill="1" applyBorder="1" applyAlignment="1">
      <alignment horizontal="left" vertical="center"/>
    </xf>
    <xf numFmtId="0" fontId="3" fillId="9" borderId="63" xfId="0" applyFont="1" applyFill="1" applyBorder="1"/>
    <xf numFmtId="165" fontId="3" fillId="9" borderId="19" xfId="0" applyNumberFormat="1" applyFont="1" applyFill="1" applyBorder="1"/>
    <xf numFmtId="165" fontId="8" fillId="9" borderId="19" xfId="0" applyNumberFormat="1" applyFont="1" applyFill="1" applyBorder="1" applyAlignment="1">
      <alignment horizontal="right" vertical="center"/>
    </xf>
    <xf numFmtId="165" fontId="8" fillId="9" borderId="19" xfId="0" applyNumberFormat="1" applyFont="1" applyFill="1" applyBorder="1" applyAlignment="1">
      <alignment horizontal="center" vertical="center"/>
    </xf>
    <xf numFmtId="1" fontId="8" fillId="0" borderId="44" xfId="0" applyNumberFormat="1" applyFont="1" applyBorder="1" applyAlignment="1">
      <alignment horizontal="center" vertical="center"/>
    </xf>
    <xf numFmtId="178" fontId="8" fillId="0" borderId="75" xfId="4" applyNumberFormat="1" applyFont="1" applyBorder="1" applyAlignment="1">
      <alignment horizontal="right" vertical="center"/>
    </xf>
    <xf numFmtId="0" fontId="5" fillId="0" borderId="0" xfId="0" applyFont="1" applyAlignment="1">
      <alignment horizontal="center"/>
    </xf>
    <xf numFmtId="37" fontId="5" fillId="0" borderId="83" xfId="0" applyNumberFormat="1" applyFont="1" applyBorder="1" applyAlignment="1">
      <alignment horizontal="center" vertical="center"/>
    </xf>
    <xf numFmtId="37" fontId="5" fillId="0" borderId="86" xfId="0" applyNumberFormat="1" applyFont="1" applyBorder="1" applyAlignment="1">
      <alignment horizontal="center" vertical="center"/>
    </xf>
    <xf numFmtId="205" fontId="6" fillId="9" borderId="23" xfId="4" applyNumberFormat="1" applyFont="1" applyFill="1" applyBorder="1"/>
    <xf numFmtId="206" fontId="6" fillId="9" borderId="75" xfId="4" applyNumberFormat="1" applyFont="1" applyFill="1" applyBorder="1" applyAlignment="1">
      <alignment horizontal="right" vertical="center"/>
    </xf>
    <xf numFmtId="205" fontId="6" fillId="9" borderId="4" xfId="4" applyNumberFormat="1" applyFont="1" applyFill="1" applyBorder="1" applyAlignment="1">
      <alignment horizontal="right" vertical="center"/>
    </xf>
    <xf numFmtId="205" fontId="6" fillId="9" borderId="75" xfId="4" applyNumberFormat="1" applyFont="1" applyFill="1" applyBorder="1" applyAlignment="1">
      <alignment horizontal="right" vertical="center"/>
    </xf>
    <xf numFmtId="205" fontId="6" fillId="9" borderId="74" xfId="4" applyNumberFormat="1" applyFont="1" applyFill="1" applyBorder="1" applyAlignment="1">
      <alignment horizontal="right" vertical="center"/>
    </xf>
    <xf numFmtId="0" fontId="3" fillId="9" borderId="44" xfId="0" applyFont="1" applyFill="1" applyBorder="1"/>
    <xf numFmtId="0" fontId="3" fillId="9" borderId="22" xfId="0" applyFont="1" applyFill="1" applyBorder="1" applyAlignment="1">
      <alignment horizontal="left" vertical="center"/>
    </xf>
    <xf numFmtId="0" fontId="3" fillId="9" borderId="87" xfId="0" applyFont="1" applyFill="1" applyBorder="1"/>
    <xf numFmtId="0" fontId="3" fillId="9" borderId="7" xfId="0" applyFont="1" applyFill="1" applyBorder="1" applyAlignment="1">
      <alignment horizontal="left" vertical="center"/>
    </xf>
    <xf numFmtId="0" fontId="3" fillId="0" borderId="80" xfId="0" applyFont="1" applyBorder="1"/>
    <xf numFmtId="0" fontId="3" fillId="0" borderId="76" xfId="0" applyFont="1" applyBorder="1"/>
    <xf numFmtId="205" fontId="6" fillId="9" borderId="87" xfId="4" applyNumberFormat="1" applyFont="1" applyFill="1" applyBorder="1" applyAlignment="1">
      <alignment horizontal="right"/>
    </xf>
    <xf numFmtId="205" fontId="6" fillId="9" borderId="9" xfId="4" applyNumberFormat="1" applyFont="1" applyFill="1" applyBorder="1" applyAlignment="1">
      <alignment horizontal="right" vertical="center"/>
    </xf>
    <xf numFmtId="205" fontId="6" fillId="9" borderId="87" xfId="4" applyNumberFormat="1" applyFont="1" applyFill="1" applyBorder="1" applyAlignment="1">
      <alignment horizontal="right" vertical="center"/>
    </xf>
    <xf numFmtId="205" fontId="6" fillId="9" borderId="53" xfId="4" applyNumberFormat="1" applyFont="1" applyFill="1" applyBorder="1" applyAlignment="1">
      <alignment horizontal="right" vertical="center"/>
    </xf>
    <xf numFmtId="206" fontId="6" fillId="9" borderId="53" xfId="4" applyNumberFormat="1" applyFont="1" applyFill="1" applyBorder="1" applyAlignment="1">
      <alignment horizontal="right" vertical="center"/>
    </xf>
    <xf numFmtId="206" fontId="6" fillId="9" borderId="40" xfId="4" applyNumberFormat="1" applyFont="1" applyFill="1" applyBorder="1" applyAlignment="1">
      <alignment horizontal="right" vertical="center"/>
    </xf>
    <xf numFmtId="206" fontId="6" fillId="9" borderId="63" xfId="4" applyNumberFormat="1" applyFont="1" applyFill="1" applyBorder="1" applyAlignment="1">
      <alignment horizontal="right" vertical="center"/>
    </xf>
    <xf numFmtId="165" fontId="6" fillId="9" borderId="88" xfId="0" applyNumberFormat="1" applyFont="1" applyFill="1" applyBorder="1" applyAlignment="1">
      <alignment horizontal="right" vertical="center"/>
    </xf>
    <xf numFmtId="0" fontId="8" fillId="9" borderId="3" xfId="0" applyFont="1" applyFill="1" applyBorder="1" applyAlignment="1">
      <alignment horizontal="right" vertical="center"/>
    </xf>
    <xf numFmtId="8" fontId="5" fillId="9" borderId="87" xfId="0" applyNumberFormat="1" applyFont="1" applyFill="1" applyBorder="1" applyAlignment="1">
      <alignment horizontal="center" vertical="center"/>
    </xf>
    <xf numFmtId="0" fontId="4" fillId="9" borderId="61" xfId="0" applyFont="1" applyFill="1" applyBorder="1" applyAlignment="1">
      <alignment vertical="center"/>
    </xf>
    <xf numFmtId="0" fontId="3" fillId="9" borderId="88" xfId="0" applyFont="1" applyFill="1" applyBorder="1" applyAlignment="1">
      <alignment vertical="center"/>
    </xf>
    <xf numFmtId="0" fontId="4" fillId="9" borderId="63" xfId="0" applyFont="1" applyFill="1" applyBorder="1" applyAlignment="1">
      <alignment horizontal="center" vertical="center"/>
    </xf>
    <xf numFmtId="0" fontId="4" fillId="11" borderId="43" xfId="0" applyFont="1" applyFill="1" applyBorder="1" applyAlignment="1">
      <alignment horizontal="center"/>
    </xf>
    <xf numFmtId="5" fontId="3" fillId="9" borderId="69" xfId="0" applyNumberFormat="1" applyFont="1" applyFill="1" applyBorder="1" applyAlignment="1">
      <alignment horizontal="center" vertical="center"/>
    </xf>
    <xf numFmtId="5" fontId="3" fillId="9" borderId="55" xfId="0" applyNumberFormat="1" applyFont="1" applyFill="1" applyBorder="1" applyAlignment="1">
      <alignment horizontal="center" vertical="center"/>
    </xf>
    <xf numFmtId="0" fontId="4" fillId="9" borderId="18" xfId="0" applyFont="1" applyFill="1" applyBorder="1" applyAlignment="1">
      <alignment horizontal="center" vertical="center"/>
    </xf>
    <xf numFmtId="198" fontId="3" fillId="9" borderId="55" xfId="0" applyNumberFormat="1" applyFont="1" applyFill="1" applyBorder="1" applyAlignment="1">
      <alignment horizontal="center" vertical="center"/>
    </xf>
    <xf numFmtId="178" fontId="3" fillId="9" borderId="55" xfId="0" applyNumberFormat="1" applyFont="1" applyFill="1" applyBorder="1" applyAlignment="1">
      <alignment horizontal="center" vertical="center"/>
    </xf>
    <xf numFmtId="0" fontId="3" fillId="9" borderId="55" xfId="0" applyFont="1" applyFill="1" applyBorder="1" applyAlignment="1">
      <alignment vertical="center" wrapText="1"/>
    </xf>
    <xf numFmtId="1" fontId="3" fillId="9" borderId="55" xfId="0" applyNumberFormat="1" applyFont="1" applyFill="1" applyBorder="1" applyAlignment="1">
      <alignment horizontal="center" vertical="center"/>
    </xf>
    <xf numFmtId="3" fontId="3" fillId="9" borderId="55" xfId="0" applyNumberFormat="1" applyFont="1" applyFill="1" applyBorder="1" applyAlignment="1">
      <alignment horizontal="center" vertical="center"/>
    </xf>
    <xf numFmtId="165" fontId="3" fillId="9" borderId="55" xfId="0" applyNumberFormat="1" applyFont="1" applyFill="1" applyBorder="1" applyAlignment="1">
      <alignment horizontal="center" vertical="center"/>
    </xf>
    <xf numFmtId="5" fontId="3" fillId="9" borderId="26" xfId="0" applyNumberFormat="1" applyFont="1" applyFill="1" applyBorder="1" applyAlignment="1">
      <alignment horizontal="center" vertical="center"/>
    </xf>
    <xf numFmtId="0" fontId="4" fillId="9" borderId="58" xfId="0" applyFont="1" applyFill="1" applyBorder="1" applyAlignment="1">
      <alignment horizontal="center" vertical="center"/>
    </xf>
    <xf numFmtId="198" fontId="3" fillId="9" borderId="71" xfId="0" applyNumberFormat="1" applyFont="1" applyFill="1" applyBorder="1" applyAlignment="1">
      <alignment horizontal="center" vertical="center"/>
    </xf>
    <xf numFmtId="178" fontId="3" fillId="9" borderId="71" xfId="0" applyNumberFormat="1" applyFont="1" applyFill="1" applyBorder="1" applyAlignment="1">
      <alignment horizontal="center" vertical="center"/>
    </xf>
    <xf numFmtId="0" fontId="3" fillId="9" borderId="71" xfId="0" applyFont="1" applyFill="1" applyBorder="1" applyAlignment="1">
      <alignment vertical="center" wrapText="1"/>
    </xf>
    <xf numFmtId="1" fontId="3" fillId="9" borderId="71" xfId="0" applyNumberFormat="1" applyFont="1" applyFill="1" applyBorder="1" applyAlignment="1">
      <alignment horizontal="center" vertical="center"/>
    </xf>
    <xf numFmtId="3" fontId="3" fillId="9" borderId="71" xfId="0" applyNumberFormat="1" applyFont="1" applyFill="1" applyBorder="1" applyAlignment="1">
      <alignment horizontal="center" vertical="center"/>
    </xf>
    <xf numFmtId="165" fontId="3" fillId="9" borderId="71" xfId="0" applyNumberFormat="1" applyFont="1" applyFill="1" applyBorder="1" applyAlignment="1">
      <alignment horizontal="center" vertical="center"/>
    </xf>
    <xf numFmtId="5" fontId="3" fillId="9" borderId="47" xfId="0" applyNumberFormat="1" applyFont="1" applyFill="1" applyBorder="1" applyAlignment="1">
      <alignment horizontal="center" vertical="center"/>
    </xf>
    <xf numFmtId="198" fontId="4" fillId="9" borderId="88" xfId="0" applyNumberFormat="1" applyFont="1" applyFill="1" applyBorder="1" applyAlignment="1">
      <alignment horizontal="center"/>
    </xf>
    <xf numFmtId="178" fontId="4" fillId="9" borderId="88" xfId="0" applyNumberFormat="1" applyFont="1" applyFill="1" applyBorder="1"/>
    <xf numFmtId="0" fontId="4" fillId="9" borderId="88" xfId="0" applyFont="1" applyFill="1" applyBorder="1"/>
    <xf numFmtId="1" fontId="4" fillId="9" borderId="88" xfId="0" applyNumberFormat="1" applyFont="1" applyFill="1" applyBorder="1" applyAlignment="1">
      <alignment horizontal="center" vertical="center"/>
    </xf>
    <xf numFmtId="1" fontId="4" fillId="9" borderId="88" xfId="0" applyNumberFormat="1" applyFont="1" applyFill="1" applyBorder="1" applyAlignment="1">
      <alignment horizontal="center"/>
    </xf>
    <xf numFmtId="3" fontId="4" fillId="9" borderId="88" xfId="0" applyNumberFormat="1" applyFont="1" applyFill="1" applyBorder="1" applyAlignment="1">
      <alignment horizontal="center"/>
    </xf>
    <xf numFmtId="165" fontId="4" fillId="9" borderId="88" xfId="0" applyNumberFormat="1" applyFont="1" applyFill="1" applyBorder="1" applyAlignment="1">
      <alignment horizontal="center"/>
    </xf>
    <xf numFmtId="5" fontId="4" fillId="9" borderId="88" xfId="0" applyNumberFormat="1" applyFont="1" applyFill="1" applyBorder="1" applyAlignment="1">
      <alignment horizontal="center"/>
    </xf>
    <xf numFmtId="0" fontId="4" fillId="9" borderId="5" xfId="0" applyFont="1" applyFill="1" applyBorder="1" applyAlignment="1">
      <alignment vertical="center"/>
    </xf>
    <xf numFmtId="0" fontId="3" fillId="9" borderId="20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vertical="center"/>
    </xf>
    <xf numFmtId="0" fontId="3" fillId="9" borderId="11" xfId="0" applyFont="1" applyFill="1" applyBorder="1" applyAlignment="1">
      <alignment horizontal="center" vertical="center"/>
    </xf>
    <xf numFmtId="6" fontId="3" fillId="9" borderId="31" xfId="0" applyNumberFormat="1" applyFont="1" applyFill="1" applyBorder="1" applyAlignment="1">
      <alignment horizontal="center" vertical="center"/>
    </xf>
    <xf numFmtId="6" fontId="3" fillId="9" borderId="55" xfId="0" applyNumberFormat="1" applyFont="1" applyFill="1" applyBorder="1" applyAlignment="1">
      <alignment horizontal="center" vertical="center"/>
    </xf>
    <xf numFmtId="10" fontId="3" fillId="9" borderId="19" xfId="0" applyNumberFormat="1" applyFont="1" applyFill="1" applyBorder="1" applyAlignment="1">
      <alignment horizontal="center" vertical="center"/>
    </xf>
    <xf numFmtId="10" fontId="3" fillId="9" borderId="86" xfId="0" applyNumberFormat="1" applyFont="1" applyFill="1" applyBorder="1" applyAlignment="1">
      <alignment horizontal="center" vertical="center"/>
    </xf>
    <xf numFmtId="10" fontId="3" fillId="9" borderId="69" xfId="0" applyNumberFormat="1" applyFont="1" applyFill="1" applyBorder="1" applyAlignment="1">
      <alignment horizontal="center" vertical="center"/>
    </xf>
    <xf numFmtId="10" fontId="3" fillId="9" borderId="24" xfId="0" applyNumberFormat="1" applyFont="1" applyFill="1" applyBorder="1" applyAlignment="1">
      <alignment horizontal="center" vertical="center"/>
    </xf>
    <xf numFmtId="5" fontId="4" fillId="9" borderId="103" xfId="0" applyNumberFormat="1" applyFont="1" applyFill="1" applyBorder="1" applyAlignment="1">
      <alignment horizontal="center"/>
    </xf>
    <xf numFmtId="6" fontId="4" fillId="9" borderId="103" xfId="0" applyNumberFormat="1" applyFont="1" applyFill="1" applyBorder="1" applyAlignment="1">
      <alignment horizontal="center"/>
    </xf>
    <xf numFmtId="10" fontId="4" fillId="9" borderId="103" xfId="0" applyNumberFormat="1" applyFont="1" applyFill="1" applyBorder="1" applyAlignment="1">
      <alignment horizontal="center"/>
    </xf>
    <xf numFmtId="10" fontId="4" fillId="9" borderId="104" xfId="0" applyNumberFormat="1" applyFont="1" applyFill="1" applyBorder="1" applyAlignment="1">
      <alignment horizontal="center"/>
    </xf>
    <xf numFmtId="0" fontId="4" fillId="9" borderId="0" xfId="0" applyFont="1" applyFill="1" applyAlignment="1">
      <alignment horizontal="left" vertical="center"/>
    </xf>
    <xf numFmtId="5" fontId="3" fillId="0" borderId="105" xfId="0" applyNumberFormat="1" applyFont="1" applyBorder="1" applyAlignment="1">
      <alignment horizontal="center" vertical="center"/>
    </xf>
    <xf numFmtId="195" fontId="4" fillId="0" borderId="106" xfId="0" applyNumberFormat="1" applyFont="1" applyBorder="1" applyAlignment="1">
      <alignment horizontal="right"/>
    </xf>
    <xf numFmtId="0" fontId="0" fillId="0" borderId="97" xfId="0" applyBorder="1"/>
    <xf numFmtId="0" fontId="0" fillId="0" borderId="98" xfId="0" applyBorder="1"/>
    <xf numFmtId="0" fontId="3" fillId="9" borderId="94" xfId="0" applyFont="1" applyFill="1" applyBorder="1" applyAlignment="1">
      <alignment horizontal="left" indent="1"/>
    </xf>
    <xf numFmtId="0" fontId="3" fillId="9" borderId="107" xfId="0" applyFont="1" applyFill="1" applyBorder="1" applyAlignment="1">
      <alignment horizontal="left" indent="1"/>
    </xf>
    <xf numFmtId="165" fontId="3" fillId="0" borderId="109" xfId="0" applyNumberFormat="1" applyFont="1" applyBorder="1" applyAlignment="1">
      <alignment horizontal="center"/>
    </xf>
    <xf numFmtId="0" fontId="3" fillId="9" borderId="111" xfId="0" applyFont="1" applyFill="1" applyBorder="1" applyAlignment="1">
      <alignment horizontal="left" indent="1"/>
    </xf>
    <xf numFmtId="10" fontId="3" fillId="0" borderId="110" xfId="5" applyNumberFormat="1" applyFont="1" applyBorder="1" applyAlignment="1">
      <alignment horizontal="center"/>
    </xf>
    <xf numFmtId="165" fontId="3" fillId="0" borderId="113" xfId="0" applyNumberFormat="1" applyFont="1" applyBorder="1" applyAlignment="1">
      <alignment horizontal="center"/>
    </xf>
    <xf numFmtId="0" fontId="4" fillId="9" borderId="96" xfId="0" applyFont="1" applyFill="1" applyBorder="1"/>
    <xf numFmtId="174" fontId="3" fillId="0" borderId="1" xfId="0" applyNumberFormat="1" applyFont="1" applyBorder="1" applyAlignment="1">
      <alignment horizontal="center"/>
    </xf>
    <xf numFmtId="176" fontId="3" fillId="0" borderId="1" xfId="0" applyNumberFormat="1" applyFont="1" applyBorder="1" applyAlignment="1">
      <alignment horizontal="center"/>
    </xf>
    <xf numFmtId="0" fontId="3" fillId="0" borderId="30" xfId="0" applyFont="1" applyBorder="1" applyAlignment="1">
      <alignment horizontal="left" wrapText="1"/>
    </xf>
    <xf numFmtId="0" fontId="3" fillId="12" borderId="70" xfId="0" applyFont="1" applyFill="1" applyBorder="1"/>
    <xf numFmtId="0" fontId="3" fillId="12" borderId="42" xfId="0" applyFont="1" applyFill="1" applyBorder="1"/>
    <xf numFmtId="0" fontId="8" fillId="12" borderId="70" xfId="0" applyFont="1" applyFill="1" applyBorder="1"/>
    <xf numFmtId="0" fontId="8" fillId="12" borderId="42" xfId="0" applyFont="1" applyFill="1" applyBorder="1"/>
    <xf numFmtId="0" fontId="0" fillId="9" borderId="61" xfId="0" applyFill="1" applyBorder="1"/>
    <xf numFmtId="0" fontId="0" fillId="9" borderId="62" xfId="0" applyFill="1" applyBorder="1"/>
    <xf numFmtId="0" fontId="3" fillId="9" borderId="56" xfId="0" applyFont="1" applyFill="1" applyBorder="1" applyAlignment="1">
      <alignment horizontal="center"/>
    </xf>
    <xf numFmtId="0" fontId="3" fillId="9" borderId="19" xfId="0" applyFont="1" applyFill="1" applyBorder="1" applyAlignment="1">
      <alignment horizontal="center"/>
    </xf>
    <xf numFmtId="0" fontId="3" fillId="9" borderId="55" xfId="0" applyFont="1" applyFill="1" applyBorder="1"/>
    <xf numFmtId="0" fontId="3" fillId="9" borderId="55" xfId="0" applyFont="1" applyFill="1" applyBorder="1" applyAlignment="1">
      <alignment horizontal="center"/>
    </xf>
    <xf numFmtId="0" fontId="3" fillId="9" borderId="86" xfId="0" applyFont="1" applyFill="1" applyBorder="1" applyAlignment="1">
      <alignment horizontal="center"/>
    </xf>
    <xf numFmtId="8" fontId="3" fillId="9" borderId="23" xfId="0" applyNumberFormat="1" applyFont="1" applyFill="1" applyBorder="1"/>
    <xf numFmtId="0" fontId="3" fillId="9" borderId="3" xfId="0" applyFont="1" applyFill="1" applyBorder="1"/>
    <xf numFmtId="180" fontId="3" fillId="9" borderId="1" xfId="0" applyNumberFormat="1" applyFont="1" applyFill="1" applyBorder="1"/>
    <xf numFmtId="180" fontId="3" fillId="9" borderId="56" xfId="0" applyNumberFormat="1" applyFont="1" applyFill="1" applyBorder="1"/>
    <xf numFmtId="8" fontId="3" fillId="9" borderId="1" xfId="0" applyNumberFormat="1" applyFont="1" applyFill="1" applyBorder="1"/>
    <xf numFmtId="0" fontId="3" fillId="9" borderId="88" xfId="0" applyFont="1" applyFill="1" applyBorder="1"/>
    <xf numFmtId="0" fontId="3" fillId="9" borderId="52" xfId="0" applyFont="1" applyFill="1" applyBorder="1"/>
    <xf numFmtId="0" fontId="3" fillId="9" borderId="73" xfId="0" applyFont="1" applyFill="1" applyBorder="1" applyAlignment="1">
      <alignment horizontal="center"/>
    </xf>
    <xf numFmtId="0" fontId="3" fillId="9" borderId="9" xfId="0" applyFont="1" applyFill="1" applyBorder="1" applyAlignment="1">
      <alignment horizontal="center"/>
    </xf>
    <xf numFmtId="0" fontId="3" fillId="9" borderId="4" xfId="0" applyFont="1" applyFill="1" applyBorder="1"/>
    <xf numFmtId="0" fontId="3" fillId="9" borderId="73" xfId="0" applyFont="1" applyFill="1" applyBorder="1"/>
    <xf numFmtId="0" fontId="3" fillId="9" borderId="66" xfId="0" applyFont="1" applyFill="1" applyBorder="1"/>
    <xf numFmtId="0" fontId="3" fillId="9" borderId="75" xfId="0" applyFont="1" applyFill="1" applyBorder="1"/>
    <xf numFmtId="180" fontId="3" fillId="9" borderId="56" xfId="0" applyNumberFormat="1" applyFont="1" applyFill="1" applyBorder="1" applyAlignment="1">
      <alignment horizontal="center"/>
    </xf>
    <xf numFmtId="10" fontId="3" fillId="9" borderId="23" xfId="0" applyNumberFormat="1" applyFont="1" applyFill="1" applyBorder="1" applyAlignment="1">
      <alignment horizontal="center"/>
    </xf>
    <xf numFmtId="0" fontId="0" fillId="0" borderId="18" xfId="0" applyBorder="1"/>
    <xf numFmtId="5" fontId="3" fillId="9" borderId="0" xfId="0" applyNumberFormat="1" applyFont="1" applyFill="1"/>
    <xf numFmtId="8" fontId="3" fillId="9" borderId="69" xfId="0" applyNumberFormat="1" applyFont="1" applyFill="1" applyBorder="1"/>
    <xf numFmtId="0" fontId="8" fillId="12" borderId="43" xfId="0" applyFont="1" applyFill="1" applyBorder="1" applyAlignment="1">
      <alignment horizontal="center"/>
    </xf>
    <xf numFmtId="0" fontId="8" fillId="12" borderId="70" xfId="0" applyFont="1" applyFill="1" applyBorder="1" applyAlignment="1">
      <alignment horizontal="center"/>
    </xf>
    <xf numFmtId="178" fontId="3" fillId="9" borderId="74" xfId="0" applyNumberFormat="1" applyFont="1" applyFill="1" applyBorder="1"/>
    <xf numFmtId="0" fontId="3" fillId="0" borderId="86" xfId="0" applyFont="1" applyBorder="1"/>
    <xf numFmtId="0" fontId="3" fillId="9" borderId="86" xfId="0" applyFont="1" applyFill="1" applyBorder="1"/>
    <xf numFmtId="0" fontId="4" fillId="9" borderId="96" xfId="0" applyFont="1" applyFill="1" applyBorder="1" applyAlignment="1">
      <alignment horizontal="left"/>
    </xf>
    <xf numFmtId="165" fontId="3" fillId="0" borderId="112" xfId="0" applyNumberFormat="1" applyFont="1" applyBorder="1" applyAlignment="1">
      <alignment horizontal="center"/>
    </xf>
    <xf numFmtId="0" fontId="3" fillId="11" borderId="29" xfId="0" applyFont="1" applyFill="1" applyBorder="1"/>
    <xf numFmtId="0" fontId="3" fillId="9" borderId="1" xfId="0" applyFont="1" applyFill="1" applyBorder="1" applyAlignment="1">
      <alignment horizontal="left" indent="1"/>
    </xf>
    <xf numFmtId="5" fontId="4" fillId="9" borderId="1" xfId="0" applyNumberFormat="1" applyFont="1" applyFill="1" applyBorder="1"/>
    <xf numFmtId="5" fontId="3" fillId="9" borderId="1" xfId="0" applyNumberFormat="1" applyFont="1" applyFill="1" applyBorder="1" applyAlignment="1">
      <alignment horizontal="center"/>
    </xf>
    <xf numFmtId="5" fontId="3" fillId="9" borderId="8" xfId="0" applyNumberFormat="1" applyFont="1" applyFill="1" applyBorder="1" applyAlignment="1">
      <alignment horizontal="center"/>
    </xf>
    <xf numFmtId="10" fontId="3" fillId="9" borderId="115" xfId="5" applyNumberFormat="1" applyFont="1" applyFill="1" applyBorder="1"/>
    <xf numFmtId="5" fontId="4" fillId="9" borderId="19" xfId="0" applyNumberFormat="1" applyFont="1" applyFill="1" applyBorder="1"/>
    <xf numFmtId="5" fontId="3" fillId="9" borderId="115" xfId="0" applyNumberFormat="1" applyFont="1" applyFill="1" applyBorder="1" applyAlignment="1">
      <alignment horizontal="center"/>
    </xf>
    <xf numFmtId="165" fontId="3" fillId="9" borderId="9" xfId="0" applyNumberFormat="1" applyFont="1" applyFill="1" applyBorder="1" applyAlignment="1">
      <alignment horizontal="center"/>
    </xf>
    <xf numFmtId="0" fontId="3" fillId="9" borderId="114" xfId="0" applyFont="1" applyFill="1" applyBorder="1"/>
    <xf numFmtId="10" fontId="3" fillId="9" borderId="113" xfId="5" applyNumberFormat="1" applyFont="1" applyFill="1" applyBorder="1"/>
    <xf numFmtId="5" fontId="4" fillId="9" borderId="114" xfId="0" applyNumberFormat="1" applyFont="1" applyFill="1" applyBorder="1"/>
    <xf numFmtId="5" fontId="3" fillId="9" borderId="113" xfId="0" applyNumberFormat="1" applyFont="1" applyFill="1" applyBorder="1" applyAlignment="1">
      <alignment horizontal="center"/>
    </xf>
    <xf numFmtId="165" fontId="3" fillId="9" borderId="116" xfId="0" applyNumberFormat="1" applyFont="1" applyFill="1" applyBorder="1" applyAlignment="1">
      <alignment horizontal="center"/>
    </xf>
    <xf numFmtId="10" fontId="3" fillId="9" borderId="56" xfId="0" applyNumberFormat="1" applyFont="1" applyFill="1" applyBorder="1"/>
    <xf numFmtId="5" fontId="4" fillId="9" borderId="56" xfId="0" applyNumberFormat="1" applyFont="1" applyFill="1" applyBorder="1"/>
    <xf numFmtId="5" fontId="3" fillId="9" borderId="86" xfId="0" applyNumberFormat="1" applyFont="1" applyFill="1" applyBorder="1" applyAlignment="1">
      <alignment horizontal="center"/>
    </xf>
    <xf numFmtId="0" fontId="3" fillId="9" borderId="16" xfId="0" applyFont="1" applyFill="1" applyBorder="1" applyAlignment="1">
      <alignment horizontal="left" indent="1"/>
    </xf>
    <xf numFmtId="0" fontId="3" fillId="9" borderId="91" xfId="0" applyFont="1" applyFill="1" applyBorder="1" applyAlignment="1">
      <alignment horizontal="left" indent="1"/>
    </xf>
    <xf numFmtId="10" fontId="3" fillId="9" borderId="47" xfId="0" applyNumberFormat="1" applyFont="1" applyFill="1" applyBorder="1"/>
    <xf numFmtId="5" fontId="4" fillId="9" borderId="47" xfId="0" applyNumberFormat="1" applyFont="1" applyFill="1" applyBorder="1"/>
    <xf numFmtId="5" fontId="3" fillId="9" borderId="47" xfId="0" applyNumberFormat="1" applyFont="1" applyFill="1" applyBorder="1" applyAlignment="1">
      <alignment horizontal="center"/>
    </xf>
    <xf numFmtId="5" fontId="3" fillId="9" borderId="117" xfId="0" applyNumberFormat="1" applyFont="1" applyFill="1" applyBorder="1" applyAlignment="1">
      <alignment horizontal="center"/>
    </xf>
    <xf numFmtId="0" fontId="4" fillId="9" borderId="118" xfId="0" applyFont="1" applyFill="1" applyBorder="1" applyAlignment="1">
      <alignment horizontal="left"/>
    </xf>
    <xf numFmtId="0" fontId="4" fillId="9" borderId="92" xfId="0" applyFont="1" applyFill="1" applyBorder="1" applyAlignment="1">
      <alignment horizontal="left"/>
    </xf>
    <xf numFmtId="5" fontId="3" fillId="9" borderId="1" xfId="0" applyNumberFormat="1" applyFont="1" applyFill="1" applyBorder="1"/>
    <xf numFmtId="5" fontId="3" fillId="9" borderId="8" xfId="0" applyNumberFormat="1" applyFont="1" applyFill="1" applyBorder="1"/>
    <xf numFmtId="5" fontId="3" fillId="9" borderId="47" xfId="0" applyNumberFormat="1" applyFont="1" applyFill="1" applyBorder="1"/>
    <xf numFmtId="5" fontId="3" fillId="9" borderId="117" xfId="0" applyNumberFormat="1" applyFont="1" applyFill="1" applyBorder="1"/>
    <xf numFmtId="0" fontId="4" fillId="9" borderId="119" xfId="0" applyFont="1" applyFill="1" applyBorder="1" applyAlignment="1">
      <alignment horizontal="left"/>
    </xf>
    <xf numFmtId="0" fontId="4" fillId="9" borderId="120" xfId="0" applyFont="1" applyFill="1" applyBorder="1" applyAlignment="1">
      <alignment horizontal="left"/>
    </xf>
    <xf numFmtId="5" fontId="4" fillId="9" borderId="26" xfId="0" applyNumberFormat="1" applyFont="1" applyFill="1" applyBorder="1"/>
    <xf numFmtId="5" fontId="4" fillId="9" borderId="88" xfId="0" applyNumberFormat="1" applyFont="1" applyFill="1" applyBorder="1"/>
    <xf numFmtId="5" fontId="3" fillId="9" borderId="26" xfId="0" applyNumberFormat="1" applyFont="1" applyFill="1" applyBorder="1" applyAlignment="1">
      <alignment horizontal="center"/>
    </xf>
    <xf numFmtId="5" fontId="3" fillId="9" borderId="88" xfId="0" applyNumberFormat="1" applyFont="1" applyFill="1" applyBorder="1"/>
    <xf numFmtId="5" fontId="3" fillId="9" borderId="32" xfId="0" applyNumberFormat="1" applyFont="1" applyFill="1" applyBorder="1" applyAlignment="1">
      <alignment horizontal="center"/>
    </xf>
    <xf numFmtId="5" fontId="3" fillId="9" borderId="52" xfId="0" applyNumberFormat="1" applyFont="1" applyFill="1" applyBorder="1"/>
    <xf numFmtId="0" fontId="3" fillId="9" borderId="80" xfId="0" applyFont="1" applyFill="1" applyBorder="1" applyAlignment="1">
      <alignment horizontal="left" indent="1"/>
    </xf>
    <xf numFmtId="0" fontId="3" fillId="9" borderId="121" xfId="0" applyFont="1" applyFill="1" applyBorder="1" applyAlignment="1">
      <alignment horizontal="left" indent="1"/>
    </xf>
    <xf numFmtId="165" fontId="3" fillId="0" borderId="108" xfId="0" applyNumberFormat="1" applyFont="1" applyBorder="1" applyAlignment="1">
      <alignment horizontal="center"/>
    </xf>
    <xf numFmtId="10" fontId="3" fillId="0" borderId="95" xfId="5" applyNumberFormat="1" applyFont="1" applyBorder="1" applyAlignment="1">
      <alignment horizontal="center"/>
    </xf>
    <xf numFmtId="0" fontId="8" fillId="9" borderId="26" xfId="0" applyFont="1" applyFill="1" applyBorder="1" applyAlignment="1">
      <alignment horizontal="right" vertical="center"/>
    </xf>
    <xf numFmtId="0" fontId="8" fillId="9" borderId="86" xfId="0" applyFont="1" applyFill="1" applyBorder="1" applyAlignment="1">
      <alignment horizontal="center" vertical="center"/>
    </xf>
    <xf numFmtId="0" fontId="8" fillId="9" borderId="24" xfId="0" applyFont="1" applyFill="1" applyBorder="1" applyAlignment="1">
      <alignment horizontal="center" vertical="center"/>
    </xf>
    <xf numFmtId="0" fontId="3" fillId="9" borderId="24" xfId="0" applyFont="1" applyFill="1" applyBorder="1" applyAlignment="1">
      <alignment horizontal="center" vertical="center"/>
    </xf>
    <xf numFmtId="0" fontId="8" fillId="9" borderId="8" xfId="0" applyFont="1" applyFill="1" applyBorder="1" applyAlignment="1">
      <alignment horizontal="center" vertical="center"/>
    </xf>
    <xf numFmtId="38" fontId="8" fillId="9" borderId="32" xfId="0" applyNumberFormat="1" applyFont="1" applyFill="1" applyBorder="1" applyAlignment="1">
      <alignment horizontal="center" vertical="center"/>
    </xf>
    <xf numFmtId="37" fontId="0" fillId="9" borderId="19" xfId="0" applyNumberFormat="1" applyFill="1" applyBorder="1"/>
    <xf numFmtId="0" fontId="1" fillId="9" borderId="19" xfId="0" applyFont="1" applyFill="1" applyBorder="1"/>
    <xf numFmtId="6" fontId="0" fillId="9" borderId="19" xfId="0" applyNumberFormat="1" applyFill="1" applyBorder="1"/>
    <xf numFmtId="0" fontId="3" fillId="9" borderId="26" xfId="0" applyFont="1" applyFill="1" applyBorder="1" applyAlignment="1">
      <alignment horizontal="center"/>
    </xf>
    <xf numFmtId="8" fontId="8" fillId="9" borderId="19" xfId="0" applyNumberFormat="1" applyFont="1" applyFill="1" applyBorder="1" applyAlignment="1">
      <alignment horizontal="center" vertical="center"/>
    </xf>
    <xf numFmtId="8" fontId="3" fillId="9" borderId="55" xfId="0" applyNumberFormat="1" applyFont="1" applyFill="1" applyBorder="1"/>
    <xf numFmtId="8" fontId="3" fillId="9" borderId="74" xfId="0" applyNumberFormat="1" applyFont="1" applyFill="1" applyBorder="1"/>
    <xf numFmtId="180" fontId="3" fillId="9" borderId="74" xfId="0" applyNumberFormat="1" applyFont="1" applyFill="1" applyBorder="1" applyAlignment="1">
      <alignment horizontal="center"/>
    </xf>
    <xf numFmtId="8" fontId="3" fillId="9" borderId="74" xfId="0" applyNumberFormat="1" applyFont="1" applyFill="1" applyBorder="1" applyAlignment="1">
      <alignment horizontal="center"/>
    </xf>
    <xf numFmtId="8" fontId="3" fillId="9" borderId="3" xfId="0" applyNumberFormat="1" applyFont="1" applyFill="1" applyBorder="1"/>
    <xf numFmtId="0" fontId="3" fillId="9" borderId="26" xfId="0" applyFont="1" applyFill="1" applyBorder="1"/>
    <xf numFmtId="8" fontId="3" fillId="9" borderId="26" xfId="0" applyNumberFormat="1" applyFont="1" applyFill="1" applyBorder="1"/>
    <xf numFmtId="180" fontId="3" fillId="9" borderId="26" xfId="0" applyNumberFormat="1" applyFont="1" applyFill="1" applyBorder="1" applyAlignment="1">
      <alignment horizontal="center"/>
    </xf>
    <xf numFmtId="180" fontId="3" fillId="9" borderId="27" xfId="0" applyNumberFormat="1" applyFont="1" applyFill="1" applyBorder="1" applyAlignment="1">
      <alignment horizontal="center"/>
    </xf>
    <xf numFmtId="178" fontId="3" fillId="9" borderId="76" xfId="0" applyNumberFormat="1" applyFont="1" applyFill="1" applyBorder="1"/>
    <xf numFmtId="8" fontId="3" fillId="9" borderId="88" xfId="0" applyNumberFormat="1" applyFont="1" applyFill="1" applyBorder="1" applyAlignment="1">
      <alignment horizontal="center"/>
    </xf>
    <xf numFmtId="8" fontId="3" fillId="9" borderId="19" xfId="0" applyNumberFormat="1" applyFont="1" applyFill="1" applyBorder="1"/>
    <xf numFmtId="0" fontId="4" fillId="12" borderId="28" xfId="0" applyFont="1" applyFill="1" applyBorder="1" applyAlignment="1">
      <alignment horizontal="center" vertical="center"/>
    </xf>
    <xf numFmtId="0" fontId="4" fillId="12" borderId="54" xfId="0" applyFont="1" applyFill="1" applyBorder="1" applyAlignment="1">
      <alignment horizontal="center" vertical="center"/>
    </xf>
    <xf numFmtId="0" fontId="4" fillId="12" borderId="29" xfId="0" applyFont="1" applyFill="1" applyBorder="1" applyAlignment="1">
      <alignment horizontal="center" vertical="center"/>
    </xf>
    <xf numFmtId="0" fontId="8" fillId="12" borderId="43" xfId="0" applyFont="1" applyFill="1" applyBorder="1" applyAlignment="1">
      <alignment horizontal="center"/>
    </xf>
    <xf numFmtId="0" fontId="8" fillId="12" borderId="70" xfId="0" applyFont="1" applyFill="1" applyBorder="1" applyAlignment="1">
      <alignment horizontal="center"/>
    </xf>
    <xf numFmtId="0" fontId="8" fillId="12" borderId="42" xfId="0" applyFont="1" applyFill="1" applyBorder="1" applyAlignment="1">
      <alignment horizontal="center"/>
    </xf>
    <xf numFmtId="0" fontId="3" fillId="9" borderId="18" xfId="0" applyFont="1" applyFill="1" applyBorder="1" applyAlignment="1">
      <alignment horizontal="center"/>
    </xf>
    <xf numFmtId="0" fontId="3" fillId="9" borderId="19" xfId="0" applyFont="1" applyFill="1" applyBorder="1" applyAlignment="1">
      <alignment horizontal="center"/>
    </xf>
    <xf numFmtId="0" fontId="3" fillId="9" borderId="18" xfId="0" applyFont="1" applyFill="1" applyBorder="1"/>
    <xf numFmtId="0" fontId="3" fillId="9" borderId="19" xfId="0" applyFont="1" applyFill="1" applyBorder="1"/>
    <xf numFmtId="0" fontId="3" fillId="9" borderId="9" xfId="0" applyFont="1" applyFill="1" applyBorder="1"/>
    <xf numFmtId="0" fontId="3" fillId="9" borderId="61" xfId="0" applyFont="1" applyFill="1" applyBorder="1"/>
    <xf numFmtId="0" fontId="3" fillId="9" borderId="62" xfId="0" applyFont="1" applyFill="1" applyBorder="1"/>
    <xf numFmtId="0" fontId="3" fillId="9" borderId="63" xfId="0" applyFont="1" applyFill="1" applyBorder="1"/>
    <xf numFmtId="0" fontId="4" fillId="12" borderId="43" xfId="0" applyFont="1" applyFill="1" applyBorder="1" applyAlignment="1">
      <alignment horizontal="center"/>
    </xf>
    <xf numFmtId="0" fontId="4" fillId="12" borderId="70" xfId="0" applyFont="1" applyFill="1" applyBorder="1" applyAlignment="1">
      <alignment horizontal="center"/>
    </xf>
    <xf numFmtId="0" fontId="4" fillId="12" borderId="42" xfId="0" applyFont="1" applyFill="1" applyBorder="1" applyAlignment="1">
      <alignment horizontal="center"/>
    </xf>
    <xf numFmtId="0" fontId="4" fillId="11" borderId="54" xfId="0" applyFont="1" applyFill="1" applyBorder="1" applyAlignment="1">
      <alignment horizontal="center"/>
    </xf>
    <xf numFmtId="0" fontId="4" fillId="11" borderId="29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left" indent="1"/>
    </xf>
    <xf numFmtId="0" fontId="3" fillId="9" borderId="1" xfId="0" applyFont="1" applyFill="1" applyBorder="1" applyAlignment="1">
      <alignment horizontal="left" indent="1"/>
    </xf>
    <xf numFmtId="0" fontId="3" fillId="9" borderId="41" xfId="0" applyFont="1" applyFill="1" applyBorder="1" applyAlignment="1">
      <alignment horizontal="left" indent="1"/>
    </xf>
    <xf numFmtId="0" fontId="3" fillId="9" borderId="56" xfId="0" applyFont="1" applyFill="1" applyBorder="1" applyAlignment="1">
      <alignment horizontal="left" indent="1"/>
    </xf>
    <xf numFmtId="0" fontId="3" fillId="9" borderId="68" xfId="0" applyFont="1" applyFill="1" applyBorder="1" applyAlignment="1">
      <alignment horizontal="left"/>
    </xf>
    <xf numFmtId="0" fontId="3" fillId="9" borderId="80" xfId="0" applyFont="1" applyFill="1" applyBorder="1" applyAlignment="1">
      <alignment horizontal="left"/>
    </xf>
    <xf numFmtId="0" fontId="3" fillId="9" borderId="74" xfId="0" applyFont="1" applyFill="1" applyBorder="1" applyAlignment="1">
      <alignment horizontal="left"/>
    </xf>
    <xf numFmtId="0" fontId="3" fillId="9" borderId="66" xfId="0" applyFont="1" applyFill="1" applyBorder="1" applyAlignment="1">
      <alignment horizontal="left"/>
    </xf>
    <xf numFmtId="0" fontId="3" fillId="9" borderId="27" xfId="0" applyFont="1" applyFill="1" applyBorder="1" applyAlignment="1">
      <alignment horizontal="left"/>
    </xf>
    <xf numFmtId="0" fontId="3" fillId="9" borderId="75" xfId="0" applyFont="1" applyFill="1" applyBorder="1" applyAlignment="1">
      <alignment horizontal="left"/>
    </xf>
    <xf numFmtId="0" fontId="3" fillId="9" borderId="64" xfId="0" applyFont="1" applyFill="1" applyBorder="1" applyAlignment="1">
      <alignment horizontal="left"/>
    </xf>
    <xf numFmtId="0" fontId="3" fillId="9" borderId="76" xfId="0" applyFont="1" applyFill="1" applyBorder="1" applyAlignment="1">
      <alignment horizontal="left"/>
    </xf>
    <xf numFmtId="0" fontId="3" fillId="9" borderId="4" xfId="0" applyFont="1" applyFill="1" applyBorder="1" applyAlignment="1">
      <alignment horizontal="left"/>
    </xf>
    <xf numFmtId="0" fontId="3" fillId="9" borderId="65" xfId="0" applyFont="1" applyFill="1" applyBorder="1" applyAlignment="1">
      <alignment horizontal="left"/>
    </xf>
    <xf numFmtId="0" fontId="3" fillId="9" borderId="77" xfId="0" applyFont="1" applyFill="1" applyBorder="1" applyAlignment="1">
      <alignment horizontal="left"/>
    </xf>
    <xf numFmtId="0" fontId="3" fillId="9" borderId="93" xfId="0" applyFont="1" applyFill="1" applyBorder="1" applyAlignment="1">
      <alignment horizontal="left"/>
    </xf>
    <xf numFmtId="0" fontId="4" fillId="9" borderId="19" xfId="0" applyFont="1" applyFill="1" applyBorder="1" applyAlignment="1">
      <alignment horizontal="center"/>
    </xf>
    <xf numFmtId="0" fontId="2" fillId="9" borderId="19" xfId="0" applyFont="1" applyFill="1" applyBorder="1"/>
    <xf numFmtId="0" fontId="4" fillId="11" borderId="43" xfId="0" applyFont="1" applyFill="1" applyBorder="1" applyAlignment="1">
      <alignment horizontal="center" vertical="center"/>
    </xf>
    <xf numFmtId="0" fontId="4" fillId="11" borderId="70" xfId="0" applyFont="1" applyFill="1" applyBorder="1" applyAlignment="1">
      <alignment horizontal="center" vertical="center"/>
    </xf>
    <xf numFmtId="0" fontId="4" fillId="11" borderId="42" xfId="0" applyFont="1" applyFill="1" applyBorder="1" applyAlignment="1">
      <alignment horizontal="center" vertical="center"/>
    </xf>
    <xf numFmtId="0" fontId="7" fillId="11" borderId="43" xfId="0" applyFont="1" applyFill="1" applyBorder="1" applyAlignment="1">
      <alignment horizontal="right"/>
    </xf>
    <xf numFmtId="0" fontId="2" fillId="11" borderId="70" xfId="0" applyFont="1" applyFill="1" applyBorder="1"/>
    <xf numFmtId="0" fontId="7" fillId="11" borderId="61" xfId="0" applyFont="1" applyFill="1" applyBorder="1" applyAlignment="1">
      <alignment horizontal="center"/>
    </xf>
    <xf numFmtId="0" fontId="2" fillId="11" borderId="62" xfId="0" applyFont="1" applyFill="1" applyBorder="1"/>
    <xf numFmtId="0" fontId="2" fillId="11" borderId="63" xfId="0" applyFont="1" applyFill="1" applyBorder="1"/>
    <xf numFmtId="0" fontId="7" fillId="11" borderId="43" xfId="0" applyFont="1" applyFill="1" applyBorder="1" applyAlignment="1">
      <alignment horizontal="center"/>
    </xf>
    <xf numFmtId="0" fontId="2" fillId="11" borderId="42" xfId="0" applyFont="1" applyFill="1" applyBorder="1"/>
    <xf numFmtId="179" fontId="10" fillId="12" borderId="43" xfId="0" applyNumberFormat="1" applyFont="1" applyFill="1" applyBorder="1" applyAlignment="1">
      <alignment horizontal="center"/>
    </xf>
    <xf numFmtId="0" fontId="2" fillId="12" borderId="70" xfId="0" applyFont="1" applyFill="1" applyBorder="1"/>
    <xf numFmtId="179" fontId="7" fillId="12" borderId="70" xfId="0" applyNumberFormat="1" applyFont="1" applyFill="1" applyBorder="1" applyAlignment="1">
      <alignment horizontal="center"/>
    </xf>
    <xf numFmtId="0" fontId="2" fillId="12" borderId="42" xfId="0" applyFont="1" applyFill="1" applyBorder="1"/>
    <xf numFmtId="0" fontId="7" fillId="12" borderId="43" xfId="0" applyFont="1" applyFill="1" applyBorder="1" applyAlignment="1">
      <alignment horizontal="right"/>
    </xf>
    <xf numFmtId="5" fontId="3" fillId="0" borderId="69" xfId="0" applyNumberFormat="1" applyFont="1" applyBorder="1" applyAlignment="1">
      <alignment horizontal="center"/>
    </xf>
    <xf numFmtId="0" fontId="2" fillId="0" borderId="44" xfId="0" applyFont="1" applyBorder="1"/>
    <xf numFmtId="5" fontId="4" fillId="0" borderId="3" xfId="0" applyNumberFormat="1" applyFont="1" applyBorder="1" applyAlignment="1">
      <alignment horizontal="center"/>
    </xf>
    <xf numFmtId="0" fontId="2" fillId="0" borderId="4" xfId="0" applyFont="1" applyBorder="1"/>
    <xf numFmtId="5" fontId="4" fillId="0" borderId="47" xfId="0" applyNumberFormat="1" applyFont="1" applyBorder="1" applyAlignment="1">
      <alignment horizontal="center"/>
    </xf>
    <xf numFmtId="0" fontId="2" fillId="0" borderId="17" xfId="0" applyFont="1" applyBorder="1"/>
    <xf numFmtId="5" fontId="3" fillId="0" borderId="49" xfId="0" applyNumberFormat="1" applyFont="1" applyBorder="1" applyAlignment="1">
      <alignment horizontal="center"/>
    </xf>
    <xf numFmtId="0" fontId="2" fillId="0" borderId="50" xfId="0" applyFont="1" applyBorder="1"/>
    <xf numFmtId="0" fontId="7" fillId="12" borderId="28" xfId="0" applyFont="1" applyFill="1" applyBorder="1" applyAlignment="1">
      <alignment horizontal="right"/>
    </xf>
    <xf numFmtId="0" fontId="2" fillId="12" borderId="54" xfId="0" applyFont="1" applyFill="1" applyBorder="1"/>
    <xf numFmtId="179" fontId="7" fillId="12" borderId="54" xfId="0" applyNumberFormat="1" applyFont="1" applyFill="1" applyBorder="1" applyAlignment="1">
      <alignment horizontal="center"/>
    </xf>
    <xf numFmtId="0" fontId="2" fillId="12" borderId="29" xfId="0" applyFont="1" applyFill="1" applyBorder="1"/>
    <xf numFmtId="0" fontId="3" fillId="9" borderId="55" xfId="0" applyFont="1" applyFill="1" applyBorder="1" applyAlignment="1">
      <alignment horizontal="left" wrapText="1"/>
    </xf>
    <xf numFmtId="3" fontId="4" fillId="0" borderId="9" xfId="0" applyNumberFormat="1" applyFont="1" applyBorder="1" applyAlignment="1">
      <alignment horizontal="center" vertical="center"/>
    </xf>
    <xf numFmtId="0" fontId="2" fillId="0" borderId="9" xfId="0" applyFont="1" applyBorder="1"/>
    <xf numFmtId="0" fontId="2" fillId="0" borderId="63" xfId="0" applyFont="1" applyBorder="1"/>
    <xf numFmtId="0" fontId="4" fillId="0" borderId="27" xfId="0" applyFont="1" applyBorder="1" applyAlignment="1">
      <alignment horizontal="left"/>
    </xf>
    <xf numFmtId="0" fontId="2" fillId="0" borderId="27" xfId="0" applyFont="1" applyBorder="1"/>
    <xf numFmtId="0" fontId="4" fillId="12" borderId="43" xfId="0" applyFont="1" applyFill="1" applyBorder="1" applyAlignment="1">
      <alignment horizontal="right"/>
    </xf>
    <xf numFmtId="0" fontId="7" fillId="5" borderId="28" xfId="0" applyFont="1" applyFill="1" applyBorder="1" applyAlignment="1">
      <alignment horizontal="center"/>
    </xf>
    <xf numFmtId="0" fontId="2" fillId="0" borderId="54" xfId="0" applyFont="1" applyBorder="1"/>
    <xf numFmtId="0" fontId="2" fillId="0" borderId="29" xfId="0" applyFont="1" applyBorder="1"/>
    <xf numFmtId="3" fontId="7" fillId="12" borderId="54" xfId="0" applyNumberFormat="1" applyFont="1" applyFill="1" applyBorder="1" applyAlignment="1">
      <alignment horizontal="center"/>
    </xf>
    <xf numFmtId="0" fontId="3" fillId="9" borderId="55" xfId="0" applyFont="1" applyFill="1" applyBorder="1" applyAlignment="1">
      <alignment horizontal="left"/>
    </xf>
    <xf numFmtId="3" fontId="7" fillId="12" borderId="70" xfId="0" applyNumberFormat="1" applyFont="1" applyFill="1" applyBorder="1" applyAlignment="1">
      <alignment horizontal="center"/>
    </xf>
    <xf numFmtId="5" fontId="3" fillId="3" borderId="3" xfId="0" applyNumberFormat="1" applyFont="1" applyFill="1" applyBorder="1" applyAlignment="1">
      <alignment horizontal="center"/>
    </xf>
    <xf numFmtId="5" fontId="3" fillId="3" borderId="4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2" fillId="0" borderId="76" xfId="0" applyFont="1" applyBorder="1"/>
    <xf numFmtId="0" fontId="4" fillId="0" borderId="0" xfId="0" applyFont="1" applyAlignment="1">
      <alignment horizontal="center" vertical="center"/>
    </xf>
    <xf numFmtId="0" fontId="0" fillId="0" borderId="0" xfId="0"/>
    <xf numFmtId="0" fontId="2" fillId="0" borderId="62" xfId="0" applyFont="1" applyBorder="1"/>
    <xf numFmtId="0" fontId="4" fillId="11" borderId="99" xfId="0" applyFont="1" applyFill="1" applyBorder="1"/>
    <xf numFmtId="0" fontId="3" fillId="11" borderId="100" xfId="0" applyFont="1" applyFill="1" applyBorder="1"/>
    <xf numFmtId="0" fontId="3" fillId="11" borderId="102" xfId="0" applyFont="1" applyFill="1" applyBorder="1"/>
  </cellXfs>
  <cellStyles count="6">
    <cellStyle name="Comma" xfId="4" builtinId="3"/>
    <cellStyle name="Normal" xfId="0" builtinId="0"/>
    <cellStyle name="Percent" xfId="5" builtinId="5"/>
    <cellStyle name="千位分隔 2" xfId="3" xr:uid="{B9EE0B1C-5BC6-4427-A413-0A588C3B589B}"/>
    <cellStyle name="常规 2 2" xfId="1" xr:uid="{BA758F9F-F0E4-418C-93F6-4BFAB2D45C03}"/>
    <cellStyle name="百分比 2" xfId="2" xr:uid="{7FF22FEC-BBCA-49B1-8F28-D8A843634DE9}"/>
  </cellStyles>
  <dxfs count="40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F5D0A1"/>
      <color rgb="FFB7DFF5"/>
      <color rgb="FFE68E8E"/>
      <color rgb="FFE8B7B7"/>
      <color rgb="FFEB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26</xdr:row>
      <xdr:rowOff>28575</xdr:rowOff>
    </xdr:from>
    <xdr:to>
      <xdr:col>13</xdr:col>
      <xdr:colOff>300990</xdr:colOff>
      <xdr:row>34</xdr:row>
      <xdr:rowOff>102870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76C5D548-D562-77EF-03D1-8169CAF52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5048250"/>
          <a:ext cx="6837045" cy="1537335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35</xdr:row>
      <xdr:rowOff>171450</xdr:rowOff>
    </xdr:from>
    <xdr:to>
      <xdr:col>13</xdr:col>
      <xdr:colOff>358140</xdr:colOff>
      <xdr:row>52</xdr:row>
      <xdr:rowOff>59055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428CEFC-1630-05F7-4312-1FBC5CEA3916}"/>
            </a:ext>
            <a:ext uri="{147F2762-F138-4A5C-976F-8EAC2B608ADB}">
              <a16:predDERef xmlns:a16="http://schemas.microsoft.com/office/drawing/2014/main" pred="{76C5D548-D562-77EF-03D1-8169CAF52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275" y="6905625"/>
          <a:ext cx="6865620" cy="29965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127</xdr:row>
      <xdr:rowOff>85725</xdr:rowOff>
    </xdr:from>
    <xdr:to>
      <xdr:col>5</xdr:col>
      <xdr:colOff>1024890</xdr:colOff>
      <xdr:row>143</xdr:row>
      <xdr:rowOff>0</xdr:rowOff>
    </xdr:to>
    <xdr:pic>
      <xdr:nvPicPr>
        <xdr:cNvPr id="50" name="Picture 3">
          <a:extLst>
            <a:ext uri="{FF2B5EF4-FFF2-40B4-BE49-F238E27FC236}">
              <a16:creationId xmlns:a16="http://schemas.microsoft.com/office/drawing/2014/main" id="{4D8F0748-BE26-99E1-9A35-E539B5DFBF97}"/>
            </a:ext>
            <a:ext uri="{147F2762-F138-4A5C-976F-8EAC2B608ADB}">
              <a16:predDERef xmlns:a16="http://schemas.microsoft.com/office/drawing/2014/main" pred="{1428CEFC-1630-05F7-4312-1FBC5CEA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0050" y="24164925"/>
          <a:ext cx="5867400" cy="283845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138</xdr:row>
      <xdr:rowOff>28575</xdr:rowOff>
    </xdr:from>
    <xdr:to>
      <xdr:col>13</xdr:col>
      <xdr:colOff>274320</xdr:colOff>
      <xdr:row>158</xdr:row>
      <xdr:rowOff>104775</xdr:rowOff>
    </xdr:to>
    <xdr:pic>
      <xdr:nvPicPr>
        <xdr:cNvPr id="136" name="Picture 4">
          <a:extLst>
            <a:ext uri="{FF2B5EF4-FFF2-40B4-BE49-F238E27FC236}">
              <a16:creationId xmlns:a16="http://schemas.microsoft.com/office/drawing/2014/main" id="{CA2F6A38-F6A0-358B-FC3D-16F17266DEAC}"/>
            </a:ext>
            <a:ext uri="{147F2762-F138-4A5C-976F-8EAC2B608ADB}">
              <a16:predDERef xmlns:a16="http://schemas.microsoft.com/office/drawing/2014/main" pred="{4D8F0748-BE26-99E1-9A35-E539B5DF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4050" y="25346025"/>
          <a:ext cx="6677025" cy="3733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1219200</xdr:colOff>
      <xdr:row>127</xdr:row>
      <xdr:rowOff>171450</xdr:rowOff>
    </xdr:from>
    <xdr:to>
      <xdr:col>12</xdr:col>
      <xdr:colOff>445770</xdr:colOff>
      <xdr:row>134</xdr:row>
      <xdr:rowOff>177165</xdr:rowOff>
    </xdr:to>
    <xdr:pic>
      <xdr:nvPicPr>
        <xdr:cNvPr id="52" name="Picture 5">
          <a:extLst>
            <a:ext uri="{FF2B5EF4-FFF2-40B4-BE49-F238E27FC236}">
              <a16:creationId xmlns:a16="http://schemas.microsoft.com/office/drawing/2014/main" id="{C33F4FE0-D543-73FB-2B9A-7E32D0B55CB6}"/>
            </a:ext>
            <a:ext uri="{147F2762-F138-4A5C-976F-8EAC2B608ADB}">
              <a16:predDERef xmlns:a16="http://schemas.microsoft.com/office/drawing/2014/main" pred="{CA2F6A38-F6A0-358B-FC3D-16F17266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3175" y="24250650"/>
          <a:ext cx="561975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25</xdr:row>
      <xdr:rowOff>104775</xdr:rowOff>
    </xdr:from>
    <xdr:to>
      <xdr:col>5</xdr:col>
      <xdr:colOff>415290</xdr:colOff>
      <xdr:row>42</xdr:row>
      <xdr:rowOff>148590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1253CA9B-EB0F-0BD3-0555-1D6E270CDDBD}"/>
            </a:ext>
            <a:ext uri="{147F2762-F138-4A5C-976F-8EAC2B608ADB}">
              <a16:predDERef xmlns:a16="http://schemas.microsoft.com/office/drawing/2014/main" pred="{C33F4FE0-D543-73FB-2B9A-7E32D0B55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" y="4857750"/>
          <a:ext cx="5162550" cy="31527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42</xdr:row>
      <xdr:rowOff>123825</xdr:rowOff>
    </xdr:from>
    <xdr:to>
      <xdr:col>4</xdr:col>
      <xdr:colOff>548640</xdr:colOff>
      <xdr:row>56</xdr:row>
      <xdr:rowOff>106680</xdr:rowOff>
    </xdr:to>
    <xdr:pic>
      <xdr:nvPicPr>
        <xdr:cNvPr id="137" name="Picture 7">
          <a:extLst>
            <a:ext uri="{FF2B5EF4-FFF2-40B4-BE49-F238E27FC236}">
              <a16:creationId xmlns:a16="http://schemas.microsoft.com/office/drawing/2014/main" id="{1920DF63-C368-1DB0-1C32-4D16AA72D4C6}"/>
            </a:ext>
            <a:ext uri="{147F2762-F138-4A5C-976F-8EAC2B608ADB}">
              <a16:predDERef xmlns:a16="http://schemas.microsoft.com/office/drawing/2014/main" pred="{1253CA9B-EB0F-0BD3-0555-1D6E270C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375" y="7981950"/>
          <a:ext cx="4467225" cy="2543175"/>
        </a:xfrm>
        <a:prstGeom prst="rect">
          <a:avLst/>
        </a:prstGeom>
      </xdr:spPr>
    </xdr:pic>
    <xdr:clientData/>
  </xdr:twoCellAnchor>
  <xdr:twoCellAnchor editAs="oneCell">
    <xdr:from>
      <xdr:col>5</xdr:col>
      <xdr:colOff>1485900</xdr:colOff>
      <xdr:row>93</xdr:row>
      <xdr:rowOff>57150</xdr:rowOff>
    </xdr:from>
    <xdr:to>
      <xdr:col>13</xdr:col>
      <xdr:colOff>321945</xdr:colOff>
      <xdr:row>112</xdr:row>
      <xdr:rowOff>125730</xdr:rowOff>
    </xdr:to>
    <xdr:pic>
      <xdr:nvPicPr>
        <xdr:cNvPr id="94" name="Picture 17">
          <a:extLst>
            <a:ext uri="{FF2B5EF4-FFF2-40B4-BE49-F238E27FC236}">
              <a16:creationId xmlns:a16="http://schemas.microsoft.com/office/drawing/2014/main" id="{594321AD-2736-E979-EB3C-AF61896DC135}"/>
            </a:ext>
            <a:ext uri="{147F2762-F138-4A5C-976F-8EAC2B608ADB}">
              <a16:predDERef xmlns:a16="http://schemas.microsoft.com/office/drawing/2014/main" pred="{1920DF63-C368-1DB0-1C32-4D16AA72D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19875" y="17849850"/>
          <a:ext cx="5838825" cy="3543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117</xdr:row>
      <xdr:rowOff>152400</xdr:rowOff>
    </xdr:from>
    <xdr:to>
      <xdr:col>5</xdr:col>
      <xdr:colOff>1405890</xdr:colOff>
      <xdr:row>124</xdr:row>
      <xdr:rowOff>81915</xdr:rowOff>
    </xdr:to>
    <xdr:pic>
      <xdr:nvPicPr>
        <xdr:cNvPr id="98" name="Picture 19">
          <a:extLst>
            <a:ext uri="{FF2B5EF4-FFF2-40B4-BE49-F238E27FC236}">
              <a16:creationId xmlns:a16="http://schemas.microsoft.com/office/drawing/2014/main" id="{E28F7ED3-17C1-7EBD-7F0B-E1600AE549FC}"/>
            </a:ext>
            <a:ext uri="{147F2762-F138-4A5C-976F-8EAC2B608ADB}">
              <a16:predDERef xmlns:a16="http://schemas.microsoft.com/office/drawing/2014/main" pred="{594321AD-2736-E979-EB3C-AF61896D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0075" y="22326600"/>
          <a:ext cx="6048375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93</xdr:row>
      <xdr:rowOff>76200</xdr:rowOff>
    </xdr:from>
    <xdr:to>
      <xdr:col>5</xdr:col>
      <xdr:colOff>986790</xdr:colOff>
      <xdr:row>117</xdr:row>
      <xdr:rowOff>173355</xdr:rowOff>
    </xdr:to>
    <xdr:pic>
      <xdr:nvPicPr>
        <xdr:cNvPr id="101" name="Picture 21">
          <a:extLst>
            <a:ext uri="{FF2B5EF4-FFF2-40B4-BE49-F238E27FC236}">
              <a16:creationId xmlns:a16="http://schemas.microsoft.com/office/drawing/2014/main" id="{B4127320-F352-61EA-78B9-AE0686F0D1F9}"/>
            </a:ext>
            <a:ext uri="{147F2762-F138-4A5C-976F-8EAC2B608ADB}">
              <a16:predDERef xmlns:a16="http://schemas.microsoft.com/office/drawing/2014/main" pred="{E28F7ED3-17C1-7EBD-7F0B-E1600AE5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1075" y="17868900"/>
          <a:ext cx="5248275" cy="4486275"/>
        </a:xfrm>
        <a:prstGeom prst="rect">
          <a:avLst/>
        </a:prstGeom>
      </xdr:spPr>
    </xdr:pic>
    <xdr:clientData/>
  </xdr:twoCellAnchor>
  <xdr:twoCellAnchor editAs="oneCell">
    <xdr:from>
      <xdr:col>5</xdr:col>
      <xdr:colOff>1676400</xdr:colOff>
      <xdr:row>112</xdr:row>
      <xdr:rowOff>57150</xdr:rowOff>
    </xdr:from>
    <xdr:to>
      <xdr:col>13</xdr:col>
      <xdr:colOff>131445</xdr:colOff>
      <xdr:row>124</xdr:row>
      <xdr:rowOff>186690</xdr:rowOff>
    </xdr:to>
    <xdr:pic>
      <xdr:nvPicPr>
        <xdr:cNvPr id="103" name="Picture 22">
          <a:extLst>
            <a:ext uri="{FF2B5EF4-FFF2-40B4-BE49-F238E27FC236}">
              <a16:creationId xmlns:a16="http://schemas.microsoft.com/office/drawing/2014/main" id="{747F110A-5D8D-FAF1-C0F6-69465482DF47}"/>
            </a:ext>
            <a:ext uri="{147F2762-F138-4A5C-976F-8EAC2B608ADB}">
              <a16:predDERef xmlns:a16="http://schemas.microsoft.com/office/drawing/2014/main" pred="{B4127320-F352-61EA-78B9-AE0686F0D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10375" y="21288375"/>
          <a:ext cx="545782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59</xdr:row>
      <xdr:rowOff>133350</xdr:rowOff>
    </xdr:from>
    <xdr:to>
      <xdr:col>5</xdr:col>
      <xdr:colOff>1386840</xdr:colOff>
      <xdr:row>68</xdr:row>
      <xdr:rowOff>144780</xdr:rowOff>
    </xdr:to>
    <xdr:pic>
      <xdr:nvPicPr>
        <xdr:cNvPr id="107" name="Picture 24">
          <a:extLst>
            <a:ext uri="{FF2B5EF4-FFF2-40B4-BE49-F238E27FC236}">
              <a16:creationId xmlns:a16="http://schemas.microsoft.com/office/drawing/2014/main" id="{88688D60-959A-2283-19E9-691D37B3EC8F}"/>
            </a:ext>
            <a:ext uri="{147F2762-F138-4A5C-976F-8EAC2B608ADB}">
              <a16:predDERef xmlns:a16="http://schemas.microsoft.com/office/drawing/2014/main" pred="{747F110A-5D8D-FAF1-C0F6-69465482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5775" y="11477625"/>
          <a:ext cx="6143625" cy="1657350"/>
        </a:xfrm>
        <a:prstGeom prst="rect">
          <a:avLst/>
        </a:prstGeom>
      </xdr:spPr>
    </xdr:pic>
    <xdr:clientData/>
  </xdr:twoCellAnchor>
  <xdr:twoCellAnchor editAs="oneCell">
    <xdr:from>
      <xdr:col>5</xdr:col>
      <xdr:colOff>1466850</xdr:colOff>
      <xdr:row>60</xdr:row>
      <xdr:rowOff>66675</xdr:rowOff>
    </xdr:from>
    <xdr:to>
      <xdr:col>13</xdr:col>
      <xdr:colOff>388620</xdr:colOff>
      <xdr:row>66</xdr:row>
      <xdr:rowOff>131445</xdr:rowOff>
    </xdr:to>
    <xdr:pic>
      <xdr:nvPicPr>
        <xdr:cNvPr id="115" name="Picture 25">
          <a:extLst>
            <a:ext uri="{FF2B5EF4-FFF2-40B4-BE49-F238E27FC236}">
              <a16:creationId xmlns:a16="http://schemas.microsoft.com/office/drawing/2014/main" id="{6FA170F5-AF6C-07D6-AA61-DFB14CAAC9BE}"/>
            </a:ext>
            <a:ext uri="{147F2762-F138-4A5C-976F-8EAC2B608ADB}">
              <a16:predDERef xmlns:a16="http://schemas.microsoft.com/office/drawing/2014/main" pred="{88688D60-959A-2283-19E9-691D37B3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00825" y="11601450"/>
          <a:ext cx="5924550" cy="1162050"/>
        </a:xfrm>
        <a:prstGeom prst="rect">
          <a:avLst/>
        </a:prstGeom>
      </xdr:spPr>
    </xdr:pic>
    <xdr:clientData/>
  </xdr:twoCellAnchor>
  <xdr:twoCellAnchor editAs="oneCell">
    <xdr:from>
      <xdr:col>5</xdr:col>
      <xdr:colOff>1485900</xdr:colOff>
      <xdr:row>69</xdr:row>
      <xdr:rowOff>152400</xdr:rowOff>
    </xdr:from>
    <xdr:to>
      <xdr:col>13</xdr:col>
      <xdr:colOff>350520</xdr:colOff>
      <xdr:row>89</xdr:row>
      <xdr:rowOff>161925</xdr:rowOff>
    </xdr:to>
    <xdr:pic>
      <xdr:nvPicPr>
        <xdr:cNvPr id="125" name="Picture 26">
          <a:extLst>
            <a:ext uri="{FF2B5EF4-FFF2-40B4-BE49-F238E27FC236}">
              <a16:creationId xmlns:a16="http://schemas.microsoft.com/office/drawing/2014/main" id="{9B8EC1CC-9062-0A50-2C18-6AA948579B15}"/>
            </a:ext>
            <a:ext uri="{147F2762-F138-4A5C-976F-8EAC2B608ADB}">
              <a16:predDERef xmlns:a16="http://schemas.microsoft.com/office/drawing/2014/main" pred="{6FA170F5-AF6C-07D6-AA61-DFB14CAAC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19875" y="13401675"/>
          <a:ext cx="5867400" cy="366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5</xdr:row>
      <xdr:rowOff>28575</xdr:rowOff>
    </xdr:from>
    <xdr:to>
      <xdr:col>18</xdr:col>
      <xdr:colOff>352425</xdr:colOff>
      <xdr:row>25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A9D27-A550-8955-0BFA-1F18BAD4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125" y="981075"/>
          <a:ext cx="4572000" cy="3924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</xdr:row>
      <xdr:rowOff>57150</xdr:rowOff>
    </xdr:from>
    <xdr:to>
      <xdr:col>9</xdr:col>
      <xdr:colOff>514350</xdr:colOff>
      <xdr:row>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561862-DC0E-8313-7FDF-5723909A1A3C}"/>
            </a:ext>
            <a:ext uri="{147F2762-F138-4A5C-976F-8EAC2B608ADB}">
              <a16:predDERef xmlns:a16="http://schemas.microsoft.com/office/drawing/2014/main" pred="{D42A9D27-A550-8955-0BFA-1F18BAD4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1009650"/>
          <a:ext cx="6477000" cy="3333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</xdr:row>
      <xdr:rowOff>19050</xdr:rowOff>
    </xdr:from>
    <xdr:to>
      <xdr:col>7</xdr:col>
      <xdr:colOff>561975</xdr:colOff>
      <xdr:row>53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A6FC16-F2E7-BEFA-7A9D-79A269B9D837}"/>
            </a:ext>
            <a:ext uri="{147F2762-F138-4A5C-976F-8EAC2B608ADB}">
              <a16:predDERef xmlns:a16="http://schemas.microsoft.com/office/drawing/2014/main" pred="{85561862-DC0E-8313-7FDF-5723909A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5924550"/>
          <a:ext cx="5295900" cy="35433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15</xdr:col>
      <xdr:colOff>409575</xdr:colOff>
      <xdr:row>53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57A71A-01A8-1559-A102-B4B114FE2C7F}"/>
            </a:ext>
            <a:ext uri="{147F2762-F138-4A5C-976F-8EAC2B608ADB}">
              <a16:predDERef xmlns:a16="http://schemas.microsoft.com/office/drawing/2014/main" pred="{F9A6FC16-F2E7-BEFA-7A9D-79A269B9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1300" y="5905500"/>
          <a:ext cx="4067175" cy="358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57</xdr:row>
      <xdr:rowOff>76200</xdr:rowOff>
    </xdr:from>
    <xdr:to>
      <xdr:col>18</xdr:col>
      <xdr:colOff>400050</xdr:colOff>
      <xdr:row>79</xdr:row>
      <xdr:rowOff>55245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20CB71F1-5B32-C3B4-EBAB-196A8BCE7C5D}"/>
            </a:ext>
            <a:ext uri="{147F2762-F138-4A5C-976F-8EAC2B608ADB}">
              <a16:predDERef xmlns:a16="http://schemas.microsoft.com/office/drawing/2014/main" pred="{C757A71A-01A8-1559-A102-B4B114FE2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850" y="10934700"/>
          <a:ext cx="4572000" cy="42481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86</xdr:row>
      <xdr:rowOff>9525</xdr:rowOff>
    </xdr:from>
    <xdr:to>
      <xdr:col>19</xdr:col>
      <xdr:colOff>295275</xdr:colOff>
      <xdr:row>92</xdr:row>
      <xdr:rowOff>19050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E2F1221F-97F1-6FD7-821A-760F3A259425}"/>
            </a:ext>
            <a:ext uri="{147F2762-F138-4A5C-976F-8EAC2B608ADB}">
              <a16:predDERef xmlns:a16="http://schemas.microsoft.com/office/drawing/2014/main" pred="{20CB71F1-5B32-C3B4-EBAB-196A8BCE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16392525"/>
          <a:ext cx="5114925" cy="1219200"/>
        </a:xfrm>
        <a:prstGeom prst="rect">
          <a:avLst/>
        </a:prstGeom>
      </xdr:spPr>
    </xdr:pic>
    <xdr:clientData/>
  </xdr:twoCellAnchor>
  <xdr:twoCellAnchor editAs="oneCell">
    <xdr:from>
      <xdr:col>17</xdr:col>
      <xdr:colOff>409575</xdr:colOff>
      <xdr:row>57</xdr:row>
      <xdr:rowOff>57150</xdr:rowOff>
    </xdr:from>
    <xdr:to>
      <xdr:col>24</xdr:col>
      <xdr:colOff>533400</xdr:colOff>
      <xdr:row>89</xdr:row>
      <xdr:rowOff>139065</xdr:rowOff>
    </xdr:to>
    <xdr:pic>
      <xdr:nvPicPr>
        <xdr:cNvPr id="23" name="Picture 7">
          <a:extLst>
            <a:ext uri="{FF2B5EF4-FFF2-40B4-BE49-F238E27FC236}">
              <a16:creationId xmlns:a16="http://schemas.microsoft.com/office/drawing/2014/main" id="{86392AD8-317E-9141-B49E-B6E7281847F5}"/>
            </a:ext>
            <a:ext uri="{147F2762-F138-4A5C-976F-8EAC2B608ADB}">
              <a16:predDERef xmlns:a16="http://schemas.microsoft.com/office/drawing/2014/main" pred="{E2F1221F-97F1-6FD7-821A-760F3A259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5" y="10915650"/>
          <a:ext cx="4391025" cy="6381750"/>
        </a:xfrm>
        <a:prstGeom prst="rect">
          <a:avLst/>
        </a:prstGeom>
      </xdr:spPr>
    </xdr:pic>
    <xdr:clientData/>
  </xdr:twoCellAnchor>
  <xdr:twoCellAnchor editAs="oneCell">
    <xdr:from>
      <xdr:col>21</xdr:col>
      <xdr:colOff>114300</xdr:colOff>
      <xdr:row>5</xdr:row>
      <xdr:rowOff>114300</xdr:rowOff>
    </xdr:from>
    <xdr:to>
      <xdr:col>29</xdr:col>
      <xdr:colOff>514350</xdr:colOff>
      <xdr:row>11</xdr:row>
      <xdr:rowOff>83820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id="{CA3B9A6E-9093-B059-4499-0E89E15113F0}"/>
            </a:ext>
            <a:ext uri="{147F2762-F138-4A5C-976F-8EAC2B608ADB}">
              <a16:predDERef xmlns:a16="http://schemas.microsoft.com/office/drawing/2014/main" pred="{86392AD8-317E-9141-B49E-B6E728184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20800" y="1019175"/>
          <a:ext cx="5276850" cy="1066800"/>
        </a:xfrm>
        <a:prstGeom prst="rect">
          <a:avLst/>
        </a:prstGeom>
      </xdr:spPr>
    </xdr:pic>
    <xdr:clientData/>
  </xdr:twoCellAnchor>
  <xdr:twoCellAnchor editAs="oneCell">
    <xdr:from>
      <xdr:col>21</xdr:col>
      <xdr:colOff>114300</xdr:colOff>
      <xdr:row>13</xdr:row>
      <xdr:rowOff>114300</xdr:rowOff>
    </xdr:from>
    <xdr:to>
      <xdr:col>29</xdr:col>
      <xdr:colOff>485775</xdr:colOff>
      <xdr:row>48</xdr:row>
      <xdr:rowOff>15240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2D994FF9-A17B-DF03-67DC-AD505F2470E1}"/>
            </a:ext>
            <a:ext uri="{147F2762-F138-4A5C-976F-8EAC2B608ADB}">
              <a16:predDERef xmlns:a16="http://schemas.microsoft.com/office/drawing/2014/main" pred="{CA3B9A6E-9093-B059-4499-0E89E151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20800" y="2466975"/>
          <a:ext cx="5248275" cy="6324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58</xdr:row>
      <xdr:rowOff>38100</xdr:rowOff>
    </xdr:from>
    <xdr:to>
      <xdr:col>9</xdr:col>
      <xdr:colOff>506730</xdr:colOff>
      <xdr:row>69</xdr:row>
      <xdr:rowOff>179070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A4BB0F32-B330-EC79-A18C-3ACEAC7E66D1}"/>
            </a:ext>
            <a:ext uri="{147F2762-F138-4A5C-976F-8EAC2B608ADB}">
              <a16:predDERef xmlns:a16="http://schemas.microsoft.com/office/drawing/2014/main" pred="{2D994FF9-A17B-DF03-67DC-AD505F24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7700" y="10601325"/>
          <a:ext cx="6496050" cy="2152650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57</xdr:row>
      <xdr:rowOff>38100</xdr:rowOff>
    </xdr:from>
    <xdr:to>
      <xdr:col>32</xdr:col>
      <xdr:colOff>257175</xdr:colOff>
      <xdr:row>81</xdr:row>
      <xdr:rowOff>163830</xdr:rowOff>
    </xdr:to>
    <xdr:pic>
      <xdr:nvPicPr>
        <xdr:cNvPr id="34" name="Picture 8">
          <a:extLst>
            <a:ext uri="{FF2B5EF4-FFF2-40B4-BE49-F238E27FC236}">
              <a16:creationId xmlns:a16="http://schemas.microsoft.com/office/drawing/2014/main" id="{653679DE-2596-8A14-6135-7E710FEF630C}"/>
            </a:ext>
            <a:ext uri="{147F2762-F138-4A5C-976F-8EAC2B608ADB}">
              <a16:predDERef xmlns:a16="http://schemas.microsoft.com/office/drawing/2014/main" pred="{A4BB0F32-B330-EC79-A18C-3ACEAC7E6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030700" y="10429875"/>
          <a:ext cx="3838575" cy="4572000"/>
        </a:xfrm>
        <a:prstGeom prst="rect">
          <a:avLst/>
        </a:prstGeom>
      </xdr:spPr>
    </xdr:pic>
    <xdr:clientData/>
  </xdr:twoCellAnchor>
  <xdr:twoCellAnchor editAs="oneCell">
    <xdr:from>
      <xdr:col>32</xdr:col>
      <xdr:colOff>257175</xdr:colOff>
      <xdr:row>57</xdr:row>
      <xdr:rowOff>66675</xdr:rowOff>
    </xdr:from>
    <xdr:to>
      <xdr:col>39</xdr:col>
      <xdr:colOff>476250</xdr:colOff>
      <xdr:row>69</xdr:row>
      <xdr:rowOff>177165</xdr:rowOff>
    </xdr:to>
    <xdr:pic>
      <xdr:nvPicPr>
        <xdr:cNvPr id="40" name="Picture 9">
          <a:extLst>
            <a:ext uri="{FF2B5EF4-FFF2-40B4-BE49-F238E27FC236}">
              <a16:creationId xmlns:a16="http://schemas.microsoft.com/office/drawing/2014/main" id="{13315C86-8822-B1D5-03FA-654747C883F7}"/>
            </a:ext>
            <a:ext uri="{147F2762-F138-4A5C-976F-8EAC2B608ADB}">
              <a16:predDERef xmlns:a16="http://schemas.microsoft.com/office/drawing/2014/main" pred="{653679DE-2596-8A14-6135-7E710FEF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869275" y="10458450"/>
          <a:ext cx="4486275" cy="2305050"/>
        </a:xfrm>
        <a:prstGeom prst="rect">
          <a:avLst/>
        </a:prstGeom>
      </xdr:spPr>
    </xdr:pic>
    <xdr:clientData/>
  </xdr:twoCellAnchor>
  <xdr:twoCellAnchor editAs="oneCell">
    <xdr:from>
      <xdr:col>32</xdr:col>
      <xdr:colOff>257175</xdr:colOff>
      <xdr:row>74</xdr:row>
      <xdr:rowOff>76200</xdr:rowOff>
    </xdr:from>
    <xdr:to>
      <xdr:col>39</xdr:col>
      <xdr:colOff>561975</xdr:colOff>
      <xdr:row>86</xdr:row>
      <xdr:rowOff>91440</xdr:rowOff>
    </xdr:to>
    <xdr:pic>
      <xdr:nvPicPr>
        <xdr:cNvPr id="47" name="Picture 10">
          <a:extLst>
            <a:ext uri="{FF2B5EF4-FFF2-40B4-BE49-F238E27FC236}">
              <a16:creationId xmlns:a16="http://schemas.microsoft.com/office/drawing/2014/main" id="{328DE853-0138-84E3-30A2-FE75600EC70B}"/>
            </a:ext>
            <a:ext uri="{147F2762-F138-4A5C-976F-8EAC2B608ADB}">
              <a16:predDERef xmlns:a16="http://schemas.microsoft.com/office/drawing/2014/main" pred="{13315C86-8822-B1D5-03FA-654747C88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869275" y="13706475"/>
          <a:ext cx="4572000" cy="2314575"/>
        </a:xfrm>
        <a:prstGeom prst="rect">
          <a:avLst/>
        </a:prstGeom>
      </xdr:spPr>
    </xdr:pic>
    <xdr:clientData/>
  </xdr:twoCellAnchor>
  <xdr:twoCellAnchor editAs="oneCell">
    <xdr:from>
      <xdr:col>32</xdr:col>
      <xdr:colOff>266700</xdr:colOff>
      <xdr:row>69</xdr:row>
      <xdr:rowOff>133350</xdr:rowOff>
    </xdr:from>
    <xdr:to>
      <xdr:col>39</xdr:col>
      <xdr:colOff>561975</xdr:colOff>
      <xdr:row>74</xdr:row>
      <xdr:rowOff>38100</xdr:rowOff>
    </xdr:to>
    <xdr:pic>
      <xdr:nvPicPr>
        <xdr:cNvPr id="46" name="Picture 11">
          <a:extLst>
            <a:ext uri="{FF2B5EF4-FFF2-40B4-BE49-F238E27FC236}">
              <a16:creationId xmlns:a16="http://schemas.microsoft.com/office/drawing/2014/main" id="{6F5C759A-1556-17B8-9067-DB1E85669624}"/>
            </a:ext>
            <a:ext uri="{147F2762-F138-4A5C-976F-8EAC2B608ADB}">
              <a16:predDERef xmlns:a16="http://schemas.microsoft.com/office/drawing/2014/main" pred="{328DE853-0138-84E3-30A2-FE75600E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878800" y="12811125"/>
          <a:ext cx="456247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78</xdr:row>
      <xdr:rowOff>95250</xdr:rowOff>
    </xdr:from>
    <xdr:to>
      <xdr:col>9</xdr:col>
      <xdr:colOff>295275</xdr:colOff>
      <xdr:row>102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4EE2F9-F518-52C1-F85B-698492A0F318}"/>
            </a:ext>
            <a:ext uri="{147F2762-F138-4A5C-976F-8EAC2B608ADB}">
              <a16:predDERef xmlns:a16="http://schemas.microsoft.com/office/drawing/2014/main" pred="{6F5C759A-1556-17B8-9067-DB1E8566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5350" y="14316075"/>
          <a:ext cx="5991225" cy="45529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102</xdr:row>
      <xdr:rowOff>142875</xdr:rowOff>
    </xdr:from>
    <xdr:to>
      <xdr:col>5</xdr:col>
      <xdr:colOff>9525</xdr:colOff>
      <xdr:row>126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90FF9F7-3341-BE4D-BB7B-D7F93504F111}"/>
            </a:ext>
            <a:ext uri="{147F2762-F138-4A5C-976F-8EAC2B608ADB}">
              <a16:predDERef xmlns:a16="http://schemas.microsoft.com/office/drawing/2014/main" pred="{844EE2F9-F518-52C1-F85B-698492A0F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85825" y="18935700"/>
          <a:ext cx="3276600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131</xdr:row>
      <xdr:rowOff>95250</xdr:rowOff>
    </xdr:from>
    <xdr:to>
      <xdr:col>5</xdr:col>
      <xdr:colOff>561975</xdr:colOff>
      <xdr:row>149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8AA6D43-784C-243C-6543-0ADBE175AC91}"/>
            </a:ext>
            <a:ext uri="{147F2762-F138-4A5C-976F-8EAC2B608ADB}">
              <a16:predDERef xmlns:a16="http://schemas.microsoft.com/office/drawing/2014/main" pred="{890FF9F7-3341-BE4D-BB7B-D7F93504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04850" y="24412575"/>
          <a:ext cx="4010025" cy="33718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148</xdr:row>
      <xdr:rowOff>180975</xdr:rowOff>
    </xdr:from>
    <xdr:to>
      <xdr:col>9</xdr:col>
      <xdr:colOff>495300</xdr:colOff>
      <xdr:row>152</xdr:row>
      <xdr:rowOff>66675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0C227F-545A-F5A0-AC8A-1E7F2A3D86BA}"/>
            </a:ext>
            <a:ext uri="{147F2762-F138-4A5C-976F-8EAC2B608ADB}">
              <a16:predDERef xmlns:a16="http://schemas.microsoft.com/office/drawing/2014/main" pred="{F8AA6D43-784C-243C-6543-0ADBE175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6275" y="27736800"/>
          <a:ext cx="6410325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38100</xdr:colOff>
      <xdr:row>3</xdr:row>
      <xdr:rowOff>0</xdr:rowOff>
    </xdr:from>
    <xdr:ext cx="7134225" cy="857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783650" y="3741900"/>
          <a:ext cx="7124700" cy="76200"/>
        </a:xfrm>
        <a:prstGeom prst="rect">
          <a:avLst/>
        </a:prstGeom>
        <a:noFill/>
        <a:ln>
          <a:noFill/>
        </a:ln>
      </xdr:spPr>
      <xdr:txBody>
        <a:bodyPr spcFirstLastPara="1" wrap="square" lIns="36575" tIns="36575" rIns="36575" bIns="36575" anchor="t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800"/>
            <a:buFont typeface="Calibri"/>
            <a:buNone/>
          </a:pPr>
          <a:r>
            <a:rPr lang="en-US" sz="800" b="1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D  e  v  e  l  o  p  m  e  n  t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 cap="none">
            <a:solidFill>
              <a:srgbClr val="FFFFFF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60</xdr:col>
      <xdr:colOff>95250</xdr:colOff>
      <xdr:row>1</xdr:row>
      <xdr:rowOff>0</xdr:rowOff>
    </xdr:from>
    <xdr:ext cx="7038975" cy="295275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osed%20Deals/Mack-Cali%20Portfolio/Investment%20Committee%20Book/$600k%20price%20adjustment%20VI/Section%203%20-%20Mack-Cali%20Portfolio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arles%20A%20Long/Dropbox/Development-L-T/West%20Oakland/1600%207th%20St/Equity%20Book%20and%20Financials/efscluster1/eusersdefpaths/greystar/live/4190091447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higgins/Local%20Settings/Temporary%20Internet%20Files/OLK16E/North%20Houston%20Medical%20Base%20Case%208-17-04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LAXUsers/koura/Analyst%20Bullpen/2%20-%20Seattle%20Deals/Seattle/South%20Lake%20Union/1%208%2012%20-%20Seattle%20282%20-%20AW_KAO_1.10.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hewticknor/Dropbox/Development-L-T/Oakland/585%2022nd%20St/Asset%20Management/G:/Real%20Estate/_New%20Deals/NYC%20-%2085%20West%20Broadway/Model/hotel%20model/kimpton%20hotel%20development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hewticknor/Dropbox/Development-L-T/Oakland/585%2022nd%20St/Asset%20Management/G:/My%20Documents/Starwood/Models/FiMo%20Clean%203-1-04%20-%20May%20actfo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CI-FS1/Users/FHC/ESTIMATE/Large%20Projects%20Estimates%202005/Carmichael%20Library%2025006/Bid%20Card%20Carmichael%20Library%201_27_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pender.CHS/Local%20Settings/Temporary%20Internet%20Files/OLK12F/4576093437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/Dropbox/Greystar/Deals/Menlo%20Park/Equity%20Book/Menlo%20Park%20-%2065%25%20LTC%20-%2011-17-2013%20-%20broken%20link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R/Invoices/Greystar%20Investments/GCP%20Invoice-JMIGR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eaconlakes/Shared%20Documents/Beacon%20Lakes/100%20Land%20and%20Feasibility/Project%20Budget/MULE%20and%20Partners%20model%20greystar%20Beacon%20Lakes%203-5-07%20v5/beacon%20MULE2007_Beta2.3/MULE2007_Beta2.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rbrown.AUSTIN/Local%20Settings/Temporary%20Internet%20Files/OLK1/4986416272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Dealsumm"/>
      <sheetName val="Assm"/>
      <sheetName val="#"/>
      <sheetName val="#debt"/>
      <sheetName val="A"/>
      <sheetName val="B"/>
      <sheetName val="C"/>
      <sheetName val="Profit"/>
      <sheetName val="FeeAnalysis"/>
      <sheetName val="Land Assm"/>
      <sheetName val="Land #"/>
      <sheetName val="Land #debt"/>
      <sheetName val="Mont Assm"/>
      <sheetName val="Mont #"/>
      <sheetName val="Mont #debt"/>
      <sheetName val="Metr Assm"/>
      <sheetName val="Metr #"/>
      <sheetName val="Metr #debt"/>
      <sheetName val="Rep Assm"/>
      <sheetName val="Rep #"/>
      <sheetName val="Rep #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TIC Structure"/>
      <sheetName val="10 Yr. - Cash Flow"/>
      <sheetName val="One Pager - Assumptions"/>
      <sheetName val="NOI Down"/>
      <sheetName val="Rent Roll"/>
      <sheetName val="Rent"/>
      <sheetName val="TI"/>
      <sheetName val="Supporting Info."/>
      <sheetName val="Lease-Up"/>
      <sheetName val="Client Specif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Updates"/>
      <sheetName val="Negotiations Page"/>
      <sheetName val="Land Flip"/>
      <sheetName val="Parking"/>
      <sheetName val="base case"/>
      <sheetName val="Spent to Date"/>
      <sheetName val="Table of Contents"/>
      <sheetName val="Lanes Analysis"/>
      <sheetName val="Investment Committee Cover"/>
      <sheetName val="Executive Summary"/>
      <sheetName val="Assumptions Tracker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9 - Partnership Structure"/>
      <sheetName val="10 - Returns"/>
      <sheetName val="NOT IN USE - Detailed Budget"/>
      <sheetName val="Muni Fees"/>
      <sheetName val="New Detailed Budget MT"/>
      <sheetName val="Input"/>
      <sheetName val="Equity Package"/>
      <sheetName val="Coinvest Analysis"/>
      <sheetName val="Pursuit Schedule"/>
      <sheetName val="Comparison IC"/>
      <sheetName val="Sales Analysis"/>
      <sheetName val="REIS 2Q12"/>
      <sheetName val="Untrended Cash Flow"/>
      <sheetName val="Trended Cash Flow"/>
      <sheetName val="Comparison Table"/>
      <sheetName val="REIS YE2011"/>
      <sheetName val="Mgmt Sign Off"/>
      <sheetName val="Capitalization"/>
      <sheetName val="Comparison"/>
      <sheetName val="3Q11 REIS Report"/>
      <sheetName val="Exhibits"/>
      <sheetName val="Develop. Integrated Lifecycle"/>
      <sheetName val="Integrated Checklist"/>
      <sheetName val="Conceptual Design Review"/>
      <sheetName val="Detailed Costs"/>
      <sheetName val="Deposit Dollars"/>
      <sheetName val="Pursuit Costs"/>
      <sheetName val="Tools"/>
      <sheetName val="Generic Cover"/>
      <sheetName val="Notes"/>
      <sheetName val="Protocol &amp; Policy"/>
      <sheetName val="Suggestions"/>
      <sheetName val="Calc Table"/>
      <sheetName val="Project Cost Summary"/>
      <sheetName val="Lease Up"/>
      <sheetName val="Lists"/>
      <sheetName val="Origin"/>
      <sheetName val="Construction Costs"/>
      <sheetName val="Expense Detail"/>
      <sheetName val="Data"/>
      <sheetName val="Operating Expense &amp; Income"/>
      <sheetName val="Property taxes-NOI- Prop 13"/>
      <sheetName val="Rental pro-forma-97 UNITS"/>
      <sheetName val="Schedule-Budgets-2538"/>
      <sheetName val="Monthly Draw 2538"/>
      <sheetName val="Trended CF-Simple"/>
      <sheetName val="Rent Roll table for Equity Book"/>
      <sheetName val="Cost Allocation to commer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Frontsheet"/>
      <sheetName val="Bid Form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Trade Breakdown"/>
      <sheetName val="Notes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Report"/>
      <sheetName val="Message"/>
      <sheetName val="Operating Expense &amp; Income"/>
      <sheetName val="Property taxes-NOI- Prop 13"/>
      <sheetName val="Rental pro-forma-97 UNITS"/>
      <sheetName val="OVERALL DRAW 2538"/>
      <sheetName val="Schedule-Budgets-2538"/>
      <sheetName val="Equity Investor Sheet 2538"/>
      <sheetName val="Monthly Draw 2538"/>
      <sheetName val="Trended CF-Simple"/>
      <sheetName val="Rent Roll table for Equity Book"/>
      <sheetName val="Cost Allocation to commercial"/>
      <sheetName val="DESIGN DRAW 2538"/>
      <sheetName val="2538 CONTRACTS"/>
      <sheetName val="60 units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Lanes Analysis"/>
      <sheetName val="Pursuit Schedule"/>
      <sheetName val="Investment Committee Cover"/>
      <sheetName val="Executive Summary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10 - Returns"/>
      <sheetName val="9 - Assumptions Tracker"/>
      <sheetName val="Sales Comps"/>
      <sheetName val="Rent Comps"/>
      <sheetName val="Equity Page"/>
      <sheetName val="Mgmt Sign Off"/>
      <sheetName val="Input"/>
      <sheetName val="Trended Cash Flow"/>
      <sheetName val="Coinvest Analysis"/>
      <sheetName val="Sale Value Analysis"/>
      <sheetName val="Pursuit Cost IRR"/>
      <sheetName val="Sheet1"/>
      <sheetName val="Detailed Budget"/>
      <sheetName val="Development Budget"/>
      <sheetName val="Muni Fees"/>
      <sheetName val="Elan San Fran"/>
      <sheetName val="Yardi"/>
      <sheetName val="REIS"/>
      <sheetName val="Project Budget"/>
      <sheetName val="Sensitivity Analysis"/>
      <sheetName val="IRR Bridge"/>
      <sheetName val="Calc Table"/>
      <sheetName val="Unit Matrix"/>
      <sheetName val="Concord Mix"/>
      <sheetName val="Pursuit_Expenses by cost code"/>
      <sheetName val="Tracker"/>
      <sheetName val="Construction"/>
      <sheetName val="Budget"/>
      <sheetName val="Unit Mix"/>
      <sheetName val="Inclusionary Housing"/>
      <sheetName val="Untrended Cash Flow"/>
      <sheetName val="Project Cost Summary"/>
      <sheetName val="Capitalization"/>
      <sheetName val="Lease Up"/>
      <sheetName val="Lis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 Your Invoice"/>
      <sheetName val="AutoOpen Stub Data"/>
      <sheetName val="Invoice"/>
      <sheetName val="Macros"/>
      <sheetName val="ATW"/>
      <sheetName val="Lock"/>
      <sheetName val="Intl Data Table"/>
      <sheetName val="TemplateInformation"/>
      <sheetName val="GCP Invoice-JMIG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"/>
      <sheetName val="Annual CF Input"/>
      <sheetName val="Monthly CF Input"/>
      <sheetName val="Pools"/>
      <sheetName val="RE Valuation"/>
      <sheetName val="JV Financials"/>
      <sheetName val="GE Economics"/>
      <sheetName val="Metrics"/>
      <sheetName val="Sensitivities"/>
      <sheetName val="Deal Assumptions"/>
      <sheetName val="Property Assumptions"/>
      <sheetName val="Debt Worksheet"/>
      <sheetName val="Equity Worksheet"/>
      <sheetName val="FAS 141"/>
      <sheetName val="Overhead"/>
      <sheetName val="Data Tape"/>
      <sheetName val="Criteria"/>
      <sheetName val="UW vs 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98641627242"/>
      <sheetName val="Template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05EE0-C2B1-4C04-8BA8-7F8113666C32}">
  <sheetPr>
    <tabColor rgb="FFE68E8E"/>
  </sheetPr>
  <dimension ref="A1:AB162"/>
  <sheetViews>
    <sheetView workbookViewId="0">
      <selection activeCell="P5" sqref="P5"/>
    </sheetView>
  </sheetViews>
  <sheetFormatPr defaultRowHeight="15" x14ac:dyDescent="0.25"/>
  <cols>
    <col min="1" max="1" width="5.7109375" customWidth="1"/>
    <col min="2" max="2" width="40.7109375" customWidth="1"/>
    <col min="3" max="3" width="11.7109375" customWidth="1"/>
    <col min="4" max="4" width="9.7109375" customWidth="1"/>
    <col min="6" max="6" width="35.7109375" customWidth="1"/>
    <col min="7" max="7" width="11.7109375" customWidth="1"/>
    <col min="8" max="8" width="9.7109375" customWidth="1"/>
    <col min="10" max="12" width="9.140625" customWidth="1"/>
  </cols>
  <sheetData>
    <row r="1" spans="1:28" x14ac:dyDescent="0.25">
      <c r="A1" s="539"/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2"/>
      <c r="AB1" s="2"/>
    </row>
    <row r="2" spans="1:28" x14ac:dyDescent="0.25">
      <c r="A2" s="539"/>
      <c r="B2" s="540" t="s">
        <v>0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2"/>
      <c r="AB2" s="2"/>
    </row>
    <row r="3" spans="1:28" x14ac:dyDescent="0.25">
      <c r="A3" s="539"/>
      <c r="B3" s="539" t="s">
        <v>1</v>
      </c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2"/>
      <c r="AB3" s="2"/>
    </row>
    <row r="4" spans="1:28" x14ac:dyDescent="0.25">
      <c r="A4" s="539"/>
      <c r="B4" s="354"/>
      <c r="C4" s="354"/>
      <c r="D4" s="354"/>
      <c r="E4" s="354"/>
      <c r="F4" s="354"/>
      <c r="G4" s="354"/>
      <c r="H4" s="354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2"/>
      <c r="AB4" s="2"/>
    </row>
    <row r="5" spans="1:28" ht="18" customHeight="1" x14ac:dyDescent="0.25">
      <c r="A5" s="354"/>
      <c r="B5" s="1034" t="s">
        <v>2</v>
      </c>
      <c r="C5" s="1035"/>
      <c r="D5" s="1035"/>
      <c r="E5" s="1035"/>
      <c r="F5" s="1035"/>
      <c r="G5" s="1035"/>
      <c r="H5" s="1036"/>
      <c r="I5" s="354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2"/>
      <c r="AB5" s="2"/>
    </row>
    <row r="6" spans="1:28" x14ac:dyDescent="0.25">
      <c r="A6" s="354"/>
      <c r="B6" s="963" t="s">
        <v>3</v>
      </c>
      <c r="C6" s="934"/>
      <c r="D6" s="934"/>
      <c r="E6" s="934"/>
      <c r="F6" s="964" t="s">
        <v>4</v>
      </c>
      <c r="G6" s="934"/>
      <c r="H6" s="935"/>
      <c r="I6" s="354"/>
      <c r="J6" s="516"/>
      <c r="K6" s="516"/>
      <c r="L6" s="516"/>
      <c r="M6" s="539"/>
      <c r="N6" s="539"/>
      <c r="O6" s="539"/>
      <c r="P6" s="539"/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2"/>
      <c r="AB6" s="2"/>
    </row>
    <row r="7" spans="1:28" x14ac:dyDescent="0.25">
      <c r="A7" s="354"/>
      <c r="B7" s="390"/>
      <c r="C7" s="1020" t="s">
        <v>5</v>
      </c>
      <c r="D7" s="940" t="s">
        <v>6</v>
      </c>
      <c r="E7" s="354"/>
      <c r="F7" s="798"/>
      <c r="G7" s="952" t="s">
        <v>5</v>
      </c>
      <c r="H7" s="953" t="s">
        <v>6</v>
      </c>
      <c r="I7" s="354"/>
      <c r="J7" s="516"/>
      <c r="K7" s="516"/>
      <c r="L7" s="516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9"/>
      <c r="Z7" s="539"/>
      <c r="AA7" s="2"/>
      <c r="AB7" s="2"/>
    </row>
    <row r="8" spans="1:28" x14ac:dyDescent="0.25">
      <c r="A8" s="354"/>
      <c r="B8" s="794" t="s">
        <v>7</v>
      </c>
      <c r="C8" s="1022">
        <v>3.01</v>
      </c>
      <c r="D8" s="799" t="s">
        <v>8</v>
      </c>
      <c r="E8" s="424"/>
      <c r="F8" s="799" t="s">
        <v>9</v>
      </c>
      <c r="G8" s="1023">
        <v>33.57</v>
      </c>
      <c r="H8" s="858" t="s">
        <v>8</v>
      </c>
      <c r="I8" s="354"/>
      <c r="J8" s="516"/>
      <c r="K8" s="516"/>
      <c r="L8" s="516"/>
      <c r="M8" s="539"/>
      <c r="N8" s="539"/>
      <c r="O8" s="539"/>
      <c r="P8" s="539"/>
      <c r="Q8" s="539"/>
      <c r="R8" s="539"/>
      <c r="S8" s="539"/>
      <c r="T8" s="539"/>
      <c r="U8" s="539"/>
      <c r="V8" s="539"/>
      <c r="W8" s="539"/>
      <c r="X8" s="539"/>
      <c r="Y8" s="539"/>
      <c r="Z8" s="539"/>
      <c r="AA8" s="2"/>
      <c r="AB8" s="2"/>
    </row>
    <row r="9" spans="1:28" x14ac:dyDescent="0.25">
      <c r="A9" s="354"/>
      <c r="B9" s="794" t="s">
        <v>10</v>
      </c>
      <c r="C9" s="962">
        <f>C8*0.95</f>
        <v>2.8594999999999997</v>
      </c>
      <c r="D9" s="563" t="s">
        <v>8</v>
      </c>
      <c r="E9" s="424"/>
      <c r="F9" s="563" t="s">
        <v>11</v>
      </c>
      <c r="G9" s="1023">
        <f>G8*0.95</f>
        <v>31.891499999999997</v>
      </c>
      <c r="H9" s="860" t="s">
        <v>8</v>
      </c>
      <c r="I9" s="354"/>
      <c r="J9" s="516"/>
      <c r="K9" s="516"/>
      <c r="L9" s="516"/>
      <c r="M9" s="539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39"/>
      <c r="Z9" s="539"/>
      <c r="AA9" s="2"/>
      <c r="AB9" s="2"/>
    </row>
    <row r="10" spans="1:28" x14ac:dyDescent="0.25">
      <c r="A10" s="354"/>
      <c r="B10" s="683" t="s">
        <v>12</v>
      </c>
      <c r="C10" s="568">
        <f>2000*0.95</f>
        <v>1900</v>
      </c>
      <c r="D10" s="957" t="s">
        <v>13</v>
      </c>
      <c r="E10" s="424"/>
      <c r="F10" s="269" t="s">
        <v>14</v>
      </c>
      <c r="G10" s="945">
        <v>31</v>
      </c>
      <c r="H10" s="966" t="s">
        <v>8</v>
      </c>
      <c r="I10" s="354"/>
      <c r="J10" s="516"/>
      <c r="K10" s="516"/>
      <c r="L10" s="516"/>
      <c r="M10" s="539"/>
      <c r="N10" s="539"/>
      <c r="O10" s="539"/>
      <c r="P10" s="539"/>
      <c r="Q10" s="539"/>
      <c r="R10" s="539"/>
      <c r="S10" s="539"/>
      <c r="T10" s="539"/>
      <c r="U10" s="539"/>
      <c r="V10" s="539"/>
      <c r="W10" s="539"/>
      <c r="X10" s="539"/>
      <c r="Y10" s="539"/>
      <c r="Z10" s="539"/>
      <c r="AA10" s="2"/>
      <c r="AB10" s="2"/>
    </row>
    <row r="11" spans="1:28" x14ac:dyDescent="0.25">
      <c r="A11" s="354"/>
      <c r="B11" s="689" t="s">
        <v>15</v>
      </c>
      <c r="C11" s="696">
        <f>2300*0.95</f>
        <v>2185</v>
      </c>
      <c r="D11" s="955" t="s">
        <v>13</v>
      </c>
      <c r="E11" s="424"/>
      <c r="F11" s="787" t="s">
        <v>16</v>
      </c>
      <c r="G11" s="959" t="s">
        <v>17</v>
      </c>
      <c r="H11" s="858" t="s">
        <v>18</v>
      </c>
      <c r="I11" s="354"/>
      <c r="J11" s="516"/>
      <c r="K11" s="516"/>
      <c r="L11" s="516"/>
      <c r="M11" s="539"/>
      <c r="N11" s="539"/>
      <c r="O11" s="539"/>
      <c r="P11" s="539"/>
      <c r="Q11" s="539"/>
      <c r="R11" s="539"/>
      <c r="S11" s="539"/>
      <c r="T11" s="539"/>
      <c r="U11" s="539"/>
      <c r="V11" s="539"/>
      <c r="W11" s="539"/>
      <c r="X11" s="539"/>
      <c r="Y11" s="539"/>
      <c r="Z11" s="539"/>
      <c r="AA11" s="2"/>
      <c r="AB11" s="2"/>
    </row>
    <row r="12" spans="1:28" x14ac:dyDescent="0.25">
      <c r="A12" s="354"/>
      <c r="B12" s="683" t="s">
        <v>19</v>
      </c>
      <c r="C12" s="568">
        <f>3200*0.95</f>
        <v>3040</v>
      </c>
      <c r="D12" s="954" t="s">
        <v>13</v>
      </c>
      <c r="E12" s="424"/>
      <c r="F12" s="799" t="s">
        <v>20</v>
      </c>
      <c r="G12" s="1024">
        <v>7.2999999999999995E-2</v>
      </c>
      <c r="H12" s="858"/>
      <c r="I12" s="354"/>
      <c r="J12" s="516"/>
      <c r="K12" s="516"/>
      <c r="L12" s="516"/>
      <c r="M12" s="539"/>
      <c r="N12" s="539"/>
      <c r="O12" s="539"/>
      <c r="P12" s="539"/>
      <c r="Q12" s="539"/>
      <c r="R12" s="539"/>
      <c r="S12" s="539"/>
      <c r="T12" s="539"/>
      <c r="U12" s="539"/>
      <c r="V12" s="539"/>
      <c r="W12" s="539"/>
      <c r="X12" s="539"/>
      <c r="Y12" s="539"/>
      <c r="Z12" s="539"/>
      <c r="AA12" s="2"/>
      <c r="AB12" s="2"/>
    </row>
    <row r="13" spans="1:28" x14ac:dyDescent="0.25">
      <c r="A13" s="354"/>
      <c r="B13" s="956" t="s">
        <v>21</v>
      </c>
      <c r="C13" s="694">
        <f>4800*0.95</f>
        <v>4560</v>
      </c>
      <c r="D13" s="957" t="s">
        <v>13</v>
      </c>
      <c r="E13" s="424"/>
      <c r="F13" s="799" t="s">
        <v>22</v>
      </c>
      <c r="G13" s="965">
        <v>306000</v>
      </c>
      <c r="H13" s="858" t="s">
        <v>23</v>
      </c>
      <c r="I13" s="354"/>
      <c r="J13" s="516"/>
      <c r="K13" s="516"/>
      <c r="L13" s="516"/>
      <c r="M13" s="539"/>
      <c r="N13" s="539"/>
      <c r="O13" s="539"/>
      <c r="P13" s="539"/>
      <c r="Q13" s="539"/>
      <c r="R13" s="539"/>
      <c r="S13" s="539"/>
      <c r="T13" s="539"/>
      <c r="U13" s="539"/>
      <c r="V13" s="539"/>
      <c r="W13" s="539"/>
      <c r="X13" s="539"/>
      <c r="Y13" s="539"/>
      <c r="Z13" s="539"/>
      <c r="AA13" s="2"/>
      <c r="AB13" s="2"/>
    </row>
    <row r="14" spans="1:28" x14ac:dyDescent="0.25">
      <c r="A14" s="354"/>
      <c r="B14" s="956" t="s">
        <v>20</v>
      </c>
      <c r="C14" s="958">
        <v>8.5999999999999993E-2</v>
      </c>
      <c r="D14" s="955"/>
      <c r="E14" s="354"/>
      <c r="F14" s="563" t="s">
        <v>24</v>
      </c>
      <c r="G14" s="1025" t="s">
        <v>25</v>
      </c>
      <c r="H14" s="858"/>
      <c r="I14" s="354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539"/>
      <c r="V14" s="539"/>
      <c r="W14" s="539"/>
      <c r="X14" s="539"/>
      <c r="Y14" s="539"/>
      <c r="Z14" s="539"/>
      <c r="AA14" s="2"/>
      <c r="AB14" s="2"/>
    </row>
    <row r="15" spans="1:28" ht="15.75" thickBot="1" x14ac:dyDescent="0.3">
      <c r="A15" s="354"/>
      <c r="B15" s="689" t="s">
        <v>24</v>
      </c>
      <c r="C15" s="959" t="s">
        <v>26</v>
      </c>
      <c r="D15" s="790"/>
      <c r="E15" s="354"/>
      <c r="F15" s="942"/>
      <c r="G15" s="945"/>
      <c r="H15" s="858"/>
      <c r="I15" s="354"/>
      <c r="J15" s="539"/>
      <c r="K15" s="539"/>
      <c r="L15" s="539"/>
      <c r="M15" s="539"/>
      <c r="N15" s="539"/>
      <c r="O15" s="539"/>
      <c r="P15" s="539"/>
      <c r="Q15" s="539"/>
      <c r="R15" s="539"/>
      <c r="S15" s="539"/>
      <c r="T15" s="539"/>
      <c r="U15" s="539"/>
      <c r="V15" s="539"/>
      <c r="W15" s="539"/>
      <c r="X15" s="539"/>
      <c r="Y15" s="539"/>
      <c r="Z15" s="539"/>
      <c r="AA15" s="2"/>
      <c r="AB15" s="2"/>
    </row>
    <row r="16" spans="1:28" ht="15.75" thickBot="1" x14ac:dyDescent="0.3">
      <c r="A16" s="354"/>
      <c r="B16" s="963" t="s">
        <v>27</v>
      </c>
      <c r="C16" s="936"/>
      <c r="D16" s="936"/>
      <c r="E16" s="936"/>
      <c r="F16" s="964" t="s">
        <v>28</v>
      </c>
      <c r="G16" s="936"/>
      <c r="H16" s="937"/>
      <c r="I16" s="354"/>
      <c r="J16" s="539"/>
      <c r="K16" s="539"/>
      <c r="L16" s="539"/>
      <c r="M16" s="539"/>
      <c r="N16" s="539"/>
      <c r="O16" s="539"/>
      <c r="P16" s="539"/>
      <c r="Q16" s="539"/>
      <c r="R16" s="539"/>
      <c r="S16" s="539"/>
      <c r="T16" s="539"/>
      <c r="U16" s="539"/>
      <c r="V16" s="539"/>
      <c r="W16" s="539"/>
      <c r="X16" s="539"/>
      <c r="Y16" s="539"/>
      <c r="Z16" s="539"/>
      <c r="AA16" s="2"/>
      <c r="AB16" s="2"/>
    </row>
    <row r="17" spans="1:28" x14ac:dyDescent="0.25">
      <c r="A17" s="354"/>
      <c r="B17" s="689"/>
      <c r="C17" s="940" t="s">
        <v>5</v>
      </c>
      <c r="D17" s="941"/>
      <c r="E17" s="354"/>
      <c r="F17" s="942"/>
      <c r="G17" s="943" t="s">
        <v>5</v>
      </c>
      <c r="H17" s="944" t="s">
        <v>6</v>
      </c>
      <c r="I17" s="354"/>
      <c r="J17" s="539"/>
      <c r="K17" s="539"/>
      <c r="L17" s="539"/>
      <c r="M17" s="539"/>
      <c r="N17" s="539"/>
      <c r="O17" s="539"/>
      <c r="P17" s="539"/>
      <c r="Q17" s="539"/>
      <c r="R17" s="539"/>
      <c r="S17" s="539"/>
      <c r="T17" s="539"/>
      <c r="U17" s="539"/>
      <c r="V17" s="539"/>
      <c r="W17" s="539"/>
      <c r="X17" s="539"/>
      <c r="Y17" s="539"/>
      <c r="Z17" s="539"/>
      <c r="AA17" s="2"/>
      <c r="AB17" s="2"/>
    </row>
    <row r="18" spans="1:28" x14ac:dyDescent="0.25">
      <c r="A18" s="354"/>
      <c r="B18" s="794" t="s">
        <v>29</v>
      </c>
      <c r="C18" s="945">
        <v>120.95</v>
      </c>
      <c r="D18" s="354"/>
      <c r="E18" s="354"/>
      <c r="F18" s="946" t="s">
        <v>30</v>
      </c>
      <c r="G18" s="1026">
        <v>42.96</v>
      </c>
      <c r="H18" s="565" t="s">
        <v>8</v>
      </c>
      <c r="I18" s="354"/>
      <c r="J18" s="539"/>
      <c r="K18" s="539"/>
      <c r="L18" s="539"/>
      <c r="M18" s="539"/>
      <c r="N18" s="539"/>
      <c r="O18" s="539"/>
      <c r="P18" s="539"/>
      <c r="Q18" s="539"/>
      <c r="R18" s="539"/>
      <c r="S18" s="539"/>
      <c r="T18" s="539"/>
      <c r="U18" s="539"/>
      <c r="V18" s="539"/>
      <c r="W18" s="539"/>
      <c r="X18" s="539"/>
      <c r="Y18" s="539"/>
      <c r="Z18" s="539"/>
      <c r="AA18" s="2"/>
      <c r="AB18" s="2"/>
    </row>
    <row r="19" spans="1:28" x14ac:dyDescent="0.25">
      <c r="A19" s="354"/>
      <c r="B19" s="683" t="s">
        <v>31</v>
      </c>
      <c r="C19" s="947">
        <v>0.55400000000000005</v>
      </c>
      <c r="D19" s="354"/>
      <c r="E19" s="354"/>
      <c r="F19" s="1027" t="s">
        <v>32</v>
      </c>
      <c r="G19" s="1028">
        <f>G18*0.75</f>
        <v>32.22</v>
      </c>
      <c r="H19" s="558" t="s">
        <v>8</v>
      </c>
      <c r="I19" s="354"/>
      <c r="J19" s="539"/>
      <c r="K19" s="539"/>
      <c r="L19" s="539"/>
      <c r="M19" s="539"/>
      <c r="N19" s="539"/>
      <c r="O19" s="539"/>
      <c r="P19" s="539"/>
      <c r="Q19" s="539"/>
      <c r="R19" s="539"/>
      <c r="S19" s="539"/>
      <c r="T19" s="539"/>
      <c r="U19" s="539"/>
      <c r="V19" s="539"/>
      <c r="W19" s="539"/>
      <c r="X19" s="539"/>
      <c r="Y19" s="539"/>
      <c r="Z19" s="539"/>
      <c r="AA19" s="2"/>
      <c r="AB19" s="2"/>
    </row>
    <row r="20" spans="1:28" x14ac:dyDescent="0.25">
      <c r="A20" s="354"/>
      <c r="B20" s="689" t="s">
        <v>33</v>
      </c>
      <c r="C20" s="948">
        <v>0.76300000000000001</v>
      </c>
      <c r="D20" s="354"/>
      <c r="E20" s="354"/>
      <c r="F20" s="942" t="s">
        <v>16</v>
      </c>
      <c r="G20" s="1029">
        <v>4.9000000000000002E-2</v>
      </c>
      <c r="H20" s="558" t="s">
        <v>34</v>
      </c>
      <c r="I20" s="354"/>
      <c r="J20" s="539"/>
      <c r="K20" s="539"/>
      <c r="L20" s="539"/>
      <c r="M20" s="539"/>
      <c r="N20" s="539"/>
      <c r="O20" s="539"/>
      <c r="P20" s="539"/>
      <c r="Q20" s="539"/>
      <c r="R20" s="539"/>
      <c r="S20" s="539"/>
      <c r="T20" s="539"/>
      <c r="U20" s="539"/>
      <c r="V20" s="539"/>
      <c r="W20" s="539"/>
      <c r="X20" s="539"/>
      <c r="Y20" s="539"/>
      <c r="Z20" s="539"/>
      <c r="AA20" s="2"/>
      <c r="AB20" s="2"/>
    </row>
    <row r="21" spans="1:28" x14ac:dyDescent="0.25">
      <c r="A21" s="354"/>
      <c r="B21" s="794" t="s">
        <v>35</v>
      </c>
      <c r="C21" s="945">
        <v>66.97</v>
      </c>
      <c r="D21" s="354"/>
      <c r="E21" s="354"/>
      <c r="F21" s="799" t="s">
        <v>20</v>
      </c>
      <c r="G21" s="1030">
        <v>4.1000000000000002E-2</v>
      </c>
      <c r="H21" s="967"/>
      <c r="I21" s="354"/>
      <c r="J21" s="539"/>
      <c r="K21" s="539"/>
      <c r="L21" s="539"/>
      <c r="M21" s="539"/>
      <c r="N21" s="539"/>
      <c r="O21" s="539"/>
      <c r="P21" s="539"/>
      <c r="Q21" s="539"/>
      <c r="R21" s="539"/>
      <c r="S21" s="539"/>
      <c r="T21" s="539"/>
      <c r="U21" s="539"/>
      <c r="V21" s="539"/>
      <c r="W21" s="539"/>
      <c r="X21" s="539"/>
      <c r="Y21" s="539"/>
      <c r="Z21" s="539"/>
      <c r="AA21" s="2"/>
      <c r="AB21" s="2"/>
    </row>
    <row r="22" spans="1:28" x14ac:dyDescent="0.25">
      <c r="A22" s="354"/>
      <c r="B22" s="683" t="s">
        <v>36</v>
      </c>
      <c r="C22" s="949">
        <v>100</v>
      </c>
      <c r="D22" s="354"/>
      <c r="E22" s="354"/>
      <c r="F22" s="563" t="s">
        <v>22</v>
      </c>
      <c r="G22" s="1031">
        <v>71400</v>
      </c>
      <c r="H22" s="565" t="s">
        <v>23</v>
      </c>
      <c r="I22" s="354"/>
      <c r="J22" s="539"/>
      <c r="K22" s="539"/>
      <c r="L22" s="539"/>
      <c r="M22" s="539"/>
      <c r="N22" s="539"/>
      <c r="O22" s="539"/>
      <c r="P22" s="539"/>
      <c r="Q22" s="539"/>
      <c r="R22" s="539"/>
      <c r="S22" s="539"/>
      <c r="T22" s="539"/>
      <c r="U22" s="539"/>
      <c r="V22" s="539"/>
      <c r="W22" s="539"/>
      <c r="X22" s="539"/>
      <c r="Y22" s="539"/>
      <c r="Z22" s="539"/>
      <c r="AA22" s="2"/>
      <c r="AB22" s="2"/>
    </row>
    <row r="23" spans="1:28" ht="15.75" thickBot="1" x14ac:dyDescent="0.3">
      <c r="A23" s="354"/>
      <c r="B23" s="685"/>
      <c r="C23" s="778"/>
      <c r="D23" s="777"/>
      <c r="E23" s="777"/>
      <c r="F23" s="950" t="s">
        <v>24</v>
      </c>
      <c r="G23" s="1032" t="s">
        <v>37</v>
      </c>
      <c r="H23" s="951"/>
      <c r="I23" s="354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2"/>
      <c r="AB23" s="2"/>
    </row>
    <row r="24" spans="1:28" ht="15.75" thickBot="1" x14ac:dyDescent="0.3">
      <c r="A24" s="354"/>
      <c r="B24" s="354"/>
      <c r="C24" s="354"/>
      <c r="D24" s="354"/>
      <c r="E24" s="354"/>
      <c r="F24" s="354"/>
      <c r="G24" s="1033"/>
      <c r="H24" s="354"/>
      <c r="I24" s="354"/>
      <c r="J24" s="354"/>
      <c r="K24" s="539"/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  <c r="Z24" s="539"/>
      <c r="AA24" s="2"/>
      <c r="AB24" s="2"/>
    </row>
    <row r="25" spans="1:28" ht="15.75" thickBot="1" x14ac:dyDescent="0.3">
      <c r="A25" s="354"/>
      <c r="B25" s="1037" t="s">
        <v>38</v>
      </c>
      <c r="C25" s="1038"/>
      <c r="D25" s="1038"/>
      <c r="E25" s="1038"/>
      <c r="F25" s="1038"/>
      <c r="G25" s="1038"/>
      <c r="H25" s="1038"/>
      <c r="I25" s="1038"/>
      <c r="J25" s="1038"/>
      <c r="K25" s="1038"/>
      <c r="L25" s="1038"/>
      <c r="M25" s="1038"/>
      <c r="N25" s="1039"/>
      <c r="O25" s="354"/>
      <c r="P25" s="539"/>
      <c r="Q25" s="539"/>
      <c r="R25" s="539"/>
      <c r="S25" s="539"/>
      <c r="T25" s="539"/>
      <c r="U25" s="539"/>
      <c r="V25" s="539"/>
      <c r="W25" s="539"/>
      <c r="X25" s="539"/>
      <c r="Y25" s="539"/>
      <c r="Z25" s="539"/>
      <c r="AA25" s="2"/>
      <c r="AB25" s="2"/>
    </row>
    <row r="26" spans="1:28" x14ac:dyDescent="0.25">
      <c r="A26" s="539"/>
      <c r="B26" s="689"/>
      <c r="C26" s="354"/>
      <c r="D26" s="354"/>
      <c r="E26" s="354"/>
      <c r="F26" s="354"/>
      <c r="G26" s="354"/>
      <c r="H26" s="354"/>
      <c r="I26" s="354"/>
      <c r="J26" s="354"/>
      <c r="K26" s="354"/>
      <c r="L26" s="354"/>
      <c r="M26" s="354"/>
      <c r="N26" s="786"/>
      <c r="O26" s="539"/>
      <c r="P26" s="539"/>
      <c r="Q26" s="539"/>
      <c r="R26" s="539"/>
      <c r="S26" s="539"/>
      <c r="T26" s="539"/>
      <c r="U26" s="539"/>
      <c r="V26" s="539"/>
      <c r="W26" s="539"/>
      <c r="X26" s="539"/>
      <c r="Y26" s="539"/>
      <c r="Z26" s="539"/>
      <c r="AA26" s="2"/>
      <c r="AB26" s="2"/>
    </row>
    <row r="27" spans="1:28" x14ac:dyDescent="0.25">
      <c r="A27" s="539"/>
      <c r="B27" s="689"/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4"/>
      <c r="N27" s="786"/>
      <c r="O27" s="539"/>
      <c r="P27" s="539"/>
      <c r="Q27" s="539"/>
      <c r="R27" s="539"/>
      <c r="S27" s="539"/>
      <c r="T27" s="539"/>
      <c r="U27" s="539"/>
      <c r="V27" s="539"/>
      <c r="W27" s="539"/>
      <c r="X27" s="539"/>
      <c r="Y27" s="539"/>
      <c r="Z27" s="539"/>
      <c r="AA27" s="2"/>
      <c r="AB27" s="2"/>
    </row>
    <row r="28" spans="1:28" x14ac:dyDescent="0.25">
      <c r="A28" s="539"/>
      <c r="B28" s="689"/>
      <c r="C28" s="354"/>
      <c r="D28" s="354"/>
      <c r="E28" s="354"/>
      <c r="F28" s="354"/>
      <c r="G28" s="354"/>
      <c r="H28" s="354"/>
      <c r="I28" s="354"/>
      <c r="J28" s="354"/>
      <c r="K28" s="354"/>
      <c r="L28" s="354"/>
      <c r="M28" s="354"/>
      <c r="N28" s="786"/>
      <c r="O28" s="539"/>
      <c r="P28" s="539"/>
      <c r="Q28" s="539"/>
      <c r="R28" s="539"/>
      <c r="X28" s="539"/>
      <c r="Y28" s="539"/>
      <c r="Z28" s="539"/>
      <c r="AA28" s="2"/>
      <c r="AB28" s="2"/>
    </row>
    <row r="29" spans="1:28" x14ac:dyDescent="0.25">
      <c r="A29" s="539"/>
      <c r="B29" s="689"/>
      <c r="C29" s="354"/>
      <c r="D29" s="354"/>
      <c r="E29" s="354"/>
      <c r="F29" s="354"/>
      <c r="G29" s="354"/>
      <c r="H29" s="354"/>
      <c r="I29" s="354"/>
      <c r="J29" s="354"/>
      <c r="K29" s="354"/>
      <c r="L29" s="354"/>
      <c r="M29" s="354"/>
      <c r="N29" s="786"/>
      <c r="O29" s="539"/>
      <c r="P29" s="539"/>
      <c r="Q29" s="539"/>
      <c r="R29" s="539"/>
      <c r="X29" s="539"/>
      <c r="Y29" s="539"/>
      <c r="Z29" s="539"/>
      <c r="AA29" s="2"/>
      <c r="AB29" s="2"/>
    </row>
    <row r="30" spans="1:28" x14ac:dyDescent="0.25">
      <c r="A30" s="539"/>
      <c r="B30" s="689"/>
      <c r="C30" s="354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786"/>
      <c r="O30" s="539"/>
      <c r="P30" s="539"/>
      <c r="Q30" s="539"/>
      <c r="R30" s="539"/>
      <c r="X30" s="539"/>
      <c r="Y30" s="539"/>
      <c r="Z30" s="539"/>
      <c r="AA30" s="2"/>
      <c r="AB30" s="2"/>
    </row>
    <row r="31" spans="1:28" x14ac:dyDescent="0.25">
      <c r="A31" s="539"/>
      <c r="B31" s="689"/>
      <c r="C31" s="354"/>
      <c r="D31" s="354"/>
      <c r="E31" s="354"/>
      <c r="F31" s="354"/>
      <c r="G31" s="354"/>
      <c r="H31" s="354"/>
      <c r="I31" s="354"/>
      <c r="J31" s="354"/>
      <c r="K31" s="354"/>
      <c r="L31" s="354"/>
      <c r="M31" s="354"/>
      <c r="N31" s="786"/>
      <c r="O31" s="539"/>
      <c r="P31" s="539"/>
      <c r="Q31" s="539"/>
      <c r="R31" s="539"/>
      <c r="X31" s="539"/>
      <c r="Y31" s="539"/>
      <c r="Z31" s="539"/>
      <c r="AA31" s="2"/>
      <c r="AB31" s="2"/>
    </row>
    <row r="32" spans="1:28" x14ac:dyDescent="0.25">
      <c r="A32" s="539"/>
      <c r="B32" s="689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786"/>
      <c r="O32" s="539"/>
      <c r="P32" s="539"/>
      <c r="Q32" s="539"/>
      <c r="R32" s="539"/>
      <c r="X32" s="539"/>
      <c r="Y32" s="539"/>
      <c r="Z32" s="539"/>
      <c r="AA32" s="2"/>
      <c r="AB32" s="2"/>
    </row>
    <row r="33" spans="1:28" x14ac:dyDescent="0.25">
      <c r="A33" s="539"/>
      <c r="B33" s="689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786"/>
      <c r="O33" s="539"/>
      <c r="P33" s="539"/>
      <c r="Q33" s="539"/>
      <c r="R33" s="539"/>
      <c r="X33" s="539"/>
      <c r="Y33" s="539"/>
      <c r="Z33" s="539"/>
      <c r="AA33" s="2"/>
      <c r="AB33" s="2"/>
    </row>
    <row r="34" spans="1:28" x14ac:dyDescent="0.25">
      <c r="A34" s="539"/>
      <c r="B34" s="689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786"/>
      <c r="O34" s="539"/>
      <c r="P34" s="539"/>
      <c r="Q34" s="539"/>
      <c r="R34" s="539"/>
      <c r="X34" s="539"/>
      <c r="Y34" s="539"/>
      <c r="Z34" s="539"/>
      <c r="AA34" s="2"/>
      <c r="AB34" s="2"/>
    </row>
    <row r="35" spans="1:28" x14ac:dyDescent="0.25">
      <c r="A35" s="539"/>
      <c r="B35" s="689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786"/>
      <c r="O35" s="539"/>
      <c r="P35" s="539"/>
      <c r="Q35" s="539"/>
      <c r="R35" s="539"/>
      <c r="X35" s="539"/>
      <c r="Y35" s="539"/>
      <c r="Z35" s="539"/>
      <c r="AA35" s="2"/>
      <c r="AB35" s="2"/>
    </row>
    <row r="36" spans="1:28" x14ac:dyDescent="0.25">
      <c r="A36" s="539"/>
      <c r="B36" s="689"/>
      <c r="C36" s="354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786"/>
      <c r="O36" s="539"/>
      <c r="P36" s="539"/>
      <c r="Q36" s="539"/>
      <c r="R36" s="539"/>
      <c r="X36" s="539"/>
      <c r="Y36" s="539"/>
      <c r="Z36" s="539"/>
      <c r="AA36" s="2"/>
      <c r="AB36" s="2"/>
    </row>
    <row r="37" spans="1:28" x14ac:dyDescent="0.25">
      <c r="A37" s="539"/>
      <c r="B37" s="689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786"/>
      <c r="O37" s="539"/>
      <c r="P37" s="539"/>
      <c r="Q37" s="539"/>
      <c r="R37" s="539"/>
      <c r="X37" s="539"/>
      <c r="Y37" s="539"/>
      <c r="Z37" s="539"/>
      <c r="AA37" s="2"/>
      <c r="AB37" s="2"/>
    </row>
    <row r="38" spans="1:28" x14ac:dyDescent="0.25">
      <c r="A38" s="539"/>
      <c r="B38" s="689"/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786"/>
      <c r="O38" s="539"/>
      <c r="P38" s="539"/>
      <c r="Q38" s="539"/>
      <c r="R38" s="539"/>
      <c r="X38" s="539"/>
      <c r="Y38" s="539"/>
      <c r="Z38" s="539"/>
      <c r="AA38" s="2"/>
      <c r="AB38" s="2"/>
    </row>
    <row r="39" spans="1:28" x14ac:dyDescent="0.25">
      <c r="A39" s="539"/>
      <c r="B39" s="689"/>
      <c r="C39" s="354"/>
      <c r="D39" s="354"/>
      <c r="E39" s="354"/>
      <c r="F39" s="354"/>
      <c r="G39" s="354"/>
      <c r="H39" s="354"/>
      <c r="I39" s="354"/>
      <c r="J39" s="354"/>
      <c r="K39" s="354"/>
      <c r="L39" s="354"/>
      <c r="M39" s="354"/>
      <c r="N39" s="786"/>
      <c r="O39" s="539"/>
      <c r="P39" s="539"/>
      <c r="Q39" s="539"/>
      <c r="R39" s="539"/>
      <c r="X39" s="539"/>
      <c r="Y39" s="539"/>
      <c r="Z39" s="539"/>
      <c r="AA39" s="2"/>
      <c r="AB39" s="2"/>
    </row>
    <row r="40" spans="1:28" x14ac:dyDescent="0.25">
      <c r="A40" s="516"/>
      <c r="B40" s="390"/>
      <c r="C40" s="424"/>
      <c r="D40" s="424"/>
      <c r="E40" s="424"/>
      <c r="F40" s="424"/>
      <c r="G40" s="424"/>
      <c r="H40" s="424"/>
      <c r="I40" s="424"/>
      <c r="J40" s="424"/>
      <c r="K40" s="424"/>
      <c r="L40" s="424"/>
      <c r="M40" s="424"/>
      <c r="N40" s="425"/>
      <c r="O40" s="516"/>
      <c r="P40" s="516"/>
      <c r="Q40" s="516"/>
      <c r="R40" s="516"/>
      <c r="X40" s="516"/>
      <c r="Y40" s="516"/>
      <c r="Z40" s="516"/>
    </row>
    <row r="41" spans="1:28" x14ac:dyDescent="0.25">
      <c r="A41" s="516"/>
      <c r="B41" s="390"/>
      <c r="C41" s="424"/>
      <c r="D41" s="424"/>
      <c r="E41" s="424"/>
      <c r="F41" s="424"/>
      <c r="G41" s="424"/>
      <c r="H41" s="424"/>
      <c r="I41" s="424"/>
      <c r="J41" s="424"/>
      <c r="K41" s="424"/>
      <c r="L41" s="424"/>
      <c r="M41" s="424"/>
      <c r="N41" s="425"/>
      <c r="O41" s="516"/>
      <c r="P41" s="516"/>
      <c r="Q41" s="516"/>
      <c r="R41" s="516"/>
      <c r="X41" s="516"/>
      <c r="Y41" s="516"/>
      <c r="Z41" s="516"/>
    </row>
    <row r="42" spans="1:28" x14ac:dyDescent="0.25">
      <c r="A42" s="516"/>
      <c r="B42" s="390"/>
      <c r="C42" s="424"/>
      <c r="D42" s="424"/>
      <c r="E42" s="424"/>
      <c r="F42" s="424"/>
      <c r="G42" s="424"/>
      <c r="H42" s="424"/>
      <c r="I42" s="424"/>
      <c r="J42" s="424"/>
      <c r="K42" s="424"/>
      <c r="L42" s="424"/>
      <c r="M42" s="424"/>
      <c r="N42" s="425"/>
      <c r="O42" s="516"/>
      <c r="P42" s="516"/>
      <c r="Q42" s="516"/>
      <c r="R42" s="516"/>
      <c r="X42" s="516"/>
      <c r="Y42" s="516"/>
      <c r="Z42" s="516"/>
    </row>
    <row r="43" spans="1:28" x14ac:dyDescent="0.25">
      <c r="A43" s="516"/>
      <c r="B43" s="390"/>
      <c r="C43" s="424"/>
      <c r="D43" s="424"/>
      <c r="E43" s="424"/>
      <c r="F43" s="424"/>
      <c r="G43" s="424"/>
      <c r="H43" s="424"/>
      <c r="I43" s="424"/>
      <c r="J43" s="424"/>
      <c r="K43" s="424"/>
      <c r="L43" s="424"/>
      <c r="M43" s="424"/>
      <c r="N43" s="425"/>
      <c r="O43" s="516"/>
      <c r="P43" s="516"/>
      <c r="Q43" s="516"/>
      <c r="R43" s="516"/>
      <c r="X43" s="516"/>
      <c r="Y43" s="516"/>
      <c r="Z43" s="516"/>
    </row>
    <row r="44" spans="1:28" x14ac:dyDescent="0.25">
      <c r="A44" s="516"/>
      <c r="B44" s="390"/>
      <c r="C44" s="424"/>
      <c r="D44" s="424"/>
      <c r="E44" s="424"/>
      <c r="F44" s="424"/>
      <c r="G44" s="424"/>
      <c r="H44" s="424"/>
      <c r="I44" s="424"/>
      <c r="J44" s="424"/>
      <c r="K44" s="424"/>
      <c r="L44" s="424"/>
      <c r="M44" s="424"/>
      <c r="N44" s="425"/>
      <c r="O44" s="516"/>
      <c r="P44" s="516"/>
      <c r="Q44" s="516"/>
      <c r="R44" s="516"/>
      <c r="X44" s="516"/>
      <c r="Y44" s="516"/>
      <c r="Z44" s="516"/>
    </row>
    <row r="45" spans="1:28" x14ac:dyDescent="0.25">
      <c r="A45" s="516"/>
      <c r="B45" s="390"/>
      <c r="C45" s="424"/>
      <c r="D45" s="424"/>
      <c r="E45" s="424"/>
      <c r="F45" s="424"/>
      <c r="G45" s="424"/>
      <c r="H45" s="424"/>
      <c r="I45" s="424"/>
      <c r="J45" s="424"/>
      <c r="K45" s="424"/>
      <c r="L45" s="424"/>
      <c r="M45" s="424"/>
      <c r="N45" s="425"/>
      <c r="O45" s="516"/>
      <c r="P45" s="516"/>
      <c r="Q45" s="516"/>
      <c r="R45" s="516"/>
      <c r="X45" s="516"/>
      <c r="Y45" s="516"/>
      <c r="Z45" s="516"/>
    </row>
    <row r="46" spans="1:28" x14ac:dyDescent="0.25">
      <c r="A46" s="516"/>
      <c r="B46" s="390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5"/>
      <c r="O46" s="516"/>
      <c r="P46" s="516"/>
      <c r="Q46" s="516"/>
      <c r="R46" s="516"/>
      <c r="X46" s="516"/>
      <c r="Y46" s="516"/>
      <c r="Z46" s="516"/>
    </row>
    <row r="47" spans="1:28" x14ac:dyDescent="0.25">
      <c r="A47" s="516"/>
      <c r="B47" s="390"/>
      <c r="C47" s="424"/>
      <c r="D47" s="424"/>
      <c r="E47" s="424"/>
      <c r="F47" s="424"/>
      <c r="G47" s="424"/>
      <c r="H47" s="424"/>
      <c r="I47" s="424"/>
      <c r="J47" s="424"/>
      <c r="K47" s="424"/>
      <c r="L47" s="424"/>
      <c r="M47" s="424"/>
      <c r="N47" s="425"/>
      <c r="O47" s="516"/>
      <c r="P47" s="516"/>
      <c r="Q47" s="516"/>
      <c r="R47" s="516"/>
      <c r="X47" s="516"/>
      <c r="Y47" s="516"/>
      <c r="Z47" s="516"/>
    </row>
    <row r="48" spans="1:28" x14ac:dyDescent="0.25">
      <c r="A48" s="516"/>
      <c r="B48" s="390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5"/>
      <c r="O48" s="516"/>
      <c r="P48" s="516"/>
      <c r="Q48" s="516"/>
      <c r="R48" s="516"/>
      <c r="X48" s="516"/>
      <c r="Y48" s="516"/>
      <c r="Z48" s="516"/>
    </row>
    <row r="49" spans="1:26" x14ac:dyDescent="0.25">
      <c r="A49" s="516"/>
      <c r="B49" s="390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5"/>
      <c r="O49" s="516"/>
      <c r="P49" s="516"/>
      <c r="Q49" s="516"/>
      <c r="R49" s="516"/>
      <c r="X49" s="516"/>
      <c r="Y49" s="516"/>
      <c r="Z49" s="516"/>
    </row>
    <row r="50" spans="1:26" x14ac:dyDescent="0.25">
      <c r="A50" s="516"/>
      <c r="B50" s="390"/>
      <c r="C50" s="424"/>
      <c r="D50" s="424"/>
      <c r="E50" s="424"/>
      <c r="F50" s="424"/>
      <c r="G50" s="424"/>
      <c r="H50" s="424"/>
      <c r="I50" s="424"/>
      <c r="J50" s="424"/>
      <c r="K50" s="424"/>
      <c r="L50" s="424"/>
      <c r="M50" s="424"/>
      <c r="N50" s="425"/>
      <c r="O50" s="516"/>
      <c r="P50" s="516"/>
      <c r="Q50" s="516"/>
      <c r="R50" s="516"/>
      <c r="X50" s="516"/>
      <c r="Y50" s="516"/>
      <c r="Z50" s="516"/>
    </row>
    <row r="51" spans="1:26" x14ac:dyDescent="0.25">
      <c r="A51" s="516"/>
      <c r="B51" s="390"/>
      <c r="C51" s="424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5"/>
      <c r="O51" s="516"/>
      <c r="P51" s="516"/>
      <c r="Q51" s="516"/>
      <c r="R51" s="516"/>
      <c r="X51" s="516"/>
      <c r="Y51" s="516"/>
      <c r="Z51" s="516"/>
    </row>
    <row r="52" spans="1:26" x14ac:dyDescent="0.25">
      <c r="A52" s="516"/>
      <c r="B52" s="390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5"/>
      <c r="O52" s="516"/>
      <c r="P52" s="516"/>
      <c r="Q52" s="516"/>
      <c r="R52" s="516"/>
      <c r="X52" s="516"/>
      <c r="Y52" s="516"/>
      <c r="Z52" s="516"/>
    </row>
    <row r="53" spans="1:26" x14ac:dyDescent="0.25">
      <c r="A53" s="516"/>
      <c r="B53" s="390"/>
      <c r="C53" s="424"/>
      <c r="D53" s="424"/>
      <c r="E53" s="424"/>
      <c r="F53" s="424"/>
      <c r="G53" s="424"/>
      <c r="H53" s="424"/>
      <c r="I53" s="424"/>
      <c r="J53" s="424"/>
      <c r="K53" s="424"/>
      <c r="L53" s="424"/>
      <c r="M53" s="424"/>
      <c r="N53" s="425"/>
      <c r="O53" s="516"/>
      <c r="P53" s="516"/>
      <c r="Q53" s="516"/>
      <c r="R53" s="516"/>
      <c r="X53" s="516"/>
      <c r="Y53" s="516"/>
      <c r="Z53" s="516"/>
    </row>
    <row r="54" spans="1:26" x14ac:dyDescent="0.25">
      <c r="A54" s="516"/>
      <c r="B54" s="390"/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5"/>
      <c r="O54" s="516"/>
      <c r="P54" s="516"/>
      <c r="Q54" s="516"/>
      <c r="R54" s="516"/>
      <c r="X54" s="516"/>
      <c r="Y54" s="516"/>
      <c r="Z54" s="516"/>
    </row>
    <row r="55" spans="1:26" x14ac:dyDescent="0.25">
      <c r="A55" s="516"/>
      <c r="B55" s="390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5"/>
      <c r="O55" s="516"/>
      <c r="P55" s="516"/>
      <c r="Q55" s="516"/>
      <c r="R55" s="516"/>
      <c r="S55" s="516"/>
      <c r="T55" s="516"/>
      <c r="U55" s="516"/>
      <c r="V55" s="516"/>
      <c r="W55" s="516"/>
      <c r="X55" s="516"/>
      <c r="Y55" s="516"/>
      <c r="Z55" s="516"/>
    </row>
    <row r="56" spans="1:26" x14ac:dyDescent="0.25">
      <c r="A56" s="516"/>
      <c r="B56" s="390"/>
      <c r="C56" s="424"/>
      <c r="D56" s="424"/>
      <c r="E56" s="424"/>
      <c r="F56" s="424"/>
      <c r="G56" s="424"/>
      <c r="H56" s="424"/>
      <c r="I56" s="424"/>
      <c r="J56" s="424"/>
      <c r="K56" s="424"/>
      <c r="L56" s="424"/>
      <c r="M56" s="424"/>
      <c r="N56" s="425"/>
      <c r="O56" s="516"/>
      <c r="P56" s="516"/>
      <c r="Q56" s="516"/>
      <c r="R56" s="516"/>
      <c r="S56" s="516"/>
      <c r="T56" s="516"/>
      <c r="U56" s="516"/>
      <c r="V56" s="516"/>
      <c r="W56" s="516"/>
      <c r="X56" s="516"/>
      <c r="Y56" s="516"/>
      <c r="Z56" s="516"/>
    </row>
    <row r="57" spans="1:26" ht="15.75" thickBot="1" x14ac:dyDescent="0.3">
      <c r="A57" s="516"/>
      <c r="B57" s="938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426"/>
      <c r="O57" s="516"/>
      <c r="P57" s="516"/>
      <c r="Q57" s="516"/>
      <c r="R57" s="516"/>
      <c r="S57" s="516"/>
      <c r="T57" s="516"/>
      <c r="U57" s="516"/>
      <c r="V57" s="516"/>
      <c r="W57" s="516"/>
      <c r="X57" s="516"/>
      <c r="Y57" s="516"/>
      <c r="Z57" s="516"/>
    </row>
    <row r="58" spans="1:26" ht="15.75" thickBot="1" x14ac:dyDescent="0.3">
      <c r="A58" s="516"/>
      <c r="B58" s="516"/>
      <c r="C58" s="516"/>
      <c r="D58" s="516"/>
      <c r="E58" s="516"/>
      <c r="F58" s="516"/>
      <c r="G58" s="516"/>
      <c r="H58" s="516"/>
      <c r="I58" s="516"/>
      <c r="J58" s="516"/>
      <c r="K58" s="516"/>
      <c r="L58" s="516"/>
      <c r="M58" s="516"/>
      <c r="N58" s="516"/>
      <c r="O58" s="516"/>
      <c r="P58" s="516"/>
      <c r="Q58" s="516"/>
      <c r="R58" s="516"/>
      <c r="S58" s="516"/>
      <c r="T58" s="516"/>
      <c r="U58" s="516"/>
      <c r="V58" s="516"/>
      <c r="W58" s="516"/>
      <c r="X58" s="516"/>
      <c r="Y58" s="516"/>
      <c r="Z58" s="516"/>
    </row>
    <row r="59" spans="1:26" ht="15.75" thickBot="1" x14ac:dyDescent="0.3">
      <c r="A59" s="516"/>
      <c r="B59" s="1037" t="s">
        <v>39</v>
      </c>
      <c r="C59" s="1038"/>
      <c r="D59" s="1038"/>
      <c r="E59" s="1038"/>
      <c r="F59" s="1038"/>
      <c r="G59" s="1038"/>
      <c r="H59" s="1038"/>
      <c r="I59" s="1038"/>
      <c r="J59" s="1038"/>
      <c r="K59" s="1038"/>
      <c r="L59" s="1038"/>
      <c r="M59" s="1038"/>
      <c r="N59" s="1039"/>
      <c r="O59" s="516"/>
      <c r="P59" s="516"/>
      <c r="Q59" s="516"/>
      <c r="R59" s="516"/>
      <c r="S59" s="516"/>
      <c r="T59" s="516"/>
      <c r="U59" s="516"/>
      <c r="V59" s="516"/>
      <c r="W59" s="516"/>
      <c r="X59" s="516"/>
      <c r="Y59" s="516"/>
      <c r="Z59" s="516"/>
    </row>
    <row r="60" spans="1:26" x14ac:dyDescent="0.25">
      <c r="A60" s="516"/>
      <c r="B60" s="68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786"/>
      <c r="O60" s="516"/>
      <c r="P60" s="516"/>
      <c r="Q60" s="516"/>
      <c r="R60" s="516"/>
      <c r="S60" s="516"/>
      <c r="T60" s="516"/>
      <c r="U60" s="516"/>
      <c r="V60" s="516"/>
      <c r="W60" s="516"/>
      <c r="X60" s="516"/>
      <c r="Y60" s="516"/>
      <c r="Z60" s="516"/>
    </row>
    <row r="61" spans="1:26" x14ac:dyDescent="0.25">
      <c r="A61" s="516"/>
      <c r="B61" s="68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78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</row>
    <row r="62" spans="1:26" x14ac:dyDescent="0.25">
      <c r="A62" s="516"/>
      <c r="B62" s="68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78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</row>
    <row r="63" spans="1:26" x14ac:dyDescent="0.25">
      <c r="A63" s="516"/>
      <c r="B63" s="68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786"/>
      <c r="O63" s="516"/>
      <c r="P63" s="516"/>
      <c r="Q63" s="516"/>
      <c r="R63" s="516"/>
      <c r="S63" s="516"/>
      <c r="T63" s="516"/>
      <c r="U63" s="516"/>
      <c r="V63" s="516"/>
      <c r="W63" s="516"/>
      <c r="X63" s="516"/>
      <c r="Y63" s="516"/>
      <c r="Z63" s="516"/>
    </row>
    <row r="64" spans="1:26" x14ac:dyDescent="0.25">
      <c r="A64" s="516"/>
      <c r="B64" s="68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786"/>
      <c r="O64" s="516"/>
      <c r="P64" s="516"/>
      <c r="Q64" s="516"/>
      <c r="R64" s="516"/>
      <c r="S64" s="516"/>
      <c r="T64" s="516"/>
      <c r="U64" s="516"/>
      <c r="V64" s="516"/>
      <c r="W64" s="516"/>
      <c r="X64" s="516"/>
      <c r="Y64" s="516"/>
      <c r="Z64" s="516"/>
    </row>
    <row r="65" spans="1:26" x14ac:dyDescent="0.25">
      <c r="A65" s="516"/>
      <c r="B65" s="68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786"/>
      <c r="O65" s="516"/>
      <c r="P65" s="516"/>
      <c r="Q65" s="516"/>
      <c r="R65" s="516"/>
      <c r="S65" s="516"/>
      <c r="T65" s="516"/>
      <c r="U65" s="516"/>
      <c r="V65" s="516"/>
      <c r="W65" s="516"/>
      <c r="X65" s="516"/>
      <c r="Y65" s="516"/>
      <c r="Z65" s="516"/>
    </row>
    <row r="66" spans="1:26" x14ac:dyDescent="0.25">
      <c r="A66" s="516"/>
      <c r="B66" s="68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78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</row>
    <row r="67" spans="1:26" x14ac:dyDescent="0.25">
      <c r="A67" s="516"/>
      <c r="B67" s="68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786"/>
      <c r="O67" s="516"/>
      <c r="P67" s="516"/>
      <c r="Q67" s="516"/>
      <c r="R67" s="516"/>
      <c r="S67" s="516"/>
      <c r="T67" s="516"/>
      <c r="U67" s="516"/>
      <c r="V67" s="516"/>
      <c r="W67" s="516"/>
      <c r="X67" s="516"/>
      <c r="Y67" s="516"/>
      <c r="Z67" s="516"/>
    </row>
    <row r="68" spans="1:26" x14ac:dyDescent="0.25">
      <c r="A68" s="516"/>
      <c r="B68" s="68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786"/>
      <c r="O68" s="516"/>
      <c r="P68" s="516"/>
      <c r="Q68" s="516"/>
      <c r="R68" s="516"/>
      <c r="S68" s="516"/>
      <c r="T68" s="516"/>
      <c r="U68" s="516"/>
      <c r="V68" s="516"/>
      <c r="W68" s="516"/>
      <c r="X68" s="516"/>
      <c r="Y68" s="516"/>
      <c r="Z68" s="516"/>
    </row>
    <row r="69" spans="1:26" x14ac:dyDescent="0.25">
      <c r="A69" s="516"/>
      <c r="B69" s="68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786"/>
      <c r="O69" s="516"/>
      <c r="P69" s="516"/>
      <c r="Q69" s="516"/>
      <c r="R69" s="516"/>
      <c r="S69" s="516"/>
      <c r="T69" s="516"/>
      <c r="U69" s="516"/>
      <c r="V69" s="516"/>
      <c r="W69" s="516"/>
      <c r="X69" s="516"/>
      <c r="Y69" s="516"/>
      <c r="Z69" s="516"/>
    </row>
    <row r="70" spans="1:26" x14ac:dyDescent="0.25">
      <c r="A70" s="516"/>
      <c r="B70" s="1040" t="s">
        <v>40</v>
      </c>
      <c r="C70" s="1041"/>
      <c r="D70" s="1041"/>
      <c r="E70" s="539"/>
      <c r="F70" s="539"/>
      <c r="G70" s="539"/>
      <c r="H70" s="539"/>
      <c r="I70" s="539"/>
      <c r="J70" s="539"/>
      <c r="K70" s="539"/>
      <c r="L70" s="539"/>
      <c r="M70" s="539"/>
      <c r="N70" s="786"/>
      <c r="O70" s="516"/>
      <c r="P70" s="516"/>
      <c r="Q70" s="516"/>
      <c r="R70" s="516"/>
      <c r="S70" s="516"/>
      <c r="T70" s="516"/>
      <c r="U70" s="516"/>
      <c r="V70" s="516"/>
      <c r="W70" s="516"/>
      <c r="X70" s="516"/>
      <c r="Y70" s="516"/>
      <c r="Z70" s="516"/>
    </row>
    <row r="71" spans="1:26" x14ac:dyDescent="0.25">
      <c r="A71" s="516"/>
      <c r="B71" s="68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786"/>
      <c r="O71" s="516"/>
      <c r="P71" s="516"/>
      <c r="Q71" s="516"/>
      <c r="R71" s="516"/>
      <c r="S71" s="516"/>
      <c r="T71" s="516"/>
      <c r="U71" s="516"/>
      <c r="V71" s="516"/>
      <c r="W71" s="516"/>
      <c r="X71" s="516"/>
      <c r="Y71" s="516"/>
      <c r="Z71" s="516"/>
    </row>
    <row r="72" spans="1:26" x14ac:dyDescent="0.25">
      <c r="A72" s="516"/>
      <c r="B72" s="68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786"/>
      <c r="O72" s="516"/>
      <c r="P72" s="516"/>
      <c r="Q72" s="516"/>
      <c r="R72" s="516"/>
      <c r="S72" s="516"/>
      <c r="T72" s="516"/>
      <c r="U72" s="516"/>
      <c r="V72" s="516"/>
      <c r="W72" s="516"/>
      <c r="X72" s="516"/>
      <c r="Y72" s="516"/>
      <c r="Z72" s="516"/>
    </row>
    <row r="73" spans="1:26" x14ac:dyDescent="0.25">
      <c r="A73" s="516"/>
      <c r="B73" s="68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786"/>
      <c r="O73" s="516"/>
      <c r="P73" s="516"/>
      <c r="Q73" s="516"/>
      <c r="R73" s="516"/>
      <c r="S73" s="516"/>
      <c r="T73" s="516"/>
      <c r="U73" s="516"/>
      <c r="V73" s="516"/>
      <c r="W73" s="516"/>
      <c r="X73" s="516"/>
      <c r="Y73" s="516"/>
      <c r="Z73" s="516"/>
    </row>
    <row r="74" spans="1:26" x14ac:dyDescent="0.25">
      <c r="A74" s="516"/>
      <c r="B74" s="390"/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425"/>
      <c r="O74" s="516"/>
      <c r="P74" s="516"/>
      <c r="Q74" s="516"/>
      <c r="R74" s="516"/>
      <c r="S74" s="516"/>
      <c r="T74" s="516"/>
      <c r="U74" s="516"/>
      <c r="V74" s="516"/>
      <c r="W74" s="516"/>
      <c r="X74" s="516"/>
      <c r="Y74" s="516"/>
      <c r="Z74" s="516"/>
    </row>
    <row r="75" spans="1:26" x14ac:dyDescent="0.25">
      <c r="A75" s="516"/>
      <c r="B75" s="390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425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  <c r="Z75" s="516"/>
    </row>
    <row r="76" spans="1:26" x14ac:dyDescent="0.25">
      <c r="A76" s="516"/>
      <c r="B76" s="390"/>
      <c r="C76" s="516"/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425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</row>
    <row r="77" spans="1:26" x14ac:dyDescent="0.25">
      <c r="A77" s="516"/>
      <c r="B77" s="390"/>
      <c r="C77" s="516"/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425"/>
      <c r="O77" s="516"/>
      <c r="P77" s="516"/>
      <c r="Q77" s="516"/>
      <c r="R77" s="516"/>
      <c r="S77" s="516"/>
      <c r="T77" s="516"/>
      <c r="U77" s="516"/>
      <c r="V77" s="516"/>
      <c r="W77" s="516"/>
      <c r="X77" s="516"/>
      <c r="Y77" s="516"/>
      <c r="Z77" s="516"/>
    </row>
    <row r="78" spans="1:26" x14ac:dyDescent="0.25">
      <c r="A78" s="516"/>
      <c r="B78" s="390"/>
      <c r="C78" s="516"/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425"/>
      <c r="O78" s="516"/>
      <c r="P78" s="516"/>
      <c r="Q78" s="516"/>
      <c r="R78" s="516"/>
      <c r="S78" s="516"/>
      <c r="T78" s="516"/>
      <c r="U78" s="516"/>
      <c r="V78" s="516"/>
      <c r="W78" s="516"/>
      <c r="X78" s="516"/>
      <c r="Y78" s="516"/>
      <c r="Z78" s="516"/>
    </row>
    <row r="79" spans="1:26" x14ac:dyDescent="0.25">
      <c r="A79" s="516"/>
      <c r="B79" s="390"/>
      <c r="C79" s="516"/>
      <c r="D79" s="516"/>
      <c r="E79" s="516"/>
      <c r="F79" s="516"/>
      <c r="G79" s="516"/>
      <c r="H79" s="516"/>
      <c r="I79" s="516"/>
      <c r="J79" s="516"/>
      <c r="K79" s="516"/>
      <c r="L79" s="516"/>
      <c r="M79" s="516"/>
      <c r="N79" s="425"/>
      <c r="O79" s="516"/>
      <c r="P79" s="516"/>
      <c r="Q79" s="516"/>
      <c r="R79" s="516"/>
      <c r="S79" s="516"/>
      <c r="T79" s="516"/>
      <c r="U79" s="516"/>
      <c r="V79" s="516"/>
      <c r="W79" s="516"/>
      <c r="X79" s="516"/>
      <c r="Y79" s="516"/>
      <c r="Z79" s="516"/>
    </row>
    <row r="80" spans="1:26" x14ac:dyDescent="0.25">
      <c r="A80" s="516"/>
      <c r="B80" s="390"/>
      <c r="C80" s="516"/>
      <c r="D80" s="516"/>
      <c r="E80" s="516"/>
      <c r="F80" s="516"/>
      <c r="G80" s="516"/>
      <c r="H80" s="516"/>
      <c r="I80" s="516"/>
      <c r="J80" s="516"/>
      <c r="K80" s="516"/>
      <c r="L80" s="516"/>
      <c r="M80" s="516"/>
      <c r="N80" s="425"/>
      <c r="O80" s="516"/>
      <c r="P80" s="516"/>
      <c r="Q80" s="516"/>
      <c r="R80" s="516"/>
      <c r="S80" s="516"/>
      <c r="T80" s="516"/>
      <c r="U80" s="516"/>
      <c r="V80" s="516"/>
      <c r="W80" s="516"/>
      <c r="X80" s="516"/>
      <c r="Y80" s="516"/>
      <c r="Z80" s="516"/>
    </row>
    <row r="81" spans="1:26" x14ac:dyDescent="0.25">
      <c r="A81" s="516"/>
      <c r="B81" s="390"/>
      <c r="C81" s="516"/>
      <c r="D81" s="516"/>
      <c r="E81" s="516"/>
      <c r="F81" s="516"/>
      <c r="G81" s="516"/>
      <c r="H81" s="516"/>
      <c r="I81" s="516"/>
      <c r="J81" s="516"/>
      <c r="K81" s="516"/>
      <c r="L81" s="516"/>
      <c r="M81" s="516"/>
      <c r="N81" s="425"/>
      <c r="O81" s="516"/>
      <c r="P81" s="516"/>
      <c r="Q81" s="516"/>
      <c r="R81" s="516"/>
      <c r="S81" s="516"/>
      <c r="T81" s="516"/>
      <c r="U81" s="516"/>
      <c r="V81" s="516"/>
      <c r="W81" s="516"/>
      <c r="X81" s="516"/>
      <c r="Y81" s="516"/>
      <c r="Z81" s="516"/>
    </row>
    <row r="82" spans="1:26" x14ac:dyDescent="0.25">
      <c r="A82" s="516"/>
      <c r="B82" s="390"/>
      <c r="C82" s="516"/>
      <c r="D82" s="516"/>
      <c r="E82" s="516"/>
      <c r="F82" s="516"/>
      <c r="G82" s="516"/>
      <c r="H82" s="516"/>
      <c r="I82" s="516"/>
      <c r="J82" s="516"/>
      <c r="K82" s="516"/>
      <c r="L82" s="516"/>
      <c r="M82" s="516"/>
      <c r="N82" s="425"/>
      <c r="O82" s="516"/>
      <c r="P82" s="516"/>
      <c r="Q82" s="516"/>
      <c r="R82" s="516"/>
      <c r="S82" s="516"/>
      <c r="T82" s="516"/>
      <c r="U82" s="516"/>
      <c r="V82" s="516"/>
      <c r="W82" s="516"/>
      <c r="X82" s="516"/>
      <c r="Y82" s="516"/>
      <c r="Z82" s="516"/>
    </row>
    <row r="83" spans="1:26" x14ac:dyDescent="0.25">
      <c r="A83" s="516"/>
      <c r="B83" s="390"/>
      <c r="C83" s="516"/>
      <c r="D83" s="516"/>
      <c r="E83" s="516"/>
      <c r="F83" s="516"/>
      <c r="G83" s="516"/>
      <c r="H83" s="516"/>
      <c r="I83" s="516"/>
      <c r="J83" s="516"/>
      <c r="K83" s="516"/>
      <c r="L83" s="516"/>
      <c r="M83" s="516"/>
      <c r="N83" s="425"/>
      <c r="O83" s="516"/>
      <c r="P83" s="516"/>
      <c r="Q83" s="516"/>
      <c r="R83" s="516"/>
      <c r="S83" s="516"/>
      <c r="T83" s="516"/>
      <c r="U83" s="516"/>
      <c r="V83" s="516"/>
      <c r="W83" s="516"/>
      <c r="X83" s="516"/>
      <c r="Y83" s="516"/>
      <c r="Z83" s="516"/>
    </row>
    <row r="84" spans="1:26" x14ac:dyDescent="0.25">
      <c r="A84" s="516"/>
      <c r="B84" s="390"/>
      <c r="C84" s="516"/>
      <c r="D84" s="516"/>
      <c r="E84" s="516"/>
      <c r="F84" s="516"/>
      <c r="G84" s="516"/>
      <c r="H84" s="516"/>
      <c r="I84" s="516"/>
      <c r="J84" s="516"/>
      <c r="K84" s="516"/>
      <c r="L84" s="516"/>
      <c r="M84" s="516"/>
      <c r="N84" s="425"/>
      <c r="O84" s="516"/>
      <c r="P84" s="516"/>
      <c r="Q84" s="516"/>
      <c r="R84" s="516"/>
      <c r="S84" s="516"/>
      <c r="T84" s="516"/>
      <c r="U84" s="516"/>
      <c r="V84" s="516"/>
      <c r="W84" s="516"/>
      <c r="X84" s="516"/>
      <c r="Y84" s="516"/>
      <c r="Z84" s="516"/>
    </row>
    <row r="85" spans="1:26" x14ac:dyDescent="0.25">
      <c r="A85" s="516"/>
      <c r="B85" s="390"/>
      <c r="C85" s="516"/>
      <c r="D85" s="516"/>
      <c r="E85" s="516"/>
      <c r="F85" s="516"/>
      <c r="G85" s="516"/>
      <c r="H85" s="516"/>
      <c r="I85" s="516"/>
      <c r="J85" s="516"/>
      <c r="K85" s="516"/>
      <c r="L85" s="516"/>
      <c r="M85" s="516"/>
      <c r="N85" s="425"/>
      <c r="O85" s="516"/>
      <c r="P85" s="516"/>
      <c r="Q85" s="516"/>
      <c r="R85" s="516"/>
      <c r="S85" s="516"/>
      <c r="T85" s="516"/>
      <c r="U85" s="516"/>
      <c r="V85" s="516"/>
      <c r="W85" s="516"/>
      <c r="X85" s="516"/>
      <c r="Y85" s="516"/>
      <c r="Z85" s="516"/>
    </row>
    <row r="86" spans="1:26" x14ac:dyDescent="0.25">
      <c r="A86" s="516"/>
      <c r="B86" s="390"/>
      <c r="C86" s="516"/>
      <c r="D86" s="516"/>
      <c r="E86" s="516"/>
      <c r="F86" s="516"/>
      <c r="G86" s="516"/>
      <c r="H86" s="516"/>
      <c r="I86" s="516"/>
      <c r="J86" s="516"/>
      <c r="K86" s="516"/>
      <c r="L86" s="516"/>
      <c r="M86" s="516"/>
      <c r="N86" s="425"/>
      <c r="O86" s="516"/>
      <c r="P86" s="516"/>
      <c r="Q86" s="516"/>
      <c r="R86" s="516"/>
      <c r="S86" s="516"/>
      <c r="T86" s="516"/>
      <c r="U86" s="516"/>
      <c r="V86" s="516"/>
      <c r="W86" s="516"/>
      <c r="X86" s="516"/>
      <c r="Y86" s="516"/>
      <c r="Z86" s="516"/>
    </row>
    <row r="87" spans="1:26" x14ac:dyDescent="0.25">
      <c r="A87" s="516"/>
      <c r="B87" s="390"/>
      <c r="C87" s="516"/>
      <c r="D87" s="516"/>
      <c r="E87" s="516"/>
      <c r="F87" s="516"/>
      <c r="G87" s="516"/>
      <c r="H87" s="516"/>
      <c r="I87" s="516"/>
      <c r="J87" s="516"/>
      <c r="K87" s="516"/>
      <c r="L87" s="516"/>
      <c r="M87" s="516"/>
      <c r="N87" s="425"/>
      <c r="O87" s="516"/>
      <c r="P87" s="516"/>
      <c r="Q87" s="516"/>
      <c r="R87" s="516"/>
      <c r="S87" s="516"/>
      <c r="T87" s="516"/>
      <c r="U87" s="516"/>
      <c r="V87" s="516"/>
      <c r="W87" s="516"/>
      <c r="X87" s="516"/>
      <c r="Y87" s="516"/>
      <c r="Z87" s="516"/>
    </row>
    <row r="88" spans="1:26" x14ac:dyDescent="0.25">
      <c r="A88" s="516"/>
      <c r="B88" s="390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425"/>
      <c r="O88" s="516"/>
      <c r="P88" s="516"/>
      <c r="Q88" s="516"/>
      <c r="R88" s="516"/>
      <c r="S88" s="516"/>
      <c r="T88" s="516"/>
      <c r="U88" s="516"/>
      <c r="V88" s="516"/>
      <c r="W88" s="516"/>
      <c r="X88" s="516"/>
      <c r="Y88" s="516"/>
      <c r="Z88" s="516"/>
    </row>
    <row r="89" spans="1:26" x14ac:dyDescent="0.25">
      <c r="A89" s="516"/>
      <c r="B89" s="390"/>
      <c r="C89" s="516"/>
      <c r="D89" s="516"/>
      <c r="E89" s="516"/>
      <c r="F89" s="516"/>
      <c r="G89" s="516"/>
      <c r="H89" s="516"/>
      <c r="I89" s="516"/>
      <c r="J89" s="516"/>
      <c r="K89" s="516"/>
      <c r="L89" s="516"/>
      <c r="M89" s="516"/>
      <c r="N89" s="425"/>
      <c r="O89" s="516"/>
      <c r="P89" s="516"/>
      <c r="Q89" s="516"/>
      <c r="R89" s="516"/>
      <c r="S89" s="516"/>
      <c r="T89" s="516"/>
      <c r="U89" s="516"/>
      <c r="V89" s="516"/>
      <c r="W89" s="516"/>
      <c r="X89" s="516"/>
      <c r="Y89" s="516"/>
      <c r="Z89" s="516"/>
    </row>
    <row r="90" spans="1:26" x14ac:dyDescent="0.25">
      <c r="A90" s="516"/>
      <c r="B90" s="390"/>
      <c r="C90" s="516"/>
      <c r="D90" s="516"/>
      <c r="E90" s="516"/>
      <c r="F90" s="516"/>
      <c r="G90" s="516"/>
      <c r="H90" s="516"/>
      <c r="I90" s="516"/>
      <c r="J90" s="516"/>
      <c r="K90" s="516"/>
      <c r="L90" s="516"/>
      <c r="M90" s="516"/>
      <c r="N90" s="425"/>
      <c r="O90" s="516"/>
      <c r="P90" s="516"/>
      <c r="Q90" s="516"/>
      <c r="R90" s="516"/>
      <c r="S90" s="516"/>
      <c r="T90" s="516"/>
      <c r="U90" s="516"/>
      <c r="V90" s="516"/>
      <c r="W90" s="516"/>
      <c r="X90" s="516"/>
      <c r="Y90" s="516"/>
      <c r="Z90" s="516"/>
    </row>
    <row r="91" spans="1:26" ht="15.75" thickBot="1" x14ac:dyDescent="0.3">
      <c r="A91" s="516"/>
      <c r="B91" s="938"/>
      <c r="C91" s="939"/>
      <c r="D91" s="939"/>
      <c r="E91" s="939"/>
      <c r="F91" s="939"/>
      <c r="G91" s="939"/>
      <c r="H91" s="939"/>
      <c r="I91" s="939"/>
      <c r="J91" s="939"/>
      <c r="K91" s="939"/>
      <c r="L91" s="939"/>
      <c r="M91" s="939"/>
      <c r="N91" s="426"/>
      <c r="O91" s="516"/>
      <c r="P91" s="516"/>
      <c r="Q91" s="516"/>
      <c r="R91" s="516"/>
      <c r="S91" s="516"/>
      <c r="T91" s="516"/>
      <c r="U91" s="516"/>
      <c r="V91" s="516"/>
      <c r="W91" s="516"/>
      <c r="X91" s="516"/>
      <c r="Y91" s="516"/>
      <c r="Z91" s="516"/>
    </row>
    <row r="92" spans="1:26" ht="15.75" thickBot="1" x14ac:dyDescent="0.3">
      <c r="A92" s="516"/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  <c r="Y92" s="516"/>
      <c r="Z92" s="516"/>
    </row>
    <row r="93" spans="1:26" ht="15.75" thickBot="1" x14ac:dyDescent="0.3">
      <c r="A93" s="516"/>
      <c r="B93" s="1037" t="s">
        <v>41</v>
      </c>
      <c r="C93" s="1038"/>
      <c r="D93" s="1038"/>
      <c r="E93" s="1038"/>
      <c r="F93" s="1038"/>
      <c r="G93" s="1038"/>
      <c r="H93" s="1038"/>
      <c r="I93" s="1038"/>
      <c r="J93" s="1038"/>
      <c r="K93" s="1038"/>
      <c r="L93" s="1038"/>
      <c r="M93" s="1038"/>
      <c r="N93" s="1039"/>
      <c r="O93" s="516"/>
      <c r="P93" s="516"/>
      <c r="Q93" s="516"/>
      <c r="R93" s="516"/>
      <c r="S93" s="516"/>
      <c r="T93" s="516"/>
      <c r="U93" s="516"/>
      <c r="V93" s="516"/>
      <c r="W93" s="516"/>
      <c r="X93" s="516"/>
      <c r="Y93" s="516"/>
      <c r="Z93" s="516"/>
    </row>
    <row r="94" spans="1:26" x14ac:dyDescent="0.25">
      <c r="A94" s="516"/>
      <c r="B94" s="689"/>
      <c r="C94" s="539"/>
      <c r="D94" s="539"/>
      <c r="E94" s="539"/>
      <c r="F94" s="539"/>
      <c r="G94" s="539"/>
      <c r="H94" s="539"/>
      <c r="I94" s="539"/>
      <c r="J94" s="539"/>
      <c r="K94" s="539"/>
      <c r="L94" s="539"/>
      <c r="M94" s="539"/>
      <c r="N94" s="786"/>
      <c r="O94" s="516"/>
      <c r="P94" s="516"/>
      <c r="Q94" s="516"/>
      <c r="R94" s="516"/>
      <c r="S94" s="516"/>
      <c r="T94" s="516"/>
      <c r="U94" s="516"/>
      <c r="V94" s="516"/>
      <c r="W94" s="516"/>
      <c r="X94" s="516"/>
      <c r="Y94" s="516"/>
      <c r="Z94" s="516"/>
    </row>
    <row r="95" spans="1:26" x14ac:dyDescent="0.25">
      <c r="A95" s="516"/>
      <c r="B95" s="689"/>
      <c r="C95" s="539"/>
      <c r="D95" s="539"/>
      <c r="E95" s="539"/>
      <c r="F95" s="539"/>
      <c r="G95" s="539"/>
      <c r="H95" s="539"/>
      <c r="I95" s="539"/>
      <c r="J95" s="539"/>
      <c r="K95" s="539"/>
      <c r="L95" s="539"/>
      <c r="M95" s="539"/>
      <c r="N95" s="786"/>
      <c r="O95" s="516"/>
      <c r="P95" s="516"/>
      <c r="Q95" s="516"/>
      <c r="R95" s="516"/>
      <c r="S95" s="516"/>
      <c r="T95" s="516"/>
      <c r="U95" s="516"/>
      <c r="V95" s="516"/>
      <c r="W95" s="516"/>
      <c r="X95" s="516"/>
      <c r="Y95" s="516"/>
      <c r="Z95" s="516"/>
    </row>
    <row r="96" spans="1:26" x14ac:dyDescent="0.25">
      <c r="A96" s="516"/>
      <c r="B96" s="689"/>
      <c r="C96" s="539"/>
      <c r="D96" s="539"/>
      <c r="E96" s="539"/>
      <c r="F96" s="539"/>
      <c r="G96" s="539"/>
      <c r="H96" s="539"/>
      <c r="I96" s="539"/>
      <c r="J96" s="539"/>
      <c r="K96" s="539"/>
      <c r="L96" s="539"/>
      <c r="M96" s="539"/>
      <c r="N96" s="786"/>
      <c r="O96" s="516"/>
      <c r="P96" s="516"/>
      <c r="Q96" s="516"/>
      <c r="R96" s="516"/>
      <c r="S96" s="516"/>
      <c r="T96" s="516"/>
      <c r="U96" s="516"/>
      <c r="V96" s="516"/>
      <c r="W96" s="516"/>
      <c r="X96" s="516"/>
      <c r="Y96" s="516"/>
      <c r="Z96" s="516"/>
    </row>
    <row r="97" spans="1:26" x14ac:dyDescent="0.25">
      <c r="A97" s="516"/>
      <c r="B97" s="689"/>
      <c r="C97" s="539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786"/>
      <c r="O97" s="516"/>
      <c r="P97" s="516"/>
      <c r="Q97" s="516"/>
      <c r="R97" s="516"/>
      <c r="S97" s="516"/>
      <c r="T97" s="516"/>
      <c r="U97" s="516"/>
      <c r="V97" s="516"/>
      <c r="W97" s="516"/>
      <c r="X97" s="516"/>
      <c r="Y97" s="516"/>
      <c r="Z97" s="516"/>
    </row>
    <row r="98" spans="1:26" x14ac:dyDescent="0.25">
      <c r="A98" s="516"/>
      <c r="B98" s="689"/>
      <c r="C98" s="539"/>
      <c r="D98" s="539"/>
      <c r="E98" s="539"/>
      <c r="F98" s="539"/>
      <c r="G98" s="539"/>
      <c r="H98" s="539"/>
      <c r="I98" s="539"/>
      <c r="J98" s="539"/>
      <c r="K98" s="539"/>
      <c r="L98" s="539"/>
      <c r="M98" s="539"/>
      <c r="N98" s="786"/>
      <c r="O98" s="516"/>
      <c r="P98" s="516"/>
      <c r="Q98" s="516"/>
      <c r="R98" s="516"/>
      <c r="S98" s="516"/>
      <c r="T98" s="516"/>
      <c r="U98" s="516"/>
      <c r="V98" s="516"/>
      <c r="W98" s="516"/>
      <c r="X98" s="516"/>
      <c r="Y98" s="516"/>
      <c r="Z98" s="516"/>
    </row>
    <row r="99" spans="1:26" x14ac:dyDescent="0.25">
      <c r="A99" s="516"/>
      <c r="B99" s="689"/>
      <c r="C99" s="539"/>
      <c r="D99" s="539"/>
      <c r="E99" s="539"/>
      <c r="F99" s="539"/>
      <c r="G99" s="539"/>
      <c r="H99" s="539"/>
      <c r="I99" s="539"/>
      <c r="J99" s="539"/>
      <c r="K99" s="539"/>
      <c r="L99" s="539"/>
      <c r="M99" s="539"/>
      <c r="N99" s="786"/>
      <c r="O99" s="516"/>
      <c r="P99" s="516"/>
      <c r="Q99" s="516"/>
      <c r="R99" s="516"/>
      <c r="S99" s="516"/>
      <c r="T99" s="516"/>
      <c r="U99" s="516"/>
      <c r="V99" s="516"/>
      <c r="W99" s="516"/>
      <c r="X99" s="516"/>
      <c r="Y99" s="516"/>
      <c r="Z99" s="516"/>
    </row>
    <row r="100" spans="1:26" x14ac:dyDescent="0.25">
      <c r="A100" s="516"/>
      <c r="B100" s="689"/>
      <c r="C100" s="539"/>
      <c r="D100" s="539"/>
      <c r="E100" s="539"/>
      <c r="F100" s="539"/>
      <c r="G100" s="539"/>
      <c r="H100" s="539"/>
      <c r="I100" s="539"/>
      <c r="J100" s="539"/>
      <c r="K100" s="539"/>
      <c r="L100" s="539"/>
      <c r="M100" s="539"/>
      <c r="N100" s="786"/>
      <c r="O100" s="516"/>
      <c r="P100" s="516"/>
      <c r="Q100" s="516"/>
      <c r="R100" s="516"/>
      <c r="S100" s="516"/>
      <c r="T100" s="516"/>
      <c r="U100" s="516"/>
      <c r="V100" s="516"/>
      <c r="W100" s="516"/>
      <c r="X100" s="516"/>
      <c r="Y100" s="516"/>
      <c r="Z100" s="516"/>
    </row>
    <row r="101" spans="1:26" x14ac:dyDescent="0.25">
      <c r="A101" s="516"/>
      <c r="B101" s="689"/>
      <c r="C101" s="539"/>
      <c r="D101" s="539"/>
      <c r="E101" s="539"/>
      <c r="F101" s="539"/>
      <c r="G101" s="539"/>
      <c r="H101" s="539"/>
      <c r="I101" s="539"/>
      <c r="J101" s="539"/>
      <c r="K101" s="539"/>
      <c r="L101" s="539"/>
      <c r="M101" s="539"/>
      <c r="N101" s="78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</row>
    <row r="102" spans="1:26" x14ac:dyDescent="0.25">
      <c r="A102" s="516"/>
      <c r="B102" s="689"/>
      <c r="C102" s="539"/>
      <c r="D102" s="539"/>
      <c r="E102" s="539"/>
      <c r="F102" s="539"/>
      <c r="G102" s="539"/>
      <c r="H102" s="539"/>
      <c r="I102" s="539"/>
      <c r="J102" s="539"/>
      <c r="K102" s="539"/>
      <c r="L102" s="539"/>
      <c r="M102" s="539"/>
      <c r="N102" s="786"/>
      <c r="O102" s="516"/>
      <c r="P102" s="516"/>
      <c r="Q102" s="516"/>
      <c r="R102" s="516"/>
      <c r="S102" s="516"/>
      <c r="T102" s="516"/>
      <c r="U102" s="516"/>
      <c r="V102" s="516"/>
      <c r="W102" s="516"/>
      <c r="X102" s="516"/>
      <c r="Y102" s="516"/>
      <c r="Z102" s="516"/>
    </row>
    <row r="103" spans="1:26" x14ac:dyDescent="0.25">
      <c r="A103" s="516"/>
      <c r="B103" s="689"/>
      <c r="C103" s="539"/>
      <c r="D103" s="539"/>
      <c r="E103" s="539"/>
      <c r="F103" s="539"/>
      <c r="G103" s="539"/>
      <c r="H103" s="539"/>
      <c r="I103" s="539"/>
      <c r="J103" s="539"/>
      <c r="K103" s="539"/>
      <c r="L103" s="539"/>
      <c r="M103" s="539"/>
      <c r="N103" s="786"/>
      <c r="O103" s="516"/>
      <c r="P103" s="516"/>
      <c r="Q103" s="516"/>
      <c r="R103" s="516"/>
      <c r="S103" s="516"/>
      <c r="T103" s="516"/>
      <c r="U103" s="516"/>
      <c r="V103" s="516"/>
      <c r="W103" s="516"/>
      <c r="X103" s="516"/>
      <c r="Y103" s="516"/>
      <c r="Z103" s="516"/>
    </row>
    <row r="104" spans="1:26" x14ac:dyDescent="0.25">
      <c r="A104" s="516"/>
      <c r="B104" s="689"/>
      <c r="C104" s="539"/>
      <c r="D104" s="539"/>
      <c r="E104" s="539"/>
      <c r="F104" s="539"/>
      <c r="G104" s="539"/>
      <c r="H104" s="539"/>
      <c r="I104" s="539"/>
      <c r="J104" s="539"/>
      <c r="K104" s="539"/>
      <c r="L104" s="539"/>
      <c r="M104" s="539"/>
      <c r="N104" s="78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  <c r="Y104" s="516"/>
      <c r="Z104" s="516"/>
    </row>
    <row r="105" spans="1:26" x14ac:dyDescent="0.25">
      <c r="A105" s="516"/>
      <c r="B105" s="689"/>
      <c r="C105" s="539"/>
      <c r="D105" s="539"/>
      <c r="E105" s="539"/>
      <c r="F105" s="539"/>
      <c r="G105" s="539"/>
      <c r="H105" s="539"/>
      <c r="I105" s="539"/>
      <c r="J105" s="539"/>
      <c r="K105" s="539"/>
      <c r="L105" s="539"/>
      <c r="M105" s="539"/>
      <c r="N105" s="786"/>
      <c r="O105" s="516"/>
      <c r="P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</row>
    <row r="106" spans="1:26" x14ac:dyDescent="0.25">
      <c r="A106" s="516"/>
      <c r="B106" s="689"/>
      <c r="C106" s="539"/>
      <c r="D106" s="539"/>
      <c r="E106" s="539"/>
      <c r="F106" s="539"/>
      <c r="G106" s="539"/>
      <c r="H106" s="539"/>
      <c r="I106" s="539"/>
      <c r="J106" s="539"/>
      <c r="K106" s="539"/>
      <c r="L106" s="539"/>
      <c r="M106" s="539"/>
      <c r="N106" s="786"/>
      <c r="O106" s="516"/>
      <c r="P106" s="516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</row>
    <row r="107" spans="1:26" x14ac:dyDescent="0.25">
      <c r="A107" s="516"/>
      <c r="B107" s="689"/>
      <c r="C107" s="539"/>
      <c r="D107" s="539"/>
      <c r="E107" s="539"/>
      <c r="F107" s="539"/>
      <c r="G107" s="539"/>
      <c r="H107" s="539"/>
      <c r="I107" s="539"/>
      <c r="J107" s="539"/>
      <c r="K107" s="539"/>
      <c r="L107" s="539"/>
      <c r="M107" s="539"/>
      <c r="N107" s="786"/>
      <c r="O107" s="516"/>
      <c r="P107" s="516"/>
      <c r="Q107" s="516"/>
      <c r="R107" s="516"/>
      <c r="S107" s="516"/>
      <c r="T107" s="516"/>
      <c r="U107" s="516"/>
      <c r="V107" s="516"/>
      <c r="W107" s="516"/>
      <c r="X107" s="516"/>
      <c r="Y107" s="516"/>
      <c r="Z107" s="516"/>
    </row>
    <row r="108" spans="1:26" x14ac:dyDescent="0.25">
      <c r="A108" s="516"/>
      <c r="B108" s="390"/>
      <c r="C108" s="516"/>
      <c r="D108" s="516"/>
      <c r="E108" s="516"/>
      <c r="F108" s="516"/>
      <c r="G108" s="516"/>
      <c r="H108" s="516"/>
      <c r="I108" s="516"/>
      <c r="J108" s="516"/>
      <c r="K108" s="516"/>
      <c r="L108" s="516"/>
      <c r="M108" s="516"/>
      <c r="N108" s="425"/>
      <c r="O108" s="516"/>
      <c r="P108" s="516"/>
      <c r="Q108" s="516"/>
      <c r="R108" s="516"/>
      <c r="S108" s="516"/>
      <c r="T108" s="516"/>
      <c r="U108" s="516"/>
      <c r="V108" s="516"/>
      <c r="W108" s="516"/>
      <c r="X108" s="516"/>
      <c r="Y108" s="516"/>
      <c r="Z108" s="516"/>
    </row>
    <row r="109" spans="1:26" x14ac:dyDescent="0.25">
      <c r="A109" s="516"/>
      <c r="B109" s="390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425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  <c r="Z109" s="516"/>
    </row>
    <row r="110" spans="1:26" x14ac:dyDescent="0.25">
      <c r="A110" s="516"/>
      <c r="B110" s="390"/>
      <c r="C110" s="516"/>
      <c r="D110" s="516"/>
      <c r="E110" s="516"/>
      <c r="F110" s="516"/>
      <c r="G110" s="516"/>
      <c r="H110" s="516"/>
      <c r="I110" s="516"/>
      <c r="J110" s="516"/>
      <c r="K110" s="516"/>
      <c r="L110" s="516"/>
      <c r="M110" s="516"/>
      <c r="N110" s="425"/>
      <c r="O110" s="516"/>
      <c r="P110" s="516"/>
      <c r="Q110" s="516"/>
      <c r="R110" s="516"/>
      <c r="S110" s="516"/>
      <c r="T110" s="516"/>
      <c r="U110" s="516"/>
      <c r="V110" s="516"/>
      <c r="W110" s="516"/>
      <c r="X110" s="516"/>
      <c r="Y110" s="516"/>
      <c r="Z110" s="516"/>
    </row>
    <row r="111" spans="1:26" x14ac:dyDescent="0.25">
      <c r="A111" s="516"/>
      <c r="B111" s="390"/>
      <c r="C111" s="516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425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</row>
    <row r="112" spans="1:26" x14ac:dyDescent="0.25">
      <c r="A112" s="516"/>
      <c r="B112" s="390"/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425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</row>
    <row r="113" spans="1:26" x14ac:dyDescent="0.25">
      <c r="A113" s="516"/>
      <c r="B113" s="390"/>
      <c r="C113" s="516"/>
      <c r="D113" s="516"/>
      <c r="E113" s="516"/>
      <c r="F113" s="516"/>
      <c r="G113" s="516"/>
      <c r="H113" s="516"/>
      <c r="I113" s="516"/>
      <c r="J113" s="516"/>
      <c r="K113" s="516"/>
      <c r="L113" s="516"/>
      <c r="M113" s="516"/>
      <c r="N113" s="425"/>
      <c r="O113" s="516"/>
      <c r="P113" s="516"/>
      <c r="Q113" s="516"/>
      <c r="R113" s="516"/>
      <c r="S113" s="516"/>
      <c r="T113" s="516"/>
      <c r="U113" s="516"/>
      <c r="V113" s="516"/>
      <c r="W113" s="516"/>
      <c r="X113" s="516"/>
      <c r="Y113" s="516"/>
      <c r="Z113" s="516"/>
    </row>
    <row r="114" spans="1:26" x14ac:dyDescent="0.25">
      <c r="A114" s="516"/>
      <c r="B114" s="390"/>
      <c r="C114" s="424"/>
      <c r="D114" s="424"/>
      <c r="E114" s="424"/>
      <c r="F114" s="424"/>
      <c r="G114" s="424"/>
      <c r="H114" s="424"/>
      <c r="I114" s="424"/>
      <c r="J114" s="424"/>
      <c r="K114" s="424"/>
      <c r="L114" s="424"/>
      <c r="M114" s="516"/>
      <c r="N114" s="425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</row>
    <row r="115" spans="1:26" x14ac:dyDescent="0.25">
      <c r="A115" s="424"/>
      <c r="B115" s="390"/>
      <c r="C115" s="516"/>
      <c r="D115" s="516"/>
      <c r="E115" s="516"/>
      <c r="F115" s="516"/>
      <c r="G115" s="516"/>
      <c r="H115" s="516"/>
      <c r="I115" s="516"/>
      <c r="J115" s="516"/>
      <c r="K115" s="516"/>
      <c r="L115" s="516"/>
      <c r="M115" s="424"/>
      <c r="N115" s="425"/>
      <c r="O115" s="516"/>
      <c r="P115" s="516"/>
      <c r="Q115" s="516"/>
      <c r="R115" s="516"/>
      <c r="S115" s="516"/>
      <c r="T115" s="516"/>
      <c r="U115" s="516"/>
      <c r="V115" s="516"/>
      <c r="W115" s="516"/>
      <c r="X115" s="516"/>
      <c r="Y115" s="516"/>
      <c r="Z115" s="516"/>
    </row>
    <row r="116" spans="1:26" x14ac:dyDescent="0.25">
      <c r="A116" s="424"/>
      <c r="B116" s="390"/>
      <c r="C116" s="516"/>
      <c r="D116" s="516"/>
      <c r="E116" s="516"/>
      <c r="F116" s="516"/>
      <c r="G116" s="516"/>
      <c r="H116" s="516"/>
      <c r="I116" s="516"/>
      <c r="J116" s="516"/>
      <c r="K116" s="516"/>
      <c r="L116" s="516"/>
      <c r="M116" s="424"/>
      <c r="N116" s="425"/>
      <c r="O116" s="516"/>
      <c r="P116" s="516"/>
      <c r="Q116" s="516"/>
      <c r="R116" s="516"/>
      <c r="S116" s="516"/>
      <c r="T116" s="516"/>
      <c r="U116" s="516"/>
      <c r="V116" s="516"/>
      <c r="W116" s="516"/>
      <c r="X116" s="516"/>
      <c r="Y116" s="516"/>
      <c r="Z116" s="516"/>
    </row>
    <row r="117" spans="1:26" x14ac:dyDescent="0.25">
      <c r="A117" s="424"/>
      <c r="B117" s="390"/>
      <c r="C117" s="516"/>
      <c r="D117" s="516"/>
      <c r="E117" s="516"/>
      <c r="F117" s="516"/>
      <c r="G117" s="516"/>
      <c r="H117" s="516"/>
      <c r="I117" s="516"/>
      <c r="J117" s="516"/>
      <c r="K117" s="516"/>
      <c r="L117" s="516"/>
      <c r="M117" s="424"/>
      <c r="N117" s="425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</row>
    <row r="118" spans="1:26" x14ac:dyDescent="0.25">
      <c r="A118" s="424"/>
      <c r="B118" s="390"/>
      <c r="C118" s="516"/>
      <c r="D118" s="516"/>
      <c r="E118" s="516"/>
      <c r="F118" s="516"/>
      <c r="G118" s="516"/>
      <c r="H118" s="516"/>
      <c r="I118" s="516"/>
      <c r="J118" s="516"/>
      <c r="K118" s="516"/>
      <c r="L118" s="516"/>
      <c r="M118" s="424"/>
      <c r="N118" s="425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</row>
    <row r="119" spans="1:26" x14ac:dyDescent="0.25">
      <c r="A119" s="424"/>
      <c r="B119" s="390"/>
      <c r="C119" s="516"/>
      <c r="D119" s="516"/>
      <c r="E119" s="516"/>
      <c r="F119" s="516"/>
      <c r="G119" s="516"/>
      <c r="H119" s="516"/>
      <c r="I119" s="516"/>
      <c r="J119" s="516"/>
      <c r="K119" s="516"/>
      <c r="L119" s="516"/>
      <c r="M119" s="424"/>
      <c r="N119" s="425"/>
      <c r="O119" s="516"/>
      <c r="P119" s="516"/>
      <c r="Q119" s="516"/>
      <c r="R119" s="516"/>
      <c r="S119" s="516"/>
      <c r="T119" s="516"/>
      <c r="U119" s="516"/>
      <c r="V119" s="516"/>
      <c r="W119" s="516"/>
      <c r="X119" s="516"/>
      <c r="Y119" s="516"/>
      <c r="Z119" s="516"/>
    </row>
    <row r="120" spans="1:26" x14ac:dyDescent="0.25">
      <c r="A120" s="424"/>
      <c r="B120" s="390"/>
      <c r="C120" s="516"/>
      <c r="D120" s="516"/>
      <c r="E120" s="516"/>
      <c r="F120" s="516"/>
      <c r="G120" s="516"/>
      <c r="H120" s="516"/>
      <c r="I120" s="516"/>
      <c r="J120" s="516"/>
      <c r="K120" s="516"/>
      <c r="L120" s="516"/>
      <c r="M120" s="424"/>
      <c r="N120" s="425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  <c r="Y120" s="516"/>
      <c r="Z120" s="516"/>
    </row>
    <row r="121" spans="1:26" x14ac:dyDescent="0.25">
      <c r="A121" s="424"/>
      <c r="B121" s="390"/>
      <c r="C121" s="516"/>
      <c r="D121" s="516"/>
      <c r="E121" s="516"/>
      <c r="F121" s="516"/>
      <c r="G121" s="516"/>
      <c r="H121" s="516"/>
      <c r="I121" s="516"/>
      <c r="J121" s="516"/>
      <c r="K121" s="516"/>
      <c r="L121" s="516"/>
      <c r="M121" s="424"/>
      <c r="N121" s="425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  <c r="Y121" s="516"/>
      <c r="Z121" s="516"/>
    </row>
    <row r="122" spans="1:26" x14ac:dyDescent="0.25">
      <c r="A122" s="424"/>
      <c r="B122" s="390"/>
      <c r="C122" s="516"/>
      <c r="D122" s="516"/>
      <c r="E122" s="516"/>
      <c r="F122" s="516"/>
      <c r="G122" s="516"/>
      <c r="H122" s="516"/>
      <c r="I122" s="516"/>
      <c r="J122" s="516"/>
      <c r="K122" s="516"/>
      <c r="L122" s="516"/>
      <c r="M122" s="424"/>
      <c r="N122" s="425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  <c r="Z122" s="516"/>
    </row>
    <row r="123" spans="1:26" x14ac:dyDescent="0.25">
      <c r="A123" s="424"/>
      <c r="B123" s="390"/>
      <c r="C123" s="516"/>
      <c r="D123" s="516"/>
      <c r="E123" s="516"/>
      <c r="F123" s="516"/>
      <c r="G123" s="516"/>
      <c r="H123" s="516"/>
      <c r="I123" s="516"/>
      <c r="J123" s="516"/>
      <c r="K123" s="516"/>
      <c r="L123" s="516"/>
      <c r="M123" s="424"/>
      <c r="N123" s="425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</row>
    <row r="124" spans="1:26" x14ac:dyDescent="0.25">
      <c r="A124" s="424"/>
      <c r="B124" s="390"/>
      <c r="C124" s="516"/>
      <c r="D124" s="516"/>
      <c r="E124" s="516"/>
      <c r="F124" s="516"/>
      <c r="G124" s="516"/>
      <c r="H124" s="516"/>
      <c r="I124" s="516"/>
      <c r="J124" s="516"/>
      <c r="K124" s="516"/>
      <c r="L124" s="516"/>
      <c r="M124" s="424"/>
      <c r="N124" s="425"/>
      <c r="O124" s="516"/>
      <c r="P124" s="516"/>
      <c r="Q124" s="516"/>
      <c r="R124" s="516"/>
      <c r="S124" s="516"/>
      <c r="T124" s="516"/>
      <c r="U124" s="516"/>
      <c r="V124" s="516"/>
      <c r="W124" s="516"/>
      <c r="X124" s="516"/>
      <c r="Y124" s="516"/>
      <c r="Z124" s="516"/>
    </row>
    <row r="125" spans="1:26" ht="15.75" thickBot="1" x14ac:dyDescent="0.3">
      <c r="A125" s="424"/>
      <c r="B125" s="938"/>
      <c r="C125" s="939"/>
      <c r="D125" s="939"/>
      <c r="E125" s="939"/>
      <c r="F125" s="939"/>
      <c r="G125" s="939"/>
      <c r="H125" s="939"/>
      <c r="I125" s="939"/>
      <c r="J125" s="939"/>
      <c r="K125" s="939"/>
      <c r="L125" s="939"/>
      <c r="M125" s="939"/>
      <c r="N125" s="426"/>
      <c r="O125" s="516"/>
      <c r="P125" s="516"/>
      <c r="Q125" s="516"/>
      <c r="R125" s="516"/>
      <c r="S125" s="516"/>
      <c r="T125" s="516"/>
      <c r="U125" s="516"/>
      <c r="V125" s="516"/>
      <c r="W125" s="516"/>
      <c r="X125" s="516"/>
      <c r="Y125" s="516"/>
      <c r="Z125" s="516"/>
    </row>
    <row r="126" spans="1:26" ht="15.75" thickBot="1" x14ac:dyDescent="0.3">
      <c r="A126" s="424"/>
      <c r="B126" s="516"/>
      <c r="C126" s="516"/>
      <c r="D126" s="516"/>
      <c r="E126" s="516"/>
      <c r="F126" s="516"/>
      <c r="G126" s="516"/>
      <c r="H126" s="516"/>
      <c r="I126" s="516"/>
      <c r="J126" s="516"/>
      <c r="K126" s="516"/>
      <c r="L126" s="516"/>
      <c r="M126" s="424"/>
      <c r="N126" s="516"/>
      <c r="O126" s="516"/>
      <c r="P126" s="516"/>
      <c r="Q126" s="516"/>
      <c r="R126" s="516"/>
      <c r="S126" s="516"/>
      <c r="T126" s="516"/>
      <c r="U126" s="516"/>
      <c r="V126" s="516"/>
      <c r="W126" s="516"/>
      <c r="X126" s="516"/>
      <c r="Y126" s="516"/>
      <c r="Z126" s="516"/>
    </row>
    <row r="127" spans="1:26" ht="15.75" thickBot="1" x14ac:dyDescent="0.3">
      <c r="A127" s="424"/>
      <c r="B127" s="1037" t="s">
        <v>42</v>
      </c>
      <c r="C127" s="1038"/>
      <c r="D127" s="1038"/>
      <c r="E127" s="1038"/>
      <c r="F127" s="1038"/>
      <c r="G127" s="1038"/>
      <c r="H127" s="1038"/>
      <c r="I127" s="1038"/>
      <c r="J127" s="1038"/>
      <c r="K127" s="1038"/>
      <c r="L127" s="1038"/>
      <c r="M127" s="1038"/>
      <c r="N127" s="1039"/>
      <c r="O127" s="516"/>
      <c r="P127" s="516"/>
      <c r="Q127" s="516"/>
      <c r="R127" s="516"/>
      <c r="S127" s="516"/>
      <c r="T127" s="516"/>
      <c r="U127" s="516"/>
      <c r="V127" s="516"/>
      <c r="W127" s="516"/>
      <c r="X127" s="516"/>
      <c r="Y127" s="516"/>
      <c r="Z127" s="516"/>
    </row>
    <row r="128" spans="1:26" x14ac:dyDescent="0.25">
      <c r="A128" s="424"/>
      <c r="B128" s="390"/>
      <c r="C128" s="516"/>
      <c r="D128" s="516"/>
      <c r="E128" s="516"/>
      <c r="F128" s="516"/>
      <c r="G128" s="516"/>
      <c r="H128" s="516"/>
      <c r="I128" s="516"/>
      <c r="J128" s="516"/>
      <c r="K128" s="516"/>
      <c r="M128" s="424"/>
      <c r="N128" s="425"/>
      <c r="O128" s="516"/>
      <c r="P128" s="516"/>
      <c r="Q128" s="516"/>
      <c r="R128" s="516"/>
      <c r="S128" s="516"/>
      <c r="T128" s="516"/>
      <c r="U128" s="516"/>
      <c r="V128" s="516"/>
      <c r="W128" s="516"/>
      <c r="X128" s="516"/>
      <c r="Y128" s="516"/>
      <c r="Z128" s="516"/>
    </row>
    <row r="129" spans="1:26" x14ac:dyDescent="0.25">
      <c r="A129" s="424"/>
      <c r="B129" s="390"/>
      <c r="C129" s="424"/>
      <c r="D129" s="424"/>
      <c r="E129" s="424"/>
      <c r="F129" s="424"/>
      <c r="G129" s="424"/>
      <c r="H129" s="424"/>
      <c r="I129" s="424"/>
      <c r="J129" s="424"/>
      <c r="K129" s="424"/>
      <c r="M129" s="424"/>
      <c r="N129" s="425"/>
      <c r="O129" s="516"/>
      <c r="P129" s="516"/>
      <c r="Q129" s="516"/>
      <c r="R129" s="516"/>
      <c r="S129" s="516"/>
      <c r="T129" s="516"/>
      <c r="U129" s="516"/>
      <c r="V129" s="516"/>
      <c r="W129" s="516"/>
      <c r="X129" s="516"/>
      <c r="Y129" s="516"/>
      <c r="Z129" s="516"/>
    </row>
    <row r="130" spans="1:26" x14ac:dyDescent="0.25">
      <c r="A130" s="424"/>
      <c r="B130" s="390"/>
      <c r="C130" s="424"/>
      <c r="D130" s="424"/>
      <c r="E130" s="424"/>
      <c r="F130" s="424"/>
      <c r="G130" s="424"/>
      <c r="H130" s="424"/>
      <c r="I130" s="424"/>
      <c r="J130" s="424"/>
      <c r="K130" s="424"/>
      <c r="M130" s="424"/>
      <c r="N130" s="425"/>
      <c r="O130" s="516"/>
      <c r="P130" s="516"/>
      <c r="Q130" s="516"/>
      <c r="R130" s="516"/>
      <c r="S130" s="516"/>
      <c r="T130" s="516"/>
      <c r="U130" s="516"/>
      <c r="V130" s="516"/>
      <c r="W130" s="516"/>
      <c r="X130" s="516"/>
      <c r="Y130" s="516"/>
      <c r="Z130" s="516"/>
    </row>
    <row r="131" spans="1:26" x14ac:dyDescent="0.25">
      <c r="A131" s="424"/>
      <c r="B131" s="390"/>
      <c r="C131" s="424"/>
      <c r="D131" s="424"/>
      <c r="E131" s="424"/>
      <c r="F131" s="424"/>
      <c r="G131" s="424"/>
      <c r="H131" s="424"/>
      <c r="I131" s="424"/>
      <c r="J131" s="424"/>
      <c r="K131" s="424"/>
      <c r="M131" s="424"/>
      <c r="N131" s="425"/>
      <c r="O131" s="516"/>
      <c r="P131" s="516"/>
      <c r="Q131" s="516"/>
      <c r="R131" s="516"/>
      <c r="S131" s="516"/>
      <c r="T131" s="516"/>
      <c r="U131" s="516"/>
      <c r="V131" s="516"/>
      <c r="W131" s="516"/>
      <c r="X131" s="516"/>
      <c r="Y131" s="516"/>
      <c r="Z131" s="516"/>
    </row>
    <row r="132" spans="1:26" x14ac:dyDescent="0.25">
      <c r="A132" s="424"/>
      <c r="B132" s="390"/>
      <c r="C132" s="424"/>
      <c r="D132" s="424"/>
      <c r="E132" s="424"/>
      <c r="F132" s="424"/>
      <c r="G132" s="424"/>
      <c r="H132" s="424"/>
      <c r="I132" s="424"/>
      <c r="J132" s="424"/>
      <c r="K132" s="424"/>
      <c r="M132" s="424"/>
      <c r="N132" s="425"/>
      <c r="O132" s="516"/>
      <c r="P132" s="516"/>
      <c r="Q132" s="516"/>
      <c r="R132" s="516"/>
      <c r="S132" s="516"/>
      <c r="T132" s="516"/>
      <c r="U132" s="516"/>
      <c r="V132" s="516"/>
      <c r="W132" s="516"/>
      <c r="X132" s="516"/>
      <c r="Y132" s="516"/>
      <c r="Z132" s="516"/>
    </row>
    <row r="133" spans="1:26" x14ac:dyDescent="0.25">
      <c r="A133" s="424"/>
      <c r="B133" s="390"/>
      <c r="C133" s="424"/>
      <c r="D133" s="424"/>
      <c r="E133" s="424"/>
      <c r="F133" s="424"/>
      <c r="G133" s="424"/>
      <c r="H133" s="424"/>
      <c r="I133" s="424"/>
      <c r="J133" s="424"/>
      <c r="K133" s="424"/>
      <c r="M133" s="424"/>
      <c r="N133" s="425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  <c r="Y133" s="516"/>
      <c r="Z133" s="516"/>
    </row>
    <row r="134" spans="1:26" x14ac:dyDescent="0.25">
      <c r="A134" s="424"/>
      <c r="B134" s="390"/>
      <c r="C134" s="424"/>
      <c r="D134" s="424"/>
      <c r="E134" s="424"/>
      <c r="F134" s="424"/>
      <c r="G134" s="424"/>
      <c r="H134" s="424"/>
      <c r="I134" s="424"/>
      <c r="J134" s="424"/>
      <c r="K134" s="424"/>
      <c r="M134" s="424"/>
      <c r="N134" s="425"/>
      <c r="O134" s="516"/>
      <c r="P134" s="516"/>
      <c r="Q134" s="516"/>
      <c r="R134" s="516"/>
      <c r="S134" s="516"/>
      <c r="T134" s="516"/>
      <c r="U134" s="516"/>
      <c r="V134" s="516"/>
      <c r="W134" s="516"/>
      <c r="X134" s="516"/>
      <c r="Y134" s="516"/>
      <c r="Z134" s="516"/>
    </row>
    <row r="135" spans="1:26" x14ac:dyDescent="0.25">
      <c r="A135" s="424"/>
      <c r="B135" s="390"/>
      <c r="C135" s="424"/>
      <c r="D135" s="424"/>
      <c r="E135" s="424"/>
      <c r="F135" s="424"/>
      <c r="G135" s="424"/>
      <c r="H135" s="424"/>
      <c r="I135" s="424"/>
      <c r="J135" s="424"/>
      <c r="K135" s="424"/>
      <c r="M135" s="424"/>
      <c r="N135" s="425"/>
      <c r="O135" s="516"/>
      <c r="P135" s="516"/>
      <c r="Q135" s="516"/>
      <c r="R135" s="516"/>
      <c r="S135" s="516"/>
      <c r="T135" s="516"/>
      <c r="U135" s="516"/>
      <c r="V135" s="516"/>
      <c r="W135" s="516"/>
      <c r="X135" s="516"/>
      <c r="Y135" s="516"/>
      <c r="Z135" s="516"/>
    </row>
    <row r="136" spans="1:26" x14ac:dyDescent="0.25">
      <c r="A136" s="424"/>
      <c r="B136" s="390"/>
      <c r="C136" s="424"/>
      <c r="D136" s="424"/>
      <c r="E136" s="424"/>
      <c r="F136" s="424"/>
      <c r="G136" s="424"/>
      <c r="H136" s="424"/>
      <c r="I136" s="424"/>
      <c r="J136" s="424"/>
      <c r="K136" s="424"/>
      <c r="L136" s="516"/>
      <c r="M136" s="424"/>
      <c r="N136" s="425"/>
      <c r="O136" s="516"/>
      <c r="P136" s="516"/>
      <c r="Q136" s="516"/>
      <c r="R136" s="516"/>
      <c r="S136" s="516"/>
      <c r="T136" s="516"/>
      <c r="U136" s="516"/>
      <c r="V136" s="516"/>
      <c r="W136" s="516"/>
      <c r="X136" s="516"/>
      <c r="Y136" s="516"/>
      <c r="Z136" s="516"/>
    </row>
    <row r="137" spans="1:26" x14ac:dyDescent="0.25">
      <c r="A137" s="424"/>
      <c r="B137" s="390"/>
      <c r="C137" s="424"/>
      <c r="D137" s="424"/>
      <c r="E137" s="424"/>
      <c r="F137" s="424"/>
      <c r="G137" s="424"/>
      <c r="H137" s="424"/>
      <c r="I137" s="424"/>
      <c r="J137" s="424"/>
      <c r="K137" s="424"/>
      <c r="L137" s="516"/>
      <c r="M137" s="424"/>
      <c r="N137" s="425"/>
      <c r="O137" s="516"/>
      <c r="P137" s="516"/>
      <c r="Q137" s="516"/>
      <c r="R137" s="516"/>
      <c r="S137" s="516"/>
      <c r="T137" s="516"/>
      <c r="U137" s="516"/>
      <c r="V137" s="516"/>
      <c r="W137" s="516"/>
      <c r="X137" s="516"/>
      <c r="Y137" s="516"/>
      <c r="Z137" s="516"/>
    </row>
    <row r="138" spans="1:26" x14ac:dyDescent="0.25">
      <c r="A138" s="424"/>
      <c r="B138" s="390"/>
      <c r="C138" s="424"/>
      <c r="D138" s="424"/>
      <c r="E138" s="424"/>
      <c r="F138" s="424"/>
      <c r="G138" s="424"/>
      <c r="H138" s="424"/>
      <c r="I138" s="424"/>
      <c r="J138" s="424"/>
      <c r="K138" s="424"/>
      <c r="L138" s="516"/>
      <c r="M138" s="424"/>
      <c r="N138" s="425"/>
      <c r="O138" s="516"/>
      <c r="P138" s="516"/>
      <c r="Q138" s="516"/>
      <c r="R138" s="516"/>
      <c r="S138" s="516"/>
      <c r="T138" s="516"/>
      <c r="U138" s="516"/>
      <c r="V138" s="516"/>
      <c r="W138" s="516"/>
      <c r="X138" s="516"/>
      <c r="Y138" s="516"/>
      <c r="Z138" s="516"/>
    </row>
    <row r="139" spans="1:26" x14ac:dyDescent="0.25">
      <c r="A139" s="424"/>
      <c r="B139" s="390"/>
      <c r="C139" s="424"/>
      <c r="D139" s="424"/>
      <c r="E139" s="424"/>
      <c r="F139" s="424"/>
      <c r="G139" s="424"/>
      <c r="H139" s="424"/>
      <c r="I139" s="424"/>
      <c r="J139" s="424"/>
      <c r="K139" s="424"/>
      <c r="L139" s="516"/>
      <c r="M139" s="424"/>
      <c r="N139" s="425"/>
      <c r="O139" s="516"/>
      <c r="P139" s="516"/>
      <c r="Q139" s="516"/>
      <c r="R139" s="516"/>
      <c r="S139" s="516"/>
      <c r="T139" s="516"/>
      <c r="U139" s="516"/>
      <c r="V139" s="516"/>
      <c r="W139" s="516"/>
      <c r="X139" s="516"/>
      <c r="Y139" s="516"/>
      <c r="Z139" s="516"/>
    </row>
    <row r="140" spans="1:26" x14ac:dyDescent="0.25">
      <c r="A140" s="424"/>
      <c r="B140" s="390"/>
      <c r="C140" s="424"/>
      <c r="D140" s="424"/>
      <c r="E140" s="424"/>
      <c r="F140" s="424"/>
      <c r="G140" s="424"/>
      <c r="H140" s="424"/>
      <c r="I140" s="424"/>
      <c r="J140" s="424"/>
      <c r="K140" s="424"/>
      <c r="L140" s="516"/>
      <c r="M140" s="424"/>
      <c r="N140" s="425"/>
      <c r="O140" s="516"/>
      <c r="P140" s="516"/>
      <c r="Q140" s="516"/>
      <c r="R140" s="516"/>
      <c r="S140" s="516"/>
      <c r="T140" s="516"/>
      <c r="U140" s="516"/>
      <c r="V140" s="516"/>
      <c r="W140" s="516"/>
      <c r="X140" s="516"/>
      <c r="Y140" s="516"/>
      <c r="Z140" s="516"/>
    </row>
    <row r="141" spans="1:26" x14ac:dyDescent="0.25">
      <c r="A141" s="424"/>
      <c r="B141" s="390"/>
      <c r="C141" s="424"/>
      <c r="D141" s="424"/>
      <c r="E141" s="424"/>
      <c r="F141" s="424"/>
      <c r="G141" s="424"/>
      <c r="H141" s="424"/>
      <c r="I141" s="424"/>
      <c r="J141" s="424"/>
      <c r="K141" s="424"/>
      <c r="L141" s="516"/>
      <c r="M141" s="424"/>
      <c r="N141" s="425"/>
      <c r="O141" s="516"/>
      <c r="P141" s="516"/>
      <c r="Q141" s="516"/>
      <c r="R141" s="516"/>
      <c r="S141" s="516"/>
      <c r="T141" s="516"/>
      <c r="U141" s="516"/>
      <c r="V141" s="516"/>
      <c r="W141" s="516"/>
      <c r="X141" s="516"/>
      <c r="Y141" s="516"/>
      <c r="Z141" s="516"/>
    </row>
    <row r="142" spans="1:26" x14ac:dyDescent="0.25">
      <c r="A142" s="424"/>
      <c r="B142" s="390"/>
      <c r="C142" s="424"/>
      <c r="D142" s="424"/>
      <c r="E142" s="424"/>
      <c r="F142" s="424"/>
      <c r="G142" s="424"/>
      <c r="H142" s="424"/>
      <c r="I142" s="424"/>
      <c r="J142" s="424"/>
      <c r="K142" s="424"/>
      <c r="L142" s="516"/>
      <c r="M142" s="424"/>
      <c r="N142" s="425"/>
      <c r="O142" s="516"/>
      <c r="P142" s="516"/>
      <c r="Q142" s="516"/>
      <c r="R142" s="516"/>
      <c r="S142" s="516"/>
      <c r="T142" s="516"/>
      <c r="U142" s="516"/>
      <c r="V142" s="516"/>
      <c r="W142" s="516"/>
      <c r="X142" s="516"/>
      <c r="Y142" s="516"/>
      <c r="Z142" s="516"/>
    </row>
    <row r="143" spans="1:26" x14ac:dyDescent="0.25">
      <c r="A143" s="424"/>
      <c r="B143" s="390"/>
      <c r="C143" s="424"/>
      <c r="D143" s="424"/>
      <c r="E143" s="424"/>
      <c r="F143" s="424"/>
      <c r="G143" s="424"/>
      <c r="H143" s="424"/>
      <c r="I143" s="424"/>
      <c r="J143" s="424"/>
      <c r="K143" s="424"/>
      <c r="L143" s="516"/>
      <c r="M143" s="424"/>
      <c r="N143" s="425"/>
      <c r="O143" s="516"/>
      <c r="P143" s="516"/>
      <c r="Q143" s="516"/>
      <c r="R143" s="516"/>
      <c r="S143" s="516"/>
      <c r="T143" s="516"/>
      <c r="U143" s="516"/>
      <c r="V143" s="516"/>
      <c r="W143" s="516"/>
      <c r="X143" s="516"/>
      <c r="Y143" s="516"/>
      <c r="Z143" s="516"/>
    </row>
    <row r="144" spans="1:26" x14ac:dyDescent="0.25">
      <c r="A144" s="424"/>
      <c r="B144" s="390"/>
      <c r="C144" s="424"/>
      <c r="D144" s="424"/>
      <c r="E144" s="424"/>
      <c r="F144" s="424"/>
      <c r="G144" s="424"/>
      <c r="H144" s="424"/>
      <c r="I144" s="424"/>
      <c r="J144" s="424"/>
      <c r="K144" s="424"/>
      <c r="L144" s="516"/>
      <c r="M144" s="424"/>
      <c r="N144" s="425"/>
      <c r="O144" s="516"/>
      <c r="P144" s="516"/>
      <c r="Q144" s="516"/>
      <c r="R144" s="516"/>
      <c r="S144" s="516"/>
      <c r="T144" s="516"/>
      <c r="U144" s="516"/>
      <c r="V144" s="516"/>
      <c r="W144" s="516"/>
      <c r="X144" s="516"/>
      <c r="Y144" s="516"/>
      <c r="Z144" s="516"/>
    </row>
    <row r="145" spans="1:26" x14ac:dyDescent="0.25">
      <c r="A145" s="424"/>
      <c r="B145" s="390"/>
      <c r="C145" s="424"/>
      <c r="D145" s="424"/>
      <c r="E145" s="424"/>
      <c r="F145" s="424"/>
      <c r="G145" s="424"/>
      <c r="H145" s="424"/>
      <c r="I145" s="424"/>
      <c r="J145" s="424"/>
      <c r="K145" s="424"/>
      <c r="L145" s="516"/>
      <c r="M145" s="424"/>
      <c r="N145" s="425"/>
      <c r="O145" s="516"/>
      <c r="P145" s="516"/>
      <c r="Q145" s="516"/>
      <c r="R145" s="516"/>
      <c r="S145" s="516"/>
      <c r="T145" s="516"/>
      <c r="U145" s="516"/>
      <c r="V145" s="516"/>
      <c r="W145" s="516"/>
      <c r="X145" s="516"/>
      <c r="Y145" s="516"/>
      <c r="Z145" s="516"/>
    </row>
    <row r="146" spans="1:26" x14ac:dyDescent="0.25">
      <c r="A146" s="424"/>
      <c r="B146" s="390"/>
      <c r="C146" s="424"/>
      <c r="D146" s="424"/>
      <c r="E146" s="424"/>
      <c r="F146" s="424"/>
      <c r="G146" s="424"/>
      <c r="H146" s="424"/>
      <c r="I146" s="424"/>
      <c r="J146" s="424"/>
      <c r="K146" s="424"/>
      <c r="L146" s="516"/>
      <c r="M146" s="424"/>
      <c r="N146" s="425"/>
      <c r="O146" s="516"/>
      <c r="P146" s="516"/>
      <c r="Q146" s="516"/>
      <c r="R146" s="516"/>
      <c r="S146" s="516"/>
      <c r="T146" s="516"/>
      <c r="U146" s="516"/>
      <c r="V146" s="516"/>
      <c r="W146" s="516"/>
      <c r="X146" s="516"/>
      <c r="Y146" s="516"/>
      <c r="Z146" s="516"/>
    </row>
    <row r="147" spans="1:26" x14ac:dyDescent="0.25">
      <c r="A147" s="424"/>
      <c r="B147" s="390"/>
      <c r="C147" s="424"/>
      <c r="D147" s="424"/>
      <c r="E147" s="424"/>
      <c r="F147" s="424"/>
      <c r="G147" s="424"/>
      <c r="H147" s="424"/>
      <c r="I147" s="424"/>
      <c r="J147" s="424"/>
      <c r="K147" s="424"/>
      <c r="L147" s="516"/>
      <c r="M147" s="424"/>
      <c r="N147" s="425"/>
      <c r="O147" s="516"/>
      <c r="P147" s="516"/>
      <c r="Q147" s="516"/>
      <c r="R147" s="516"/>
      <c r="S147" s="516"/>
      <c r="T147" s="516"/>
      <c r="U147" s="516"/>
      <c r="V147" s="516"/>
      <c r="W147" s="516"/>
      <c r="X147" s="516"/>
      <c r="Y147" s="516"/>
      <c r="Z147" s="516"/>
    </row>
    <row r="148" spans="1:26" x14ac:dyDescent="0.25">
      <c r="A148" s="424"/>
      <c r="B148" s="390"/>
      <c r="C148" s="424"/>
      <c r="D148" s="424"/>
      <c r="E148" s="424"/>
      <c r="F148" s="424"/>
      <c r="G148" s="424"/>
      <c r="H148" s="424"/>
      <c r="I148" s="424"/>
      <c r="J148" s="424"/>
      <c r="K148" s="424"/>
      <c r="L148" s="516"/>
      <c r="M148" s="424"/>
      <c r="N148" s="425"/>
      <c r="O148" s="516"/>
      <c r="P148" s="516"/>
      <c r="Q148" s="516"/>
      <c r="R148" s="516"/>
      <c r="S148" s="516"/>
      <c r="T148" s="516"/>
      <c r="U148" s="516"/>
      <c r="V148" s="516"/>
      <c r="W148" s="516"/>
      <c r="X148" s="516"/>
      <c r="Y148" s="516"/>
      <c r="Z148" s="516"/>
    </row>
    <row r="149" spans="1:26" x14ac:dyDescent="0.25">
      <c r="A149" s="424"/>
      <c r="B149" s="390"/>
      <c r="C149" s="424"/>
      <c r="D149" s="424"/>
      <c r="E149" s="424"/>
      <c r="F149" s="424"/>
      <c r="G149" s="424"/>
      <c r="H149" s="424"/>
      <c r="I149" s="424"/>
      <c r="J149" s="424"/>
      <c r="K149" s="424"/>
      <c r="L149" s="516"/>
      <c r="M149" s="424"/>
      <c r="N149" s="425"/>
      <c r="O149" s="516"/>
      <c r="P149" s="516"/>
      <c r="Q149" s="516"/>
      <c r="R149" s="516"/>
      <c r="S149" s="516"/>
      <c r="T149" s="516"/>
      <c r="U149" s="516"/>
      <c r="V149" s="516"/>
      <c r="W149" s="516"/>
      <c r="X149" s="516"/>
      <c r="Y149" s="516"/>
      <c r="Z149" s="516"/>
    </row>
    <row r="150" spans="1:26" x14ac:dyDescent="0.25">
      <c r="A150" s="516"/>
      <c r="B150" s="390"/>
      <c r="C150" s="424"/>
      <c r="D150" s="424"/>
      <c r="E150" s="424"/>
      <c r="F150" s="424"/>
      <c r="G150" s="424"/>
      <c r="H150" s="424"/>
      <c r="I150" s="424"/>
      <c r="J150" s="424"/>
      <c r="K150" s="424"/>
      <c r="L150" s="516"/>
      <c r="M150" s="516"/>
      <c r="N150" s="425"/>
      <c r="O150" s="516"/>
      <c r="P150" s="516"/>
      <c r="Q150" s="516"/>
      <c r="R150" s="516"/>
      <c r="S150" s="516"/>
      <c r="T150" s="516"/>
      <c r="U150" s="516"/>
      <c r="V150" s="516"/>
      <c r="W150" s="516"/>
      <c r="X150" s="516"/>
      <c r="Y150" s="516"/>
      <c r="Z150" s="516"/>
    </row>
    <row r="151" spans="1:26" x14ac:dyDescent="0.25">
      <c r="A151" s="516"/>
      <c r="B151" s="390"/>
      <c r="C151" s="424"/>
      <c r="D151" s="424"/>
      <c r="E151" s="424"/>
      <c r="F151" s="424"/>
      <c r="G151" s="424"/>
      <c r="H151" s="424"/>
      <c r="I151" s="424"/>
      <c r="J151" s="424"/>
      <c r="K151" s="424"/>
      <c r="L151" s="516"/>
      <c r="M151" s="516"/>
      <c r="N151" s="425"/>
      <c r="O151" s="516"/>
      <c r="P151" s="516"/>
      <c r="Q151" s="516"/>
      <c r="R151" s="516"/>
      <c r="S151" s="516"/>
      <c r="T151" s="516"/>
      <c r="U151" s="516"/>
      <c r="V151" s="516"/>
      <c r="W151" s="516"/>
      <c r="X151" s="516"/>
      <c r="Y151" s="516"/>
      <c r="Z151" s="516"/>
    </row>
    <row r="152" spans="1:26" x14ac:dyDescent="0.25">
      <c r="A152" s="516"/>
      <c r="B152" s="390"/>
      <c r="C152" s="424"/>
      <c r="D152" s="424"/>
      <c r="E152" s="424"/>
      <c r="F152" s="424"/>
      <c r="G152" s="424"/>
      <c r="H152" s="424"/>
      <c r="I152" s="424"/>
      <c r="J152" s="424"/>
      <c r="K152" s="424"/>
      <c r="L152" s="516"/>
      <c r="M152" s="516"/>
      <c r="N152" s="425"/>
      <c r="O152" s="516"/>
      <c r="P152" s="516"/>
      <c r="Q152" s="516"/>
      <c r="R152" s="516"/>
      <c r="S152" s="516"/>
      <c r="T152" s="516"/>
      <c r="U152" s="516"/>
      <c r="V152" s="516"/>
      <c r="W152" s="516"/>
      <c r="X152" s="516"/>
      <c r="Y152" s="516"/>
      <c r="Z152" s="516"/>
    </row>
    <row r="153" spans="1:26" x14ac:dyDescent="0.25">
      <c r="A153" s="516"/>
      <c r="B153" s="390"/>
      <c r="C153" s="424"/>
      <c r="D153" s="424"/>
      <c r="E153" s="424"/>
      <c r="F153" s="424"/>
      <c r="G153" s="424"/>
      <c r="H153" s="424"/>
      <c r="I153" s="424"/>
      <c r="J153" s="424"/>
      <c r="K153" s="424"/>
      <c r="L153" s="516"/>
      <c r="M153" s="516"/>
      <c r="N153" s="425"/>
      <c r="O153" s="516"/>
      <c r="P153" s="516"/>
      <c r="Q153" s="516"/>
      <c r="R153" s="516"/>
      <c r="S153" s="516"/>
      <c r="T153" s="516"/>
      <c r="U153" s="516"/>
      <c r="V153" s="516"/>
      <c r="W153" s="516"/>
      <c r="X153" s="516"/>
      <c r="Y153" s="516"/>
      <c r="Z153" s="516"/>
    </row>
    <row r="154" spans="1:26" x14ac:dyDescent="0.25">
      <c r="A154" s="516"/>
      <c r="B154" s="390"/>
      <c r="C154" s="424"/>
      <c r="D154" s="424"/>
      <c r="E154" s="424"/>
      <c r="F154" s="424"/>
      <c r="G154" s="424"/>
      <c r="H154" s="424"/>
      <c r="I154" s="424"/>
      <c r="J154" s="424"/>
      <c r="K154" s="424"/>
      <c r="L154" s="516"/>
      <c r="M154" s="516"/>
      <c r="N154" s="425"/>
      <c r="O154" s="516"/>
      <c r="P154" s="516"/>
      <c r="Q154" s="516"/>
      <c r="R154" s="516"/>
      <c r="S154" s="516"/>
      <c r="T154" s="516"/>
      <c r="U154" s="516"/>
      <c r="V154" s="516"/>
      <c r="W154" s="516"/>
      <c r="X154" s="516"/>
      <c r="Y154" s="516"/>
      <c r="Z154" s="516"/>
    </row>
    <row r="155" spans="1:26" x14ac:dyDescent="0.25">
      <c r="A155" s="516"/>
      <c r="B155" s="390"/>
      <c r="C155" s="424"/>
      <c r="D155" s="424"/>
      <c r="E155" s="424"/>
      <c r="F155" s="424"/>
      <c r="G155" s="424"/>
      <c r="H155" s="424"/>
      <c r="I155" s="424"/>
      <c r="J155" s="424"/>
      <c r="K155" s="424"/>
      <c r="L155" s="516"/>
      <c r="M155" s="516"/>
      <c r="N155" s="425"/>
      <c r="O155" s="516"/>
      <c r="P155" s="516"/>
      <c r="Q155" s="516"/>
      <c r="R155" s="516"/>
      <c r="S155" s="516"/>
      <c r="T155" s="516"/>
      <c r="U155" s="516"/>
      <c r="V155" s="516"/>
      <c r="W155" s="516"/>
      <c r="X155" s="516"/>
      <c r="Y155" s="516"/>
      <c r="Z155" s="516"/>
    </row>
    <row r="156" spans="1:26" x14ac:dyDescent="0.25">
      <c r="A156" s="516"/>
      <c r="B156" s="390"/>
      <c r="C156" s="424"/>
      <c r="D156" s="424"/>
      <c r="E156" s="424"/>
      <c r="F156" s="424"/>
      <c r="G156" s="424"/>
      <c r="H156" s="424"/>
      <c r="I156" s="424"/>
      <c r="J156" s="424"/>
      <c r="K156" s="424"/>
      <c r="L156" s="516"/>
      <c r="M156" s="516"/>
      <c r="N156" s="425"/>
      <c r="O156" s="516"/>
      <c r="P156" s="516"/>
      <c r="Q156" s="516"/>
      <c r="R156" s="516"/>
      <c r="S156" s="516"/>
      <c r="T156" s="516"/>
      <c r="U156" s="516"/>
      <c r="V156" s="516"/>
      <c r="W156" s="516"/>
      <c r="X156" s="516"/>
      <c r="Y156" s="516"/>
      <c r="Z156" s="516"/>
    </row>
    <row r="157" spans="1:26" x14ac:dyDescent="0.25">
      <c r="A157" s="516"/>
      <c r="B157" s="390"/>
      <c r="C157" s="424"/>
      <c r="D157" s="424"/>
      <c r="E157" s="424"/>
      <c r="F157" s="424"/>
      <c r="G157" s="424"/>
      <c r="H157" s="424"/>
      <c r="I157" s="424"/>
      <c r="J157" s="424"/>
      <c r="K157" s="424"/>
      <c r="L157" s="516"/>
      <c r="M157" s="516"/>
      <c r="N157" s="425"/>
      <c r="O157" s="516"/>
      <c r="P157" s="516"/>
      <c r="Q157" s="516"/>
      <c r="R157" s="516"/>
      <c r="S157" s="516"/>
      <c r="T157" s="516"/>
      <c r="U157" s="516"/>
      <c r="V157" s="516"/>
      <c r="W157" s="516"/>
      <c r="X157" s="516"/>
      <c r="Y157" s="516"/>
      <c r="Z157" s="516"/>
    </row>
    <row r="158" spans="1:26" x14ac:dyDescent="0.25">
      <c r="A158" s="516"/>
      <c r="B158" s="390"/>
      <c r="C158" s="424"/>
      <c r="D158" s="424"/>
      <c r="E158" s="424"/>
      <c r="F158" s="424"/>
      <c r="G158" s="424"/>
      <c r="H158" s="424"/>
      <c r="I158" s="424"/>
      <c r="J158" s="424"/>
      <c r="K158" s="424"/>
      <c r="L158" s="516"/>
      <c r="M158" s="516"/>
      <c r="N158" s="425"/>
      <c r="O158" s="516"/>
      <c r="P158" s="516"/>
      <c r="Q158" s="516"/>
      <c r="R158" s="516"/>
      <c r="S158" s="516"/>
      <c r="T158" s="516"/>
      <c r="U158" s="516"/>
      <c r="V158" s="516"/>
      <c r="W158" s="516"/>
      <c r="X158" s="516"/>
      <c r="Y158" s="516"/>
      <c r="Z158" s="516"/>
    </row>
    <row r="159" spans="1:26" x14ac:dyDescent="0.25">
      <c r="A159" s="516"/>
      <c r="B159" s="390"/>
      <c r="C159" s="424"/>
      <c r="D159" s="424"/>
      <c r="E159" s="424"/>
      <c r="F159" s="424"/>
      <c r="G159" s="424"/>
      <c r="H159" s="424"/>
      <c r="I159" s="424"/>
      <c r="J159" s="424"/>
      <c r="K159" s="424"/>
      <c r="L159" s="516"/>
      <c r="M159" s="516"/>
      <c r="N159" s="425"/>
      <c r="O159" s="516"/>
      <c r="P159" s="516"/>
      <c r="Q159" s="516"/>
      <c r="R159" s="516"/>
      <c r="S159" s="516"/>
      <c r="T159" s="516"/>
      <c r="U159" s="516"/>
      <c r="V159" s="516"/>
      <c r="W159" s="516"/>
      <c r="X159" s="516"/>
      <c r="Y159" s="516"/>
      <c r="Z159" s="516"/>
    </row>
    <row r="160" spans="1:26" ht="15.75" thickBot="1" x14ac:dyDescent="0.3">
      <c r="A160" s="516"/>
      <c r="B160" s="938"/>
      <c r="C160" s="939"/>
      <c r="D160" s="939"/>
      <c r="E160" s="939"/>
      <c r="F160" s="939"/>
      <c r="G160" s="939"/>
      <c r="H160" s="939"/>
      <c r="I160" s="939"/>
      <c r="J160" s="939"/>
      <c r="K160" s="939"/>
      <c r="L160" s="939"/>
      <c r="M160" s="939"/>
      <c r="N160" s="426"/>
      <c r="O160" s="516"/>
      <c r="P160" s="516"/>
      <c r="Q160" s="516"/>
      <c r="R160" s="516"/>
      <c r="S160" s="516"/>
      <c r="T160" s="516"/>
      <c r="U160" s="516"/>
      <c r="V160" s="516"/>
      <c r="W160" s="516"/>
      <c r="X160" s="516"/>
      <c r="Y160" s="516"/>
      <c r="Z160" s="516"/>
    </row>
    <row r="161" spans="1:26" x14ac:dyDescent="0.25">
      <c r="A161" s="516"/>
      <c r="B161" s="516"/>
      <c r="C161" s="516"/>
      <c r="D161" s="516"/>
      <c r="E161" s="516"/>
      <c r="F161" s="516"/>
      <c r="G161" s="516"/>
      <c r="H161" s="516"/>
      <c r="I161" s="516"/>
      <c r="J161" s="516"/>
      <c r="K161" s="424"/>
      <c r="L161" s="424"/>
      <c r="M161" s="424"/>
      <c r="N161" s="516"/>
      <c r="O161" s="516"/>
      <c r="P161" s="516"/>
      <c r="Q161" s="516"/>
      <c r="R161" s="516"/>
      <c r="S161" s="516"/>
      <c r="T161" s="516"/>
      <c r="U161" s="516"/>
      <c r="V161" s="516"/>
      <c r="W161" s="516"/>
      <c r="X161" s="516"/>
      <c r="Y161" s="516"/>
      <c r="Z161" s="516"/>
    </row>
    <row r="162" spans="1:26" x14ac:dyDescent="0.25">
      <c r="A162" s="516"/>
      <c r="B162" s="516"/>
      <c r="C162" s="516"/>
      <c r="D162" s="516"/>
      <c r="E162" s="516"/>
      <c r="F162" s="516"/>
      <c r="G162" s="516"/>
      <c r="H162" s="516"/>
      <c r="I162" s="516"/>
      <c r="J162" s="516"/>
      <c r="K162" s="516"/>
      <c r="L162" s="516"/>
      <c r="M162" s="516"/>
      <c r="N162" s="516"/>
      <c r="O162" s="516"/>
      <c r="P162" s="516"/>
      <c r="Q162" s="516"/>
      <c r="R162" s="516"/>
      <c r="S162" s="516"/>
      <c r="T162" s="516"/>
      <c r="U162" s="516"/>
      <c r="V162" s="516"/>
      <c r="W162" s="516"/>
      <c r="X162" s="516"/>
      <c r="Y162" s="516"/>
      <c r="Z162" s="516"/>
    </row>
  </sheetData>
  <mergeCells count="6">
    <mergeCell ref="B5:H5"/>
    <mergeCell ref="B25:N25"/>
    <mergeCell ref="B59:N59"/>
    <mergeCell ref="B93:N93"/>
    <mergeCell ref="B127:N127"/>
    <mergeCell ref="B70:D7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AZ1001"/>
  <sheetViews>
    <sheetView workbookViewId="0">
      <pane xSplit="1" ySplit="3" topLeftCell="AC4" activePane="bottomRight" state="frozen"/>
      <selection pane="topRight" activeCell="B1" sqref="B1"/>
      <selection pane="bottomLeft" activeCell="A4" sqref="A4"/>
      <selection pane="bottomRight" activeCell="AY12" sqref="AY12"/>
    </sheetView>
  </sheetViews>
  <sheetFormatPr defaultColWidth="14.42578125" defaultRowHeight="15" customHeight="1" x14ac:dyDescent="0.25"/>
  <cols>
    <col min="1" max="1" width="45.5703125" customWidth="1"/>
    <col min="2" max="2" width="14.85546875" customWidth="1"/>
    <col min="3" max="3" width="18.140625" customWidth="1"/>
    <col min="4" max="4" width="15.5703125" customWidth="1"/>
    <col min="5" max="5" width="17.140625" customWidth="1"/>
    <col min="6" max="6" width="17.85546875" customWidth="1"/>
    <col min="7" max="7" width="14.42578125" customWidth="1"/>
    <col min="8" max="8" width="19" customWidth="1"/>
    <col min="9" max="9" width="15.5703125" customWidth="1"/>
    <col min="10" max="10" width="16.42578125" customWidth="1"/>
    <col min="11" max="11" width="17.5703125" customWidth="1"/>
    <col min="12" max="12" width="14.140625" customWidth="1"/>
    <col min="13" max="13" width="14.42578125" customWidth="1"/>
    <col min="14" max="14" width="15.42578125" customWidth="1"/>
    <col min="15" max="15" width="16.140625" customWidth="1"/>
    <col min="16" max="16" width="15.42578125" customWidth="1"/>
    <col min="17" max="17" width="13.85546875" customWidth="1"/>
    <col min="18" max="19" width="14" customWidth="1"/>
    <col min="20" max="20" width="12.85546875" customWidth="1"/>
    <col min="21" max="21" width="14.42578125" customWidth="1"/>
    <col min="22" max="22" width="16" customWidth="1"/>
    <col min="23" max="23" width="17" customWidth="1"/>
    <col min="24" max="24" width="14.42578125" customWidth="1"/>
    <col min="25" max="25" width="13.42578125" customWidth="1"/>
    <col min="26" max="26" width="15" customWidth="1"/>
    <col min="27" max="27" width="13.42578125" customWidth="1"/>
    <col min="28" max="28" width="16.85546875" customWidth="1"/>
    <col min="29" max="29" width="15" customWidth="1"/>
    <col min="30" max="30" width="16.140625" customWidth="1"/>
    <col min="31" max="31" width="13.42578125" customWidth="1"/>
    <col min="32" max="32" width="17.140625" customWidth="1"/>
    <col min="33" max="33" width="14.42578125" customWidth="1"/>
    <col min="34" max="34" width="17.5703125" customWidth="1"/>
    <col min="35" max="35" width="14.42578125" hidden="1" customWidth="1"/>
    <col min="36" max="36" width="14.85546875" hidden="1" customWidth="1"/>
    <col min="37" max="37" width="15" hidden="1" customWidth="1"/>
    <col min="38" max="38" width="15.140625" hidden="1" customWidth="1"/>
    <col min="39" max="39" width="13.5703125" hidden="1" customWidth="1"/>
    <col min="40" max="40" width="13.85546875" hidden="1" customWidth="1"/>
    <col min="41" max="41" width="15.5703125" hidden="1" customWidth="1"/>
    <col min="42" max="43" width="15" hidden="1" customWidth="1"/>
    <col min="44" max="47" width="15.140625" hidden="1" customWidth="1"/>
    <col min="48" max="48" width="14.42578125" customWidth="1"/>
    <col min="49" max="50" width="17" customWidth="1"/>
    <col min="51" max="51" width="15" customWidth="1"/>
    <col min="52" max="52" width="17.85546875" customWidth="1"/>
  </cols>
  <sheetData>
    <row r="1" spans="1:50" ht="12" customHeight="1" x14ac:dyDescent="0.25">
      <c r="A1" s="1099" t="s">
        <v>510</v>
      </c>
      <c r="B1" s="107" t="s">
        <v>464</v>
      </c>
      <c r="C1" s="108" t="s">
        <v>465</v>
      </c>
      <c r="D1" s="108" t="s">
        <v>285</v>
      </c>
      <c r="E1" s="108" t="s">
        <v>286</v>
      </c>
      <c r="F1" s="175" t="s">
        <v>466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2" customHeight="1" x14ac:dyDescent="0.25">
      <c r="A2" s="1100"/>
      <c r="B2" s="109" t="s">
        <v>467</v>
      </c>
      <c r="C2" s="110" t="str">
        <f>Assumptions!I86</f>
        <v>1/1/24 to 12/31/27</v>
      </c>
      <c r="D2" s="110" t="str">
        <f>Assumptions!I87</f>
        <v>1/1/28 to 6/30/28</v>
      </c>
      <c r="E2" s="110" t="str">
        <f>Assumptions!I88</f>
        <v>7/1/28 to 6/30/31</v>
      </c>
      <c r="F2" s="112" t="str">
        <f>Assumptions!I89</f>
        <v>7/1/31 to 12/31/31</v>
      </c>
      <c r="G2" s="2"/>
      <c r="L2" s="2"/>
      <c r="M2" s="2"/>
      <c r="N2" s="2"/>
      <c r="O2" s="2"/>
      <c r="R2" s="113" t="s">
        <v>468</v>
      </c>
      <c r="S2" s="113" t="s">
        <v>469</v>
      </c>
      <c r="T2" s="113" t="s">
        <v>470</v>
      </c>
      <c r="U2" s="113" t="s">
        <v>471</v>
      </c>
      <c r="Y2" s="2"/>
      <c r="Z2" s="2"/>
      <c r="AA2" s="2"/>
      <c r="AC2" s="2"/>
      <c r="AF2" s="113" t="s">
        <v>511</v>
      </c>
      <c r="AG2" s="113" t="s">
        <v>512</v>
      </c>
      <c r="AH2" s="113" t="s">
        <v>513</v>
      </c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1102" t="s">
        <v>475</v>
      </c>
      <c r="AW2" s="1103"/>
      <c r="AX2" s="1103"/>
    </row>
    <row r="3" spans="1:50" ht="12" customHeight="1" x14ac:dyDescent="0.25">
      <c r="A3" s="1100"/>
      <c r="B3" s="268" t="s">
        <v>476</v>
      </c>
      <c r="C3" s="254">
        <v>45292</v>
      </c>
      <c r="D3" s="255">
        <f t="shared" ref="D3:AU3" si="0">EOMONTH(C3,3)</f>
        <v>45412</v>
      </c>
      <c r="E3" s="255">
        <f t="shared" si="0"/>
        <v>45504</v>
      </c>
      <c r="F3" s="255">
        <f t="shared" si="0"/>
        <v>45596</v>
      </c>
      <c r="G3" s="117">
        <f t="shared" si="0"/>
        <v>45688</v>
      </c>
      <c r="H3" s="117">
        <f t="shared" si="0"/>
        <v>45777</v>
      </c>
      <c r="I3" s="117">
        <f t="shared" si="0"/>
        <v>45869</v>
      </c>
      <c r="J3" s="117">
        <f t="shared" si="0"/>
        <v>45961</v>
      </c>
      <c r="K3" s="117">
        <f t="shared" si="0"/>
        <v>46053</v>
      </c>
      <c r="L3" s="117">
        <f t="shared" si="0"/>
        <v>46142</v>
      </c>
      <c r="M3" s="117">
        <f t="shared" si="0"/>
        <v>46234</v>
      </c>
      <c r="N3" s="117">
        <f t="shared" si="0"/>
        <v>46326</v>
      </c>
      <c r="O3" s="117">
        <f t="shared" si="0"/>
        <v>46418</v>
      </c>
      <c r="P3" s="117">
        <f t="shared" si="0"/>
        <v>46507</v>
      </c>
      <c r="Q3" s="117">
        <f t="shared" si="0"/>
        <v>46599</v>
      </c>
      <c r="R3" s="117">
        <f t="shared" si="0"/>
        <v>46691</v>
      </c>
      <c r="S3" s="117">
        <f t="shared" si="0"/>
        <v>46783</v>
      </c>
      <c r="T3" s="117">
        <f t="shared" si="0"/>
        <v>46873</v>
      </c>
      <c r="U3" s="117">
        <f t="shared" si="0"/>
        <v>46965</v>
      </c>
      <c r="V3" s="117">
        <f t="shared" si="0"/>
        <v>47057</v>
      </c>
      <c r="W3" s="117">
        <f t="shared" si="0"/>
        <v>47149</v>
      </c>
      <c r="X3" s="117">
        <f t="shared" si="0"/>
        <v>47238</v>
      </c>
      <c r="Y3" s="117">
        <f t="shared" si="0"/>
        <v>47330</v>
      </c>
      <c r="Z3" s="117">
        <f t="shared" si="0"/>
        <v>47422</v>
      </c>
      <c r="AA3" s="117">
        <f t="shared" si="0"/>
        <v>47514</v>
      </c>
      <c r="AB3" s="117">
        <f t="shared" si="0"/>
        <v>47603</v>
      </c>
      <c r="AC3" s="117">
        <f t="shared" si="0"/>
        <v>47695</v>
      </c>
      <c r="AD3" s="117">
        <f t="shared" si="0"/>
        <v>47787</v>
      </c>
      <c r="AE3" s="117">
        <f t="shared" si="0"/>
        <v>47879</v>
      </c>
      <c r="AF3" s="117">
        <f t="shared" si="0"/>
        <v>47968</v>
      </c>
      <c r="AG3" s="117">
        <f t="shared" si="0"/>
        <v>48060</v>
      </c>
      <c r="AH3" s="117">
        <f t="shared" si="0"/>
        <v>48152</v>
      </c>
      <c r="AI3" s="117">
        <f t="shared" si="0"/>
        <v>48244</v>
      </c>
      <c r="AJ3" s="117">
        <f t="shared" si="0"/>
        <v>48334</v>
      </c>
      <c r="AK3" s="117">
        <f t="shared" si="0"/>
        <v>48426</v>
      </c>
      <c r="AL3" s="117">
        <f t="shared" si="0"/>
        <v>48518</v>
      </c>
      <c r="AM3" s="117">
        <f t="shared" si="0"/>
        <v>48610</v>
      </c>
      <c r="AN3" s="117">
        <f t="shared" si="0"/>
        <v>48699</v>
      </c>
      <c r="AO3" s="117">
        <f t="shared" si="0"/>
        <v>48791</v>
      </c>
      <c r="AP3" s="117">
        <f t="shared" si="0"/>
        <v>48883</v>
      </c>
      <c r="AQ3" s="117">
        <f t="shared" si="0"/>
        <v>48975</v>
      </c>
      <c r="AR3" s="117">
        <f t="shared" si="0"/>
        <v>49064</v>
      </c>
      <c r="AS3" s="117">
        <f t="shared" si="0"/>
        <v>49156</v>
      </c>
      <c r="AT3" s="117">
        <f t="shared" si="0"/>
        <v>49248</v>
      </c>
      <c r="AU3" s="117">
        <f t="shared" si="0"/>
        <v>49340</v>
      </c>
      <c r="AV3" s="117" t="s">
        <v>477</v>
      </c>
      <c r="AW3" s="176" t="s">
        <v>478</v>
      </c>
      <c r="AX3" s="176"/>
    </row>
    <row r="4" spans="1:50" ht="12" customHeight="1" x14ac:dyDescent="0.25">
      <c r="A4" s="177" t="s">
        <v>479</v>
      </c>
      <c r="B4" s="178">
        <f>SUM(C4:AH4)</f>
        <v>1.0000000000000002</v>
      </c>
      <c r="C4" s="122">
        <v>0</v>
      </c>
      <c r="D4" s="122">
        <v>0</v>
      </c>
      <c r="E4" s="122">
        <v>0</v>
      </c>
      <c r="F4" s="122">
        <f t="shared" ref="F4:G4" si="1">E4</f>
        <v>0</v>
      </c>
      <c r="G4" s="123">
        <f t="shared" si="1"/>
        <v>0</v>
      </c>
      <c r="H4" s="123">
        <v>0</v>
      </c>
      <c r="I4" s="123">
        <f t="shared" ref="I4:J4" si="2">H4</f>
        <v>0</v>
      </c>
      <c r="J4" s="123">
        <f t="shared" si="2"/>
        <v>0</v>
      </c>
      <c r="K4" s="123">
        <v>0</v>
      </c>
      <c r="L4" s="123">
        <v>0</v>
      </c>
      <c r="M4" s="123">
        <v>0</v>
      </c>
      <c r="N4" s="123">
        <v>0</v>
      </c>
      <c r="O4" s="123">
        <v>0</v>
      </c>
      <c r="P4" s="123">
        <v>0</v>
      </c>
      <c r="Q4" s="123">
        <v>0</v>
      </c>
      <c r="R4" s="123">
        <v>0</v>
      </c>
      <c r="S4" s="123">
        <v>0</v>
      </c>
      <c r="T4" s="123">
        <v>0</v>
      </c>
      <c r="U4" s="123">
        <v>0.05</v>
      </c>
      <c r="V4" s="123">
        <v>0.05</v>
      </c>
      <c r="W4" s="123">
        <v>0.1</v>
      </c>
      <c r="X4" s="123">
        <v>0.1</v>
      </c>
      <c r="Y4" s="123">
        <v>0.1</v>
      </c>
      <c r="Z4" s="123">
        <v>0.1</v>
      </c>
      <c r="AA4" s="123">
        <v>0.15</v>
      </c>
      <c r="AB4" s="123">
        <v>0.15</v>
      </c>
      <c r="AC4" s="123">
        <v>0.05</v>
      </c>
      <c r="AD4" s="123">
        <v>0.05</v>
      </c>
      <c r="AE4" s="123">
        <v>0.05</v>
      </c>
      <c r="AF4" s="123">
        <v>0.05</v>
      </c>
      <c r="AG4" s="123">
        <v>0</v>
      </c>
      <c r="AH4" s="123">
        <v>0</v>
      </c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79"/>
      <c r="AT4" s="179"/>
      <c r="AU4" s="179"/>
      <c r="AV4" s="124">
        <f>SUM(C4:AR4)</f>
        <v>1.0000000000000002</v>
      </c>
      <c r="AW4" s="125"/>
      <c r="AX4" s="258" t="s">
        <v>480</v>
      </c>
    </row>
    <row r="5" spans="1:50" ht="12" customHeight="1" x14ac:dyDescent="0.25">
      <c r="A5" s="269" t="str">
        <f>'Phase II Financial'!A58</f>
        <v>Hard Costs for Bldg. Construction</v>
      </c>
      <c r="B5" s="270">
        <f>'Phase II Financial'!C58</f>
        <v>87076675</v>
      </c>
      <c r="C5" s="127">
        <f t="shared" ref="C5:X5" si="3">$B$5*C4</f>
        <v>0</v>
      </c>
      <c r="D5" s="127">
        <f t="shared" si="3"/>
        <v>0</v>
      </c>
      <c r="E5" s="127">
        <f t="shared" si="3"/>
        <v>0</v>
      </c>
      <c r="F5" s="127">
        <f t="shared" si="3"/>
        <v>0</v>
      </c>
      <c r="G5" s="127">
        <f t="shared" si="3"/>
        <v>0</v>
      </c>
      <c r="H5" s="127">
        <f t="shared" si="3"/>
        <v>0</v>
      </c>
      <c r="I5" s="127">
        <f t="shared" si="3"/>
        <v>0</v>
      </c>
      <c r="J5" s="127">
        <f t="shared" si="3"/>
        <v>0</v>
      </c>
      <c r="K5" s="127">
        <f t="shared" si="3"/>
        <v>0</v>
      </c>
      <c r="L5" s="127">
        <f t="shared" si="3"/>
        <v>0</v>
      </c>
      <c r="M5" s="127">
        <f t="shared" si="3"/>
        <v>0</v>
      </c>
      <c r="N5" s="127">
        <f t="shared" si="3"/>
        <v>0</v>
      </c>
      <c r="O5" s="127">
        <f t="shared" si="3"/>
        <v>0</v>
      </c>
      <c r="P5" s="127">
        <f t="shared" si="3"/>
        <v>0</v>
      </c>
      <c r="Q5" s="127">
        <f t="shared" si="3"/>
        <v>0</v>
      </c>
      <c r="R5" s="127">
        <f t="shared" si="3"/>
        <v>0</v>
      </c>
      <c r="S5" s="127">
        <f t="shared" si="3"/>
        <v>0</v>
      </c>
      <c r="T5" s="127">
        <f t="shared" si="3"/>
        <v>0</v>
      </c>
      <c r="U5" s="127">
        <f t="shared" si="3"/>
        <v>4353833.75</v>
      </c>
      <c r="V5" s="127">
        <f t="shared" si="3"/>
        <v>4353833.75</v>
      </c>
      <c r="W5" s="127">
        <f t="shared" si="3"/>
        <v>8707667.5</v>
      </c>
      <c r="X5" s="127">
        <f t="shared" si="3"/>
        <v>8707667.5</v>
      </c>
      <c r="Y5" s="127">
        <f t="shared" ref="Y5:AH5" si="4">$B$5*Y4</f>
        <v>8707667.5</v>
      </c>
      <c r="Z5" s="127">
        <f t="shared" si="4"/>
        <v>8707667.5</v>
      </c>
      <c r="AA5" s="127">
        <f t="shared" si="4"/>
        <v>13061501.25</v>
      </c>
      <c r="AB5" s="127">
        <f t="shared" si="4"/>
        <v>13061501.25</v>
      </c>
      <c r="AC5" s="127">
        <f t="shared" si="4"/>
        <v>4353833.75</v>
      </c>
      <c r="AD5" s="127">
        <f t="shared" si="4"/>
        <v>4353833.75</v>
      </c>
      <c r="AE5" s="127">
        <f t="shared" si="4"/>
        <v>4353833.75</v>
      </c>
      <c r="AF5" s="127">
        <f t="shared" si="4"/>
        <v>4353833.75</v>
      </c>
      <c r="AG5" s="127">
        <f t="shared" si="4"/>
        <v>0</v>
      </c>
      <c r="AH5" s="127">
        <f t="shared" si="4"/>
        <v>0</v>
      </c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8">
        <f t="shared" ref="AV5:AV26" si="5">SUM(C5:AU5)</f>
        <v>87076675</v>
      </c>
      <c r="AW5" s="128">
        <f t="shared" ref="AW5:AW26" si="6">B5</f>
        <v>87076675</v>
      </c>
      <c r="AX5" s="128">
        <f t="shared" ref="AX5:AX26" si="7">AW5-AV5</f>
        <v>0</v>
      </c>
    </row>
    <row r="6" spans="1:50" ht="12" customHeight="1" x14ac:dyDescent="0.25">
      <c r="A6" s="259" t="str">
        <f>'Phase II Financial'!A59</f>
        <v>Parking Structure</v>
      </c>
      <c r="B6" s="164">
        <f>'Phase II Financial'!C59</f>
        <v>6078345.3296703296</v>
      </c>
      <c r="C6" s="127">
        <f t="shared" ref="C6:X6" si="8">$B$6*C4</f>
        <v>0</v>
      </c>
      <c r="D6" s="127">
        <f t="shared" si="8"/>
        <v>0</v>
      </c>
      <c r="E6" s="127">
        <f t="shared" si="8"/>
        <v>0</v>
      </c>
      <c r="F6" s="127">
        <f t="shared" si="8"/>
        <v>0</v>
      </c>
      <c r="G6" s="127">
        <f t="shared" si="8"/>
        <v>0</v>
      </c>
      <c r="H6" s="127">
        <f t="shared" si="8"/>
        <v>0</v>
      </c>
      <c r="I6" s="127">
        <f t="shared" si="8"/>
        <v>0</v>
      </c>
      <c r="J6" s="127">
        <f t="shared" si="8"/>
        <v>0</v>
      </c>
      <c r="K6" s="127">
        <f t="shared" si="8"/>
        <v>0</v>
      </c>
      <c r="L6" s="127">
        <f t="shared" si="8"/>
        <v>0</v>
      </c>
      <c r="M6" s="127">
        <f t="shared" si="8"/>
        <v>0</v>
      </c>
      <c r="N6" s="127">
        <f t="shared" si="8"/>
        <v>0</v>
      </c>
      <c r="O6" s="127">
        <f t="shared" si="8"/>
        <v>0</v>
      </c>
      <c r="P6" s="127">
        <f t="shared" si="8"/>
        <v>0</v>
      </c>
      <c r="Q6" s="127">
        <f t="shared" si="8"/>
        <v>0</v>
      </c>
      <c r="R6" s="127">
        <f t="shared" si="8"/>
        <v>0</v>
      </c>
      <c r="S6" s="127">
        <f t="shared" si="8"/>
        <v>0</v>
      </c>
      <c r="T6" s="127">
        <f t="shared" si="8"/>
        <v>0</v>
      </c>
      <c r="U6" s="127">
        <f t="shared" si="8"/>
        <v>303917.26648351649</v>
      </c>
      <c r="V6" s="127">
        <f t="shared" si="8"/>
        <v>303917.26648351649</v>
      </c>
      <c r="W6" s="127">
        <f t="shared" si="8"/>
        <v>607834.53296703298</v>
      </c>
      <c r="X6" s="127">
        <f t="shared" si="8"/>
        <v>607834.53296703298</v>
      </c>
      <c r="Y6" s="127">
        <f t="shared" ref="Y6:AH6" si="9">$B$6*Y4</f>
        <v>607834.53296703298</v>
      </c>
      <c r="Z6" s="127">
        <f t="shared" si="9"/>
        <v>607834.53296703298</v>
      </c>
      <c r="AA6" s="127">
        <f t="shared" si="9"/>
        <v>911751.79945054941</v>
      </c>
      <c r="AB6" s="127">
        <f t="shared" si="9"/>
        <v>911751.79945054941</v>
      </c>
      <c r="AC6" s="127">
        <f t="shared" si="9"/>
        <v>303917.26648351649</v>
      </c>
      <c r="AD6" s="127">
        <f t="shared" si="9"/>
        <v>303917.26648351649</v>
      </c>
      <c r="AE6" s="127">
        <f t="shared" si="9"/>
        <v>303917.26648351649</v>
      </c>
      <c r="AF6" s="127">
        <f t="shared" si="9"/>
        <v>303917.26648351649</v>
      </c>
      <c r="AG6" s="127">
        <f t="shared" si="9"/>
        <v>0</v>
      </c>
      <c r="AH6" s="127">
        <f t="shared" si="9"/>
        <v>0</v>
      </c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8">
        <f t="shared" si="5"/>
        <v>6078345.3296703296</v>
      </c>
      <c r="AW6" s="128">
        <f t="shared" si="6"/>
        <v>6078345.3296703296</v>
      </c>
      <c r="AX6" s="128">
        <f t="shared" si="7"/>
        <v>0</v>
      </c>
    </row>
    <row r="7" spans="1:50" ht="12" customHeight="1" x14ac:dyDescent="0.25">
      <c r="A7" s="259" t="str">
        <f>'Phase II Financial'!A60</f>
        <v>Hard Cost Contingency</v>
      </c>
      <c r="B7" s="164">
        <f>'Phase II Financial'!C60</f>
        <v>4353833.75</v>
      </c>
      <c r="C7" s="127">
        <f t="shared" ref="C7:X8" si="10">$B7*C$4</f>
        <v>0</v>
      </c>
      <c r="D7" s="127">
        <f t="shared" si="10"/>
        <v>0</v>
      </c>
      <c r="E7" s="127">
        <f t="shared" si="10"/>
        <v>0</v>
      </c>
      <c r="F7" s="127">
        <f t="shared" si="10"/>
        <v>0</v>
      </c>
      <c r="G7" s="127">
        <f t="shared" si="10"/>
        <v>0</v>
      </c>
      <c r="H7" s="127">
        <f t="shared" si="10"/>
        <v>0</v>
      </c>
      <c r="I7" s="127">
        <f t="shared" si="10"/>
        <v>0</v>
      </c>
      <c r="J7" s="127">
        <f t="shared" si="10"/>
        <v>0</v>
      </c>
      <c r="K7" s="127">
        <f t="shared" si="10"/>
        <v>0</v>
      </c>
      <c r="L7" s="127">
        <f t="shared" si="10"/>
        <v>0</v>
      </c>
      <c r="M7" s="127">
        <f t="shared" si="10"/>
        <v>0</v>
      </c>
      <c r="N7" s="127">
        <f t="shared" si="10"/>
        <v>0</v>
      </c>
      <c r="O7" s="127">
        <f t="shared" si="10"/>
        <v>0</v>
      </c>
      <c r="P7" s="127">
        <f t="shared" si="10"/>
        <v>0</v>
      </c>
      <c r="Q7" s="127">
        <f t="shared" si="10"/>
        <v>0</v>
      </c>
      <c r="R7" s="127">
        <f t="shared" si="10"/>
        <v>0</v>
      </c>
      <c r="S7" s="127">
        <f t="shared" si="10"/>
        <v>0</v>
      </c>
      <c r="T7" s="127">
        <f t="shared" si="10"/>
        <v>0</v>
      </c>
      <c r="U7" s="127">
        <f t="shared" si="10"/>
        <v>217691.6875</v>
      </c>
      <c r="V7" s="127">
        <f t="shared" si="10"/>
        <v>217691.6875</v>
      </c>
      <c r="W7" s="127">
        <f t="shared" si="10"/>
        <v>435383.375</v>
      </c>
      <c r="X7" s="127">
        <f t="shared" si="10"/>
        <v>435383.375</v>
      </c>
      <c r="Y7" s="127">
        <f t="shared" ref="Y7:AH8" si="11">$B7*Y$4</f>
        <v>435383.375</v>
      </c>
      <c r="Z7" s="127">
        <f t="shared" si="11"/>
        <v>435383.375</v>
      </c>
      <c r="AA7" s="127">
        <f t="shared" si="11"/>
        <v>653075.0625</v>
      </c>
      <c r="AB7" s="127">
        <f t="shared" si="11"/>
        <v>653075.0625</v>
      </c>
      <c r="AC7" s="127">
        <f t="shared" si="11"/>
        <v>217691.6875</v>
      </c>
      <c r="AD7" s="127">
        <f t="shared" si="11"/>
        <v>217691.6875</v>
      </c>
      <c r="AE7" s="127">
        <f t="shared" si="11"/>
        <v>217691.6875</v>
      </c>
      <c r="AF7" s="127">
        <f t="shared" si="11"/>
        <v>217691.6875</v>
      </c>
      <c r="AG7" s="127">
        <f t="shared" si="11"/>
        <v>0</v>
      </c>
      <c r="AH7" s="127">
        <f t="shared" si="11"/>
        <v>0</v>
      </c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8">
        <f t="shared" si="5"/>
        <v>4353833.75</v>
      </c>
      <c r="AW7" s="128">
        <f t="shared" si="6"/>
        <v>4353833.75</v>
      </c>
      <c r="AX7" s="128">
        <f t="shared" si="7"/>
        <v>0</v>
      </c>
    </row>
    <row r="8" spans="1:50" ht="12" customHeight="1" x14ac:dyDescent="0.25">
      <c r="A8" s="259" t="s">
        <v>505</v>
      </c>
      <c r="B8" s="164">
        <f>'Phase II Financial'!C61</f>
        <v>4408256.671875</v>
      </c>
      <c r="C8" s="127">
        <f t="shared" si="10"/>
        <v>0</v>
      </c>
      <c r="D8" s="127">
        <f t="shared" si="10"/>
        <v>0</v>
      </c>
      <c r="E8" s="127">
        <f t="shared" si="10"/>
        <v>0</v>
      </c>
      <c r="F8" s="127">
        <f t="shared" si="10"/>
        <v>0</v>
      </c>
      <c r="G8" s="127">
        <f t="shared" si="10"/>
        <v>0</v>
      </c>
      <c r="H8" s="127">
        <f t="shared" si="10"/>
        <v>0</v>
      </c>
      <c r="I8" s="127">
        <f t="shared" si="10"/>
        <v>0</v>
      </c>
      <c r="J8" s="127">
        <f t="shared" si="10"/>
        <v>0</v>
      </c>
      <c r="K8" s="127">
        <f t="shared" si="10"/>
        <v>0</v>
      </c>
      <c r="L8" s="127">
        <f t="shared" si="10"/>
        <v>0</v>
      </c>
      <c r="M8" s="127">
        <f t="shared" si="10"/>
        <v>0</v>
      </c>
      <c r="N8" s="127">
        <f t="shared" si="10"/>
        <v>0</v>
      </c>
      <c r="O8" s="127">
        <f t="shared" si="10"/>
        <v>0</v>
      </c>
      <c r="P8" s="127">
        <f t="shared" si="10"/>
        <v>0</v>
      </c>
      <c r="Q8" s="127">
        <f t="shared" si="10"/>
        <v>0</v>
      </c>
      <c r="R8" s="127">
        <f t="shared" si="10"/>
        <v>0</v>
      </c>
      <c r="S8" s="127">
        <f t="shared" si="10"/>
        <v>0</v>
      </c>
      <c r="T8" s="127">
        <f t="shared" si="10"/>
        <v>0</v>
      </c>
      <c r="U8" s="127">
        <f>$B8*U$4</f>
        <v>220412.83359375002</v>
      </c>
      <c r="V8" s="127">
        <f t="shared" si="10"/>
        <v>220412.83359375002</v>
      </c>
      <c r="W8" s="127">
        <f t="shared" si="10"/>
        <v>440825.66718750005</v>
      </c>
      <c r="X8" s="127">
        <f t="shared" si="10"/>
        <v>440825.66718750005</v>
      </c>
      <c r="Y8" s="127">
        <f t="shared" si="11"/>
        <v>440825.66718750005</v>
      </c>
      <c r="Z8" s="127">
        <f t="shared" si="11"/>
        <v>440825.66718750005</v>
      </c>
      <c r="AA8" s="127">
        <f t="shared" si="11"/>
        <v>661238.50078124995</v>
      </c>
      <c r="AB8" s="127">
        <f t="shared" si="11"/>
        <v>661238.50078124995</v>
      </c>
      <c r="AC8" s="127">
        <f t="shared" si="11"/>
        <v>220412.83359375002</v>
      </c>
      <c r="AD8" s="127">
        <f t="shared" si="11"/>
        <v>220412.83359375002</v>
      </c>
      <c r="AE8" s="127">
        <f t="shared" si="11"/>
        <v>220412.83359375002</v>
      </c>
      <c r="AF8" s="127">
        <f t="shared" si="11"/>
        <v>220412.83359375002</v>
      </c>
      <c r="AG8" s="127">
        <f t="shared" si="11"/>
        <v>0</v>
      </c>
      <c r="AH8" s="127">
        <f t="shared" si="11"/>
        <v>0</v>
      </c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8">
        <f>SUM(C8:AU8)</f>
        <v>4408256.671875</v>
      </c>
      <c r="AW8" s="128">
        <f>B8</f>
        <v>4408256.671875</v>
      </c>
      <c r="AX8" s="128">
        <f>AW8-AV8</f>
        <v>0</v>
      </c>
    </row>
    <row r="9" spans="1:50" ht="12" customHeight="1" x14ac:dyDescent="0.25">
      <c r="A9" s="259" t="str">
        <f>'Phase II Financial'!A62</f>
        <v>Site Prep (includes demolition)</v>
      </c>
      <c r="B9" s="164">
        <f>'Phase II Financial'!C62</f>
        <v>12844080</v>
      </c>
      <c r="C9" s="127">
        <f t="shared" ref="C9:AH9" si="12">IF(C2="Demolition Ends",$B$9,0)</f>
        <v>0</v>
      </c>
      <c r="D9" s="127">
        <f t="shared" si="12"/>
        <v>0</v>
      </c>
      <c r="E9" s="127">
        <f t="shared" si="12"/>
        <v>0</v>
      </c>
      <c r="F9" s="127">
        <f t="shared" si="12"/>
        <v>0</v>
      </c>
      <c r="G9" s="127">
        <f t="shared" si="12"/>
        <v>0</v>
      </c>
      <c r="H9" s="127">
        <f t="shared" si="12"/>
        <v>0</v>
      </c>
      <c r="I9" s="127">
        <f t="shared" si="12"/>
        <v>0</v>
      </c>
      <c r="J9" s="127">
        <f t="shared" si="12"/>
        <v>0</v>
      </c>
      <c r="K9" s="127">
        <f t="shared" si="12"/>
        <v>0</v>
      </c>
      <c r="L9" s="127">
        <f t="shared" si="12"/>
        <v>0</v>
      </c>
      <c r="M9" s="127">
        <f t="shared" si="12"/>
        <v>0</v>
      </c>
      <c r="N9" s="127">
        <f t="shared" si="12"/>
        <v>0</v>
      </c>
      <c r="O9" s="127">
        <f t="shared" si="12"/>
        <v>0</v>
      </c>
      <c r="P9" s="127">
        <f t="shared" si="12"/>
        <v>0</v>
      </c>
      <c r="Q9" s="127">
        <f t="shared" si="12"/>
        <v>0</v>
      </c>
      <c r="R9" s="127">
        <f t="shared" si="12"/>
        <v>0</v>
      </c>
      <c r="S9" s="127">
        <f t="shared" si="12"/>
        <v>0</v>
      </c>
      <c r="T9" s="127">
        <f t="shared" si="12"/>
        <v>12844080</v>
      </c>
      <c r="U9" s="127">
        <f t="shared" si="12"/>
        <v>0</v>
      </c>
      <c r="V9" s="127">
        <f t="shared" si="12"/>
        <v>0</v>
      </c>
      <c r="W9" s="127">
        <f t="shared" si="12"/>
        <v>0</v>
      </c>
      <c r="X9" s="127">
        <f t="shared" si="12"/>
        <v>0</v>
      </c>
      <c r="Y9" s="127">
        <f t="shared" si="12"/>
        <v>0</v>
      </c>
      <c r="Z9" s="127">
        <f t="shared" si="12"/>
        <v>0</v>
      </c>
      <c r="AA9" s="127">
        <f t="shared" si="12"/>
        <v>0</v>
      </c>
      <c r="AB9" s="127">
        <f t="shared" si="12"/>
        <v>0</v>
      </c>
      <c r="AC9" s="127">
        <f t="shared" si="12"/>
        <v>0</v>
      </c>
      <c r="AD9" s="127">
        <f t="shared" si="12"/>
        <v>0</v>
      </c>
      <c r="AE9" s="127">
        <f t="shared" si="12"/>
        <v>0</v>
      </c>
      <c r="AF9" s="127">
        <f t="shared" si="12"/>
        <v>0</v>
      </c>
      <c r="AG9" s="127">
        <f t="shared" si="12"/>
        <v>0</v>
      </c>
      <c r="AH9" s="127">
        <f t="shared" si="12"/>
        <v>0</v>
      </c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8">
        <f t="shared" si="5"/>
        <v>12844080</v>
      </c>
      <c r="AW9" s="128">
        <f t="shared" si="6"/>
        <v>12844080</v>
      </c>
      <c r="AX9" s="128">
        <f t="shared" si="7"/>
        <v>0</v>
      </c>
    </row>
    <row r="10" spans="1:50" ht="12" customHeight="1" x14ac:dyDescent="0.25">
      <c r="A10" s="259" t="str">
        <f>'Phase II Financial'!A63</f>
        <v>Land</v>
      </c>
      <c r="B10" s="164">
        <f>'Phase II Financial'!C63</f>
        <v>19450568.531475585</v>
      </c>
      <c r="C10" s="129"/>
      <c r="D10" s="130"/>
      <c r="E10" s="132">
        <v>400000</v>
      </c>
      <c r="F10" s="127"/>
      <c r="G10" s="131"/>
      <c r="H10" s="132"/>
      <c r="I10" s="131"/>
      <c r="J10" s="132"/>
      <c r="K10" s="127"/>
      <c r="L10" s="130"/>
      <c r="M10" s="133"/>
      <c r="N10" s="130"/>
      <c r="O10" s="130"/>
      <c r="P10" s="130"/>
      <c r="Q10" s="130"/>
      <c r="R10" s="130"/>
      <c r="S10" s="130"/>
      <c r="T10" s="130"/>
      <c r="U10" s="132">
        <f>$B10-$E10</f>
        <v>19050568.531475585</v>
      </c>
      <c r="V10" s="130"/>
      <c r="W10" s="130"/>
      <c r="X10" s="130"/>
      <c r="Y10" s="130"/>
      <c r="Z10" s="130"/>
      <c r="AA10" s="130"/>
      <c r="AB10" s="130"/>
      <c r="AC10" s="130"/>
      <c r="AD10" s="13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28">
        <f t="shared" si="5"/>
        <v>19450568.531475585</v>
      </c>
      <c r="AW10" s="128">
        <f t="shared" si="6"/>
        <v>19450568.531475585</v>
      </c>
      <c r="AX10" s="128">
        <f t="shared" si="7"/>
        <v>0</v>
      </c>
    </row>
    <row r="11" spans="1:50" ht="12" customHeight="1" x14ac:dyDescent="0.25">
      <c r="A11" s="259" t="str">
        <f>'Phase II Financial'!A64</f>
        <v>Impact Fees (Includes City Stormwater Utility Fee)</v>
      </c>
      <c r="B11" s="164">
        <f>'Phase II Financial'!C64</f>
        <v>938659.20329670329</v>
      </c>
      <c r="C11" s="133"/>
      <c r="D11" s="130"/>
      <c r="E11" s="127"/>
      <c r="F11" s="127"/>
      <c r="G11" s="127"/>
      <c r="H11" s="127"/>
      <c r="I11" s="127"/>
      <c r="J11" s="127"/>
      <c r="K11" s="127"/>
      <c r="L11" s="130"/>
      <c r="M11" s="130"/>
      <c r="N11" s="130"/>
      <c r="O11" s="130"/>
      <c r="P11" s="130"/>
      <c r="Q11" s="130"/>
      <c r="R11" s="130"/>
      <c r="S11" s="131"/>
      <c r="T11" s="127"/>
      <c r="U11" s="127">
        <f>B11</f>
        <v>938659.20329670329</v>
      </c>
      <c r="V11" s="130"/>
      <c r="W11" s="130"/>
      <c r="X11" s="130"/>
      <c r="Y11" s="130"/>
      <c r="Z11" s="130"/>
      <c r="AA11" s="130"/>
      <c r="AB11" s="130"/>
      <c r="AC11" s="130"/>
      <c r="AD11" s="130"/>
      <c r="AE11" s="180"/>
      <c r="AF11" s="180"/>
      <c r="AG11" s="180"/>
      <c r="AH11" s="180"/>
      <c r="AI11" s="180"/>
      <c r="AJ11" s="180"/>
      <c r="AK11" s="181"/>
      <c r="AL11" s="271"/>
      <c r="AM11" s="180"/>
      <c r="AN11" s="180"/>
      <c r="AO11" s="180"/>
      <c r="AP11" s="181"/>
      <c r="AQ11" s="180"/>
      <c r="AR11" s="180"/>
      <c r="AS11" s="180"/>
      <c r="AT11" s="180"/>
      <c r="AU11" s="180"/>
      <c r="AV11" s="128">
        <f t="shared" si="5"/>
        <v>938659.20329670329</v>
      </c>
      <c r="AW11" s="128">
        <f t="shared" si="6"/>
        <v>938659.20329670329</v>
      </c>
      <c r="AX11" s="128">
        <f t="shared" si="7"/>
        <v>0</v>
      </c>
    </row>
    <row r="12" spans="1:50" ht="12" customHeight="1" x14ac:dyDescent="0.25">
      <c r="A12" s="259" t="str">
        <f>'Phase II Financial'!A65</f>
        <v>Infrastructure</v>
      </c>
      <c r="B12" s="164">
        <f>SUM('Phase II Financial'!C66:C71)</f>
        <v>15382300</v>
      </c>
      <c r="C12" s="133"/>
      <c r="D12" s="130"/>
      <c r="E12" s="127"/>
      <c r="F12" s="127"/>
      <c r="G12" s="127"/>
      <c r="H12" s="127"/>
      <c r="I12" s="127"/>
      <c r="J12" s="127"/>
      <c r="K12" s="127"/>
      <c r="L12" s="130"/>
      <c r="M12" s="130"/>
      <c r="N12" s="130"/>
      <c r="O12" s="130"/>
      <c r="P12" s="130"/>
      <c r="Q12" s="130"/>
      <c r="R12" s="130"/>
      <c r="S12" s="127"/>
      <c r="T12" s="127"/>
      <c r="U12" s="127">
        <f>$B$12/4</f>
        <v>3845575</v>
      </c>
      <c r="V12" s="127">
        <f t="shared" ref="V12:X12" si="13">$B$12/4</f>
        <v>3845575</v>
      </c>
      <c r="W12" s="127">
        <f t="shared" si="13"/>
        <v>3845575</v>
      </c>
      <c r="X12" s="127">
        <f t="shared" si="13"/>
        <v>3845575</v>
      </c>
      <c r="Y12" s="130"/>
      <c r="Z12" s="130"/>
      <c r="AA12" s="130"/>
      <c r="AB12" s="130"/>
      <c r="AC12" s="130"/>
      <c r="AD12" s="130"/>
      <c r="AE12" s="130"/>
      <c r="AF12" s="180"/>
      <c r="AG12" s="180"/>
      <c r="AH12" s="180"/>
      <c r="AI12" s="180"/>
      <c r="AJ12" s="180"/>
      <c r="AK12" s="181"/>
      <c r="AL12" s="271"/>
      <c r="AM12" s="180"/>
      <c r="AN12" s="180"/>
      <c r="AO12" s="180"/>
      <c r="AP12" s="181"/>
      <c r="AQ12" s="180"/>
      <c r="AR12" s="182"/>
      <c r="AS12" s="182"/>
      <c r="AT12" s="182"/>
      <c r="AU12" s="182"/>
      <c r="AV12" s="128">
        <f t="shared" si="5"/>
        <v>15382300</v>
      </c>
      <c r="AW12" s="128">
        <f t="shared" si="6"/>
        <v>15382300</v>
      </c>
      <c r="AX12" s="128">
        <f t="shared" si="7"/>
        <v>0</v>
      </c>
    </row>
    <row r="13" spans="1:50" ht="12" customHeight="1" x14ac:dyDescent="0.25">
      <c r="A13" s="259" t="str">
        <f>'Phase II Financial'!A72</f>
        <v>Legal</v>
      </c>
      <c r="B13" s="164">
        <f>'Phase II Financial'!C72</f>
        <v>400000</v>
      </c>
      <c r="C13" s="133"/>
      <c r="D13" s="133"/>
      <c r="E13" s="132">
        <v>100000</v>
      </c>
      <c r="F13" s="132">
        <v>100000</v>
      </c>
      <c r="G13" s="132">
        <v>50000</v>
      </c>
      <c r="H13" s="132">
        <v>50000</v>
      </c>
      <c r="I13" s="132">
        <v>50000</v>
      </c>
      <c r="J13" s="132">
        <v>50000</v>
      </c>
      <c r="K13" s="127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83"/>
      <c r="AL13" s="272"/>
      <c r="AM13" s="130"/>
      <c r="AN13" s="130"/>
      <c r="AO13" s="130"/>
      <c r="AP13" s="183"/>
      <c r="AQ13" s="130"/>
      <c r="AR13" s="130"/>
      <c r="AS13" s="130"/>
      <c r="AT13" s="130"/>
      <c r="AU13" s="130"/>
      <c r="AV13" s="128">
        <f t="shared" si="5"/>
        <v>400000</v>
      </c>
      <c r="AW13" s="128">
        <f t="shared" si="6"/>
        <v>400000</v>
      </c>
      <c r="AX13" s="128">
        <f t="shared" si="7"/>
        <v>0</v>
      </c>
    </row>
    <row r="14" spans="1:50" ht="12" customHeight="1" x14ac:dyDescent="0.25">
      <c r="A14" s="259" t="str">
        <f>'Phase II Financial'!A73</f>
        <v>Land Closing Costs/commissions</v>
      </c>
      <c r="B14" s="164">
        <f>'Phase II Financial'!C73</f>
        <v>450000</v>
      </c>
      <c r="C14" s="132"/>
      <c r="D14" s="127"/>
      <c r="E14" s="127"/>
      <c r="F14" s="127"/>
      <c r="G14" s="129"/>
      <c r="H14" s="127">
        <f>B14</f>
        <v>450000</v>
      </c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31"/>
      <c r="AF14" s="131"/>
      <c r="AG14" s="131"/>
      <c r="AH14" s="131"/>
      <c r="AI14" s="131"/>
      <c r="AJ14" s="131"/>
      <c r="AK14" s="184"/>
      <c r="AL14" s="273"/>
      <c r="AM14" s="131"/>
      <c r="AN14" s="131"/>
      <c r="AO14" s="131"/>
      <c r="AP14" s="184"/>
      <c r="AQ14" s="131"/>
      <c r="AR14" s="131"/>
      <c r="AS14" s="131"/>
      <c r="AT14" s="131"/>
      <c r="AU14" s="131"/>
      <c r="AV14" s="128">
        <f t="shared" si="5"/>
        <v>450000</v>
      </c>
      <c r="AW14" s="128">
        <f t="shared" si="6"/>
        <v>450000</v>
      </c>
      <c r="AX14" s="128">
        <f t="shared" si="7"/>
        <v>0</v>
      </c>
    </row>
    <row r="15" spans="1:50" ht="12" customHeight="1" x14ac:dyDescent="0.25">
      <c r="A15" s="259" t="str">
        <f>'Phase II Financial'!A74</f>
        <v xml:space="preserve">Design </v>
      </c>
      <c r="B15" s="164">
        <f>'Phase II Financial'!C74</f>
        <v>3657220.35</v>
      </c>
      <c r="C15" s="127"/>
      <c r="D15" s="127"/>
      <c r="E15" s="127">
        <f t="shared" ref="E15:F15" si="14">0.3*$B15</f>
        <v>1097166.105</v>
      </c>
      <c r="F15" s="127">
        <f t="shared" si="14"/>
        <v>1097166.105</v>
      </c>
      <c r="G15" s="127">
        <f t="shared" ref="G15:H15" si="15">0.1*$B15</f>
        <v>365722.03500000003</v>
      </c>
      <c r="H15" s="127">
        <f t="shared" si="15"/>
        <v>365722.03500000003</v>
      </c>
      <c r="I15" s="127">
        <f>0.05*$B15</f>
        <v>182861.01750000002</v>
      </c>
      <c r="J15" s="127">
        <f t="shared" ref="J15:N15" si="16">0.02*$B15</f>
        <v>73144.407000000007</v>
      </c>
      <c r="K15" s="127">
        <f t="shared" si="16"/>
        <v>73144.407000000007</v>
      </c>
      <c r="L15" s="127">
        <f t="shared" si="16"/>
        <v>73144.407000000007</v>
      </c>
      <c r="M15" s="127">
        <f t="shared" si="16"/>
        <v>73144.407000000007</v>
      </c>
      <c r="N15" s="127">
        <f t="shared" si="16"/>
        <v>73144.407000000007</v>
      </c>
      <c r="O15" s="127">
        <f t="shared" ref="O15:S15" si="17">0.01*$B15</f>
        <v>36572.203500000003</v>
      </c>
      <c r="P15" s="127">
        <f t="shared" si="17"/>
        <v>36572.203500000003</v>
      </c>
      <c r="Q15" s="127">
        <f t="shared" si="17"/>
        <v>36572.203500000003</v>
      </c>
      <c r="R15" s="127">
        <f t="shared" si="17"/>
        <v>36572.203500000003</v>
      </c>
      <c r="S15" s="127">
        <f t="shared" si="17"/>
        <v>36572.203500000003</v>
      </c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31"/>
      <c r="AR15" s="131"/>
      <c r="AS15" s="131"/>
      <c r="AT15" s="131"/>
      <c r="AU15" s="131"/>
      <c r="AV15" s="128">
        <f t="shared" si="5"/>
        <v>3657220.35</v>
      </c>
      <c r="AW15" s="128">
        <f t="shared" si="6"/>
        <v>3657220.35</v>
      </c>
      <c r="AX15" s="128">
        <f t="shared" si="7"/>
        <v>0</v>
      </c>
    </row>
    <row r="16" spans="1:50" ht="12" customHeight="1" x14ac:dyDescent="0.25">
      <c r="A16" s="259" t="str">
        <f>'Phase II Financial'!A75</f>
        <v>Developer Fee</v>
      </c>
      <c r="B16" s="164">
        <f>'Phase II Financial'!C75</f>
        <v>4651198.1650895281</v>
      </c>
      <c r="C16" s="127"/>
      <c r="D16" s="127"/>
      <c r="E16" s="127">
        <f>$B16*E4</f>
        <v>0</v>
      </c>
      <c r="F16" s="127">
        <f>$B16*F4</f>
        <v>0</v>
      </c>
      <c r="G16" s="127">
        <f>$B16*G4</f>
        <v>0</v>
      </c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>
        <f t="shared" ref="U16:V16" si="18">$B16/12</f>
        <v>387599.84709079401</v>
      </c>
      <c r="V16" s="127">
        <f t="shared" si="18"/>
        <v>387599.84709079401</v>
      </c>
      <c r="W16" s="127">
        <f t="shared" ref="W16:AF17" si="19">$B16/12</f>
        <v>387599.84709079401</v>
      </c>
      <c r="X16" s="127">
        <f t="shared" si="19"/>
        <v>387599.84709079401</v>
      </c>
      <c r="Y16" s="127">
        <f t="shared" si="19"/>
        <v>387599.84709079401</v>
      </c>
      <c r="Z16" s="127">
        <f t="shared" si="19"/>
        <v>387599.84709079401</v>
      </c>
      <c r="AA16" s="127">
        <f t="shared" si="19"/>
        <v>387599.84709079401</v>
      </c>
      <c r="AB16" s="127">
        <f t="shared" si="19"/>
        <v>387599.84709079401</v>
      </c>
      <c r="AC16" s="127">
        <f t="shared" si="19"/>
        <v>387599.84709079401</v>
      </c>
      <c r="AD16" s="127">
        <f t="shared" si="19"/>
        <v>387599.84709079401</v>
      </c>
      <c r="AE16" s="127">
        <f t="shared" si="19"/>
        <v>387599.84709079401</v>
      </c>
      <c r="AF16" s="127">
        <f t="shared" si="19"/>
        <v>387599.84709079401</v>
      </c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8">
        <f t="shared" si="5"/>
        <v>4651198.1650895271</v>
      </c>
      <c r="AW16" s="128">
        <f t="shared" si="6"/>
        <v>4651198.1650895281</v>
      </c>
      <c r="AX16" s="128">
        <f t="shared" si="7"/>
        <v>0</v>
      </c>
    </row>
    <row r="17" spans="1:50" ht="12" customHeight="1" x14ac:dyDescent="0.25">
      <c r="A17" s="259" t="str">
        <f>'Phase II Financial'!A76</f>
        <v>Construction Management Fee</v>
      </c>
      <c r="B17" s="164">
        <f>'Phase II Financial'!C76</f>
        <v>2742915.2624999997</v>
      </c>
      <c r="C17" s="127">
        <f t="shared" ref="C17:G17" si="20">$B17*C$4</f>
        <v>0</v>
      </c>
      <c r="D17" s="127">
        <f t="shared" si="20"/>
        <v>0</v>
      </c>
      <c r="E17" s="127">
        <f t="shared" si="20"/>
        <v>0</v>
      </c>
      <c r="F17" s="127">
        <f t="shared" si="20"/>
        <v>0</v>
      </c>
      <c r="G17" s="127">
        <f t="shared" si="20"/>
        <v>0</v>
      </c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>
        <f t="shared" ref="U17:V17" si="21">$B17/12</f>
        <v>228576.27187499998</v>
      </c>
      <c r="V17" s="127">
        <f t="shared" si="21"/>
        <v>228576.27187499998</v>
      </c>
      <c r="W17" s="127">
        <f t="shared" si="19"/>
        <v>228576.27187499998</v>
      </c>
      <c r="X17" s="127">
        <f t="shared" si="19"/>
        <v>228576.27187499998</v>
      </c>
      <c r="Y17" s="127">
        <f t="shared" si="19"/>
        <v>228576.27187499998</v>
      </c>
      <c r="Z17" s="127">
        <f t="shared" si="19"/>
        <v>228576.27187499998</v>
      </c>
      <c r="AA17" s="127">
        <f t="shared" si="19"/>
        <v>228576.27187499998</v>
      </c>
      <c r="AB17" s="127">
        <f t="shared" si="19"/>
        <v>228576.27187499998</v>
      </c>
      <c r="AC17" s="127">
        <f t="shared" si="19"/>
        <v>228576.27187499998</v>
      </c>
      <c r="AD17" s="127">
        <f t="shared" si="19"/>
        <v>228576.27187499998</v>
      </c>
      <c r="AE17" s="127">
        <f t="shared" si="19"/>
        <v>228576.27187499998</v>
      </c>
      <c r="AF17" s="127">
        <f t="shared" si="19"/>
        <v>228576.27187499998</v>
      </c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8">
        <f t="shared" si="5"/>
        <v>2742915.2625000007</v>
      </c>
      <c r="AW17" s="128">
        <f t="shared" si="6"/>
        <v>2742915.2624999997</v>
      </c>
      <c r="AX17" s="128">
        <f t="shared" si="7"/>
        <v>0</v>
      </c>
    </row>
    <row r="18" spans="1:50" ht="12" customHeight="1" x14ac:dyDescent="0.25">
      <c r="A18" s="259" t="str">
        <f>'Phase II Financial'!A77</f>
        <v>Taxes</v>
      </c>
      <c r="B18" s="164">
        <f>'Phase II Financial'!C77</f>
        <v>1300000</v>
      </c>
      <c r="C18" s="132"/>
      <c r="D18" s="127"/>
      <c r="E18" s="127"/>
      <c r="F18" s="127"/>
      <c r="G18" s="131"/>
      <c r="H18" s="127"/>
      <c r="I18" s="127"/>
      <c r="J18" s="127">
        <f>$B18/10</f>
        <v>130000</v>
      </c>
      <c r="K18" s="127"/>
      <c r="L18" s="127">
        <f>$B18/8</f>
        <v>162500</v>
      </c>
      <c r="M18" s="127"/>
      <c r="N18" s="127">
        <f>$B18/6</f>
        <v>216666.66666666666</v>
      </c>
      <c r="O18" s="127"/>
      <c r="P18" s="127">
        <f>$B18/4</f>
        <v>325000</v>
      </c>
      <c r="Q18" s="127"/>
      <c r="R18" s="127">
        <f>$B18/6</f>
        <v>216666.66666666666</v>
      </c>
      <c r="S18" s="129"/>
      <c r="T18" s="127"/>
      <c r="U18" s="129"/>
      <c r="V18" s="127">
        <f>B18-SUM(J18:U18)</f>
        <v>249166.66666666674</v>
      </c>
      <c r="W18" s="127"/>
      <c r="X18" s="129"/>
      <c r="Y18" s="127"/>
      <c r="Z18" s="127"/>
      <c r="AA18" s="127"/>
      <c r="AB18" s="127"/>
      <c r="AC18" s="127"/>
      <c r="AD18" s="127"/>
      <c r="AE18" s="129"/>
      <c r="AF18" s="127"/>
      <c r="AG18" s="129"/>
      <c r="AH18" s="127"/>
      <c r="AI18" s="131"/>
      <c r="AJ18" s="127"/>
      <c r="AK18" s="127"/>
      <c r="AL18" s="127"/>
      <c r="AM18" s="127"/>
      <c r="AN18" s="127"/>
      <c r="AO18" s="127"/>
      <c r="AP18" s="185"/>
      <c r="AQ18" s="127"/>
      <c r="AR18" s="127"/>
      <c r="AS18" s="127"/>
      <c r="AT18" s="127"/>
      <c r="AU18" s="127"/>
      <c r="AV18" s="128">
        <f t="shared" si="5"/>
        <v>1300000</v>
      </c>
      <c r="AW18" s="128">
        <f t="shared" si="6"/>
        <v>1300000</v>
      </c>
      <c r="AX18" s="128">
        <f t="shared" si="7"/>
        <v>0</v>
      </c>
    </row>
    <row r="19" spans="1:50" ht="12" customHeight="1" x14ac:dyDescent="0.25">
      <c r="A19" s="259" t="str">
        <f>'Phase II Financial'!A78</f>
        <v>Insurance</v>
      </c>
      <c r="B19" s="164">
        <f>'Phase II Financial'!C78</f>
        <v>563195.52197802195</v>
      </c>
      <c r="C19" s="132"/>
      <c r="D19" s="129"/>
      <c r="E19" s="129"/>
      <c r="F19" s="127"/>
      <c r="G19" s="127"/>
      <c r="H19" s="127">
        <v>10000</v>
      </c>
      <c r="I19" s="127">
        <v>10000</v>
      </c>
      <c r="J19" s="127"/>
      <c r="K19" s="127"/>
      <c r="L19" s="132">
        <f>$B19-SUM(C19:K19)</f>
        <v>543195.52197802195</v>
      </c>
      <c r="M19" s="127"/>
      <c r="N19" s="127"/>
      <c r="O19" s="127"/>
      <c r="P19" s="127"/>
      <c r="Q19" s="127"/>
      <c r="R19" s="127"/>
      <c r="S19" s="127"/>
      <c r="T19" s="129"/>
      <c r="U19" s="127"/>
      <c r="V19" s="127">
        <f>$B19-SUM(C19:U19)</f>
        <v>0</v>
      </c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85"/>
      <c r="AL19" s="274"/>
      <c r="AM19" s="127"/>
      <c r="AN19" s="127"/>
      <c r="AO19" s="127"/>
      <c r="AP19" s="185"/>
      <c r="AQ19" s="127"/>
      <c r="AR19" s="127"/>
      <c r="AS19" s="127"/>
      <c r="AT19" s="127"/>
      <c r="AU19" s="127"/>
      <c r="AV19" s="128">
        <f t="shared" si="5"/>
        <v>563195.52197802195</v>
      </c>
      <c r="AW19" s="128">
        <f t="shared" si="6"/>
        <v>563195.52197802195</v>
      </c>
      <c r="AX19" s="128">
        <f t="shared" si="7"/>
        <v>0</v>
      </c>
    </row>
    <row r="20" spans="1:50" ht="12" customHeight="1" x14ac:dyDescent="0.25">
      <c r="A20" s="259" t="str">
        <f>'Phase II Financial'!A79</f>
        <v>Marketing, FF&amp;E and Preleasing</v>
      </c>
      <c r="B20" s="164">
        <f>'Phase II Financial'!C79</f>
        <v>500000</v>
      </c>
      <c r="C20" s="132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38"/>
      <c r="Y20" s="138"/>
      <c r="Z20" s="138"/>
      <c r="AA20" s="138"/>
      <c r="AB20" s="186"/>
      <c r="AC20" s="131"/>
      <c r="AD20" s="131"/>
      <c r="AE20" s="127">
        <f>B20/2</f>
        <v>250000</v>
      </c>
      <c r="AF20" s="209">
        <f>B20/2</f>
        <v>250000</v>
      </c>
      <c r="AG20" s="129"/>
      <c r="AH20" s="129"/>
      <c r="AI20" s="138"/>
      <c r="AJ20" s="138"/>
      <c r="AK20" s="138"/>
      <c r="AL20" s="138"/>
      <c r="AM20" s="131"/>
      <c r="AN20" s="131"/>
      <c r="AO20" s="131"/>
      <c r="AP20" s="184"/>
      <c r="AQ20" s="131"/>
      <c r="AR20" s="131"/>
      <c r="AS20" s="131"/>
      <c r="AT20" s="131"/>
      <c r="AU20" s="131"/>
      <c r="AV20" s="128">
        <f t="shared" si="5"/>
        <v>500000</v>
      </c>
      <c r="AW20" s="128">
        <f t="shared" si="6"/>
        <v>500000</v>
      </c>
      <c r="AX20" s="128">
        <f t="shared" si="7"/>
        <v>0</v>
      </c>
    </row>
    <row r="21" spans="1:50" ht="12" customHeight="1" x14ac:dyDescent="0.25">
      <c r="A21" s="259" t="str">
        <f>'Phase II Financial'!A80</f>
        <v>Operating Deficit</v>
      </c>
      <c r="B21" s="164">
        <f>'Phase II Financial'!C80</f>
        <v>1981970.4926884994</v>
      </c>
      <c r="C21" s="132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87"/>
      <c r="AA21" s="187"/>
      <c r="AB21" s="186"/>
      <c r="AC21" s="131"/>
      <c r="AD21" s="131"/>
      <c r="AE21" s="127"/>
      <c r="AF21" s="138"/>
      <c r="AG21" s="138">
        <f>B21/2</f>
        <v>990985.2463442497</v>
      </c>
      <c r="AH21" s="138">
        <f>B21/2</f>
        <v>990985.2463442497</v>
      </c>
      <c r="AI21" s="138"/>
      <c r="AJ21" s="129"/>
      <c r="AK21" s="188"/>
      <c r="AL21" s="188"/>
      <c r="AM21" s="188"/>
      <c r="AN21" s="188"/>
      <c r="AO21" s="188"/>
      <c r="AP21" s="188"/>
      <c r="AQ21" s="131"/>
      <c r="AR21" s="132"/>
      <c r="AS21" s="132"/>
      <c r="AT21" s="132"/>
      <c r="AU21" s="132"/>
      <c r="AV21" s="128">
        <f t="shared" si="5"/>
        <v>1981970.4926884994</v>
      </c>
      <c r="AW21" s="128">
        <f t="shared" si="6"/>
        <v>1981970.4926884994</v>
      </c>
      <c r="AX21" s="128">
        <f t="shared" si="7"/>
        <v>0</v>
      </c>
    </row>
    <row r="22" spans="1:50" ht="12" customHeight="1" x14ac:dyDescent="0.25">
      <c r="A22" s="259" t="str">
        <f>'Phase II Financial'!A81</f>
        <v>Retail TI's</v>
      </c>
      <c r="B22" s="164">
        <f>'Phase II Financial'!C81</f>
        <v>1882125</v>
      </c>
      <c r="C22" s="132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31"/>
      <c r="AB22" s="186"/>
      <c r="AC22" s="132"/>
      <c r="AD22" s="131"/>
      <c r="AE22" s="127">
        <f>B22/2</f>
        <v>941062.5</v>
      </c>
      <c r="AF22" s="138">
        <f>B22/2</f>
        <v>941062.5</v>
      </c>
      <c r="AG22" s="138"/>
      <c r="AH22" s="138"/>
      <c r="AI22" s="138"/>
      <c r="AJ22" s="187"/>
      <c r="AK22" s="189"/>
      <c r="AL22" s="273"/>
      <c r="AM22" s="131"/>
      <c r="AN22" s="131"/>
      <c r="AO22" s="131"/>
      <c r="AP22" s="184"/>
      <c r="AQ22" s="131"/>
      <c r="AR22" s="131"/>
      <c r="AS22" s="131"/>
      <c r="AT22" s="131"/>
      <c r="AU22" s="131"/>
      <c r="AV22" s="128">
        <f t="shared" si="5"/>
        <v>1882125</v>
      </c>
      <c r="AW22" s="128">
        <f t="shared" si="6"/>
        <v>1882125</v>
      </c>
      <c r="AX22" s="128">
        <f t="shared" si="7"/>
        <v>0</v>
      </c>
    </row>
    <row r="23" spans="1:50" ht="12" customHeight="1" x14ac:dyDescent="0.25">
      <c r="A23" s="259" t="str">
        <f>'Phase II Financial'!A82</f>
        <v>Commercial brokerage</v>
      </c>
      <c r="B23" s="164">
        <f>'Phase II Financial'!C82</f>
        <v>861591.65399999986</v>
      </c>
      <c r="C23" s="132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>
        <f>B23</f>
        <v>861591.65399999986</v>
      </c>
      <c r="AH23" s="127"/>
      <c r="AI23" s="127"/>
      <c r="AJ23" s="127"/>
      <c r="AK23" s="185"/>
      <c r="AL23" s="273"/>
      <c r="AM23" s="131"/>
      <c r="AN23" s="127"/>
      <c r="AO23" s="127"/>
      <c r="AP23" s="185"/>
      <c r="AQ23" s="127"/>
      <c r="AR23" s="127"/>
      <c r="AS23" s="127"/>
      <c r="AT23" s="127"/>
      <c r="AU23" s="127"/>
      <c r="AV23" s="128">
        <f t="shared" si="5"/>
        <v>861591.65399999986</v>
      </c>
      <c r="AW23" s="128">
        <f t="shared" si="6"/>
        <v>861591.65399999986</v>
      </c>
      <c r="AX23" s="128">
        <f t="shared" si="7"/>
        <v>0</v>
      </c>
    </row>
    <row r="24" spans="1:50" ht="12" customHeight="1" x14ac:dyDescent="0.25">
      <c r="A24" s="259" t="str">
        <f>'Phase II Financial'!A83</f>
        <v>Construction Loan Origination</v>
      </c>
      <c r="B24" s="164">
        <f>'Phase II Financial'!C83</f>
        <v>1600174</v>
      </c>
      <c r="C24" s="127">
        <f>$B$24*C4</f>
        <v>0</v>
      </c>
      <c r="D24" s="127">
        <f>$B$24*D4</f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f>$B24</f>
        <v>1600174</v>
      </c>
      <c r="L24" s="127">
        <v>0</v>
      </c>
      <c r="M24" s="129"/>
      <c r="N24" s="127">
        <v>0</v>
      </c>
      <c r="O24" s="127">
        <v>0</v>
      </c>
      <c r="P24" s="127"/>
      <c r="Q24" s="127"/>
      <c r="R24" s="127"/>
      <c r="S24" s="127"/>
      <c r="T24" s="127"/>
      <c r="U24" s="127"/>
      <c r="V24" s="127"/>
      <c r="W24" s="129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85"/>
      <c r="AL24" s="274"/>
      <c r="AM24" s="127"/>
      <c r="AN24" s="127"/>
      <c r="AO24" s="127"/>
      <c r="AP24" s="185"/>
      <c r="AQ24" s="127"/>
      <c r="AR24" s="127"/>
      <c r="AS24" s="127"/>
      <c r="AT24" s="127"/>
      <c r="AU24" s="127"/>
      <c r="AV24" s="128">
        <f t="shared" si="5"/>
        <v>1600174</v>
      </c>
      <c r="AW24" s="128">
        <f t="shared" si="6"/>
        <v>1600174</v>
      </c>
      <c r="AX24" s="128">
        <f t="shared" si="7"/>
        <v>0</v>
      </c>
    </row>
    <row r="25" spans="1:50" ht="12" customHeight="1" x14ac:dyDescent="0.25">
      <c r="A25" s="260" t="str">
        <f>'Phase II Financial'!A84</f>
        <v>Construction Interest</v>
      </c>
      <c r="B25" s="164">
        <f>'Phase II Financial'!C84</f>
        <v>5334968</v>
      </c>
      <c r="C25" s="140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>
        <f t="shared" ref="U25:AF25" si="22">$B25/12</f>
        <v>444580.66666666669</v>
      </c>
      <c r="V25" s="127">
        <f t="shared" si="22"/>
        <v>444580.66666666669</v>
      </c>
      <c r="W25" s="127">
        <f t="shared" si="22"/>
        <v>444580.66666666669</v>
      </c>
      <c r="X25" s="127">
        <f t="shared" si="22"/>
        <v>444580.66666666669</v>
      </c>
      <c r="Y25" s="127">
        <f t="shared" si="22"/>
        <v>444580.66666666669</v>
      </c>
      <c r="Z25" s="127">
        <f t="shared" si="22"/>
        <v>444580.66666666669</v>
      </c>
      <c r="AA25" s="127">
        <f t="shared" si="22"/>
        <v>444580.66666666669</v>
      </c>
      <c r="AB25" s="127">
        <f t="shared" si="22"/>
        <v>444580.66666666669</v>
      </c>
      <c r="AC25" s="127">
        <f t="shared" si="22"/>
        <v>444580.66666666669</v>
      </c>
      <c r="AD25" s="127">
        <f t="shared" si="22"/>
        <v>444580.66666666669</v>
      </c>
      <c r="AE25" s="127">
        <f t="shared" si="22"/>
        <v>444580.66666666669</v>
      </c>
      <c r="AF25" s="127">
        <f t="shared" si="22"/>
        <v>444580.66666666669</v>
      </c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8">
        <f t="shared" si="5"/>
        <v>5334968</v>
      </c>
      <c r="AW25" s="128">
        <f t="shared" si="6"/>
        <v>5334968</v>
      </c>
      <c r="AX25" s="128">
        <f t="shared" si="7"/>
        <v>0</v>
      </c>
    </row>
    <row r="26" spans="1:50" ht="26.25" customHeight="1" x14ac:dyDescent="0.25">
      <c r="A26" s="190" t="str">
        <f>'Phase II Financial'!A85</f>
        <v>Additional Contingency</v>
      </c>
      <c r="B26" s="143">
        <f>'Phase II Financial'!C85</f>
        <v>1306150.125</v>
      </c>
      <c r="C26" s="142">
        <v>0</v>
      </c>
      <c r="D26" s="142">
        <v>0</v>
      </c>
      <c r="E26" s="142">
        <v>0</v>
      </c>
      <c r="F26" s="142"/>
      <c r="G26" s="142">
        <v>0</v>
      </c>
      <c r="H26" s="142">
        <v>0</v>
      </c>
      <c r="I26" s="142">
        <v>0</v>
      </c>
      <c r="J26" s="142">
        <v>0</v>
      </c>
      <c r="K26" s="142">
        <f t="shared" ref="K26:AF26" si="23">$B26*K4</f>
        <v>0</v>
      </c>
      <c r="L26" s="142">
        <f t="shared" si="23"/>
        <v>0</v>
      </c>
      <c r="M26" s="142">
        <f t="shared" si="23"/>
        <v>0</v>
      </c>
      <c r="N26" s="142">
        <f t="shared" si="23"/>
        <v>0</v>
      </c>
      <c r="O26" s="142">
        <f t="shared" si="23"/>
        <v>0</v>
      </c>
      <c r="P26" s="142">
        <f t="shared" si="23"/>
        <v>0</v>
      </c>
      <c r="Q26" s="142">
        <f t="shared" si="23"/>
        <v>0</v>
      </c>
      <c r="R26" s="142">
        <f t="shared" si="23"/>
        <v>0</v>
      </c>
      <c r="S26" s="142">
        <f t="shared" si="23"/>
        <v>0</v>
      </c>
      <c r="T26" s="142">
        <f t="shared" si="23"/>
        <v>0</v>
      </c>
      <c r="U26" s="142">
        <f t="shared" si="23"/>
        <v>65307.506250000006</v>
      </c>
      <c r="V26" s="142">
        <f t="shared" si="23"/>
        <v>65307.506250000006</v>
      </c>
      <c r="W26" s="142">
        <f t="shared" si="23"/>
        <v>130615.01250000001</v>
      </c>
      <c r="X26" s="142">
        <f t="shared" si="23"/>
        <v>130615.01250000001</v>
      </c>
      <c r="Y26" s="142">
        <f t="shared" si="23"/>
        <v>130615.01250000001</v>
      </c>
      <c r="Z26" s="142">
        <f t="shared" si="23"/>
        <v>130615.01250000001</v>
      </c>
      <c r="AA26" s="142">
        <f t="shared" si="23"/>
        <v>195922.51874999999</v>
      </c>
      <c r="AB26" s="142">
        <f t="shared" si="23"/>
        <v>195922.51874999999</v>
      </c>
      <c r="AC26" s="142">
        <f t="shared" si="23"/>
        <v>65307.506250000006</v>
      </c>
      <c r="AD26" s="142">
        <f t="shared" si="23"/>
        <v>65307.506250000006</v>
      </c>
      <c r="AE26" s="142">
        <f t="shared" si="23"/>
        <v>65307.506250000006</v>
      </c>
      <c r="AF26" s="142">
        <f t="shared" si="23"/>
        <v>65307.506250000006</v>
      </c>
      <c r="AG26" s="142"/>
      <c r="AH26" s="142"/>
      <c r="AI26" s="142"/>
      <c r="AJ26" s="142"/>
      <c r="AK26" s="142"/>
      <c r="AL26" s="142"/>
      <c r="AM26" s="191"/>
      <c r="AN26" s="191"/>
      <c r="AO26" s="191"/>
      <c r="AP26" s="191"/>
      <c r="AQ26" s="192"/>
      <c r="AR26" s="192"/>
      <c r="AS26" s="192"/>
      <c r="AT26" s="192"/>
      <c r="AU26" s="192"/>
      <c r="AV26" s="128">
        <f t="shared" si="5"/>
        <v>1306150.1250000005</v>
      </c>
      <c r="AW26" s="128">
        <f t="shared" si="6"/>
        <v>1306150.125</v>
      </c>
      <c r="AX26" s="128">
        <f t="shared" si="7"/>
        <v>0</v>
      </c>
    </row>
    <row r="27" spans="1:50" ht="12" customHeight="1" x14ac:dyDescent="0.25">
      <c r="A27" s="275" t="str">
        <f>'Phase I Financial'!A77</f>
        <v>Total Project Cost</v>
      </c>
      <c r="B27" s="276">
        <f t="shared" ref="B27:AH27" si="24">SUM(B5:B26)</f>
        <v>177764227.05757365</v>
      </c>
      <c r="C27" s="277">
        <f t="shared" si="24"/>
        <v>0</v>
      </c>
      <c r="D27" s="277">
        <f t="shared" si="24"/>
        <v>0</v>
      </c>
      <c r="E27" s="277">
        <f t="shared" si="24"/>
        <v>1597166.105</v>
      </c>
      <c r="F27" s="277">
        <f t="shared" si="24"/>
        <v>1197166.105</v>
      </c>
      <c r="G27" s="277">
        <f t="shared" si="24"/>
        <v>415722.03500000003</v>
      </c>
      <c r="H27" s="277">
        <f t="shared" si="24"/>
        <v>875722.03500000003</v>
      </c>
      <c r="I27" s="277">
        <f t="shared" si="24"/>
        <v>242861.01750000002</v>
      </c>
      <c r="J27" s="277">
        <f t="shared" si="24"/>
        <v>253144.40700000001</v>
      </c>
      <c r="K27" s="277">
        <f t="shared" si="24"/>
        <v>1673318.4070000001</v>
      </c>
      <c r="L27" s="277">
        <f t="shared" si="24"/>
        <v>778839.92897802196</v>
      </c>
      <c r="M27" s="277">
        <f t="shared" si="24"/>
        <v>73144.407000000007</v>
      </c>
      <c r="N27" s="277">
        <f t="shared" si="24"/>
        <v>289811.07366666663</v>
      </c>
      <c r="O27" s="277">
        <f t="shared" si="24"/>
        <v>36572.203500000003</v>
      </c>
      <c r="P27" s="277">
        <f t="shared" si="24"/>
        <v>361572.2035</v>
      </c>
      <c r="Q27" s="277">
        <f t="shared" si="24"/>
        <v>36572.203500000003</v>
      </c>
      <c r="R27" s="277">
        <f t="shared" si="24"/>
        <v>253238.87016666666</v>
      </c>
      <c r="S27" s="277">
        <f t="shared" si="24"/>
        <v>36572.203500000003</v>
      </c>
      <c r="T27" s="277">
        <f t="shared" si="24"/>
        <v>12844080</v>
      </c>
      <c r="U27" s="277">
        <f t="shared" si="24"/>
        <v>30056722.564232022</v>
      </c>
      <c r="V27" s="277">
        <f t="shared" si="24"/>
        <v>10316661.496126393</v>
      </c>
      <c r="W27" s="277">
        <f t="shared" si="24"/>
        <v>15228657.873286992</v>
      </c>
      <c r="X27" s="277">
        <f t="shared" si="24"/>
        <v>15228657.873286992</v>
      </c>
      <c r="Y27" s="277">
        <f t="shared" si="24"/>
        <v>11383082.873286992</v>
      </c>
      <c r="Z27" s="277">
        <f t="shared" si="24"/>
        <v>11383082.873286992</v>
      </c>
      <c r="AA27" s="277">
        <f t="shared" si="24"/>
        <v>16544245.91711426</v>
      </c>
      <c r="AB27" s="277">
        <f t="shared" si="24"/>
        <v>16544245.91711426</v>
      </c>
      <c r="AC27" s="277">
        <f t="shared" si="24"/>
        <v>6221919.8294597268</v>
      </c>
      <c r="AD27" s="277">
        <f t="shared" si="24"/>
        <v>6221919.8294597268</v>
      </c>
      <c r="AE27" s="277">
        <f t="shared" si="24"/>
        <v>7412982.3294597268</v>
      </c>
      <c r="AF27" s="277">
        <f t="shared" si="24"/>
        <v>7412982.3294597268</v>
      </c>
      <c r="AG27" s="277">
        <f t="shared" si="24"/>
        <v>1852576.9003442496</v>
      </c>
      <c r="AH27" s="277">
        <f t="shared" si="24"/>
        <v>990985.2463442497</v>
      </c>
      <c r="AI27" s="277"/>
      <c r="AJ27" s="277"/>
      <c r="AK27" s="277"/>
      <c r="AL27" s="277"/>
      <c r="AM27" s="277"/>
      <c r="AN27" s="277"/>
      <c r="AO27" s="277"/>
      <c r="AP27" s="277"/>
      <c r="AQ27" s="277"/>
      <c r="AR27" s="278"/>
      <c r="AS27" s="193"/>
      <c r="AT27" s="193"/>
      <c r="AU27" s="193"/>
      <c r="AV27" s="194">
        <f>SUM(AV5:AV26)</f>
        <v>177764227.05757365</v>
      </c>
      <c r="AW27" s="195">
        <f>SUM(AW5:AW26)</f>
        <v>177764227.05757365</v>
      </c>
      <c r="AX27" s="263"/>
    </row>
    <row r="28" spans="1:50" ht="12" customHeight="1" x14ac:dyDescent="0.25">
      <c r="A28" s="145" t="s">
        <v>481</v>
      </c>
      <c r="B28" s="196">
        <f>'Phase II Financial'!B94</f>
        <v>0</v>
      </c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97"/>
      <c r="AW28" s="167"/>
      <c r="AX28" s="263"/>
    </row>
    <row r="29" spans="1:50" ht="12" customHeight="1" x14ac:dyDescent="0.25">
      <c r="A29" s="147" t="s">
        <v>482</v>
      </c>
      <c r="B29" s="198">
        <f>B27+B28</f>
        <v>177764227.05757365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59"/>
      <c r="AA29" s="159"/>
      <c r="AB29" s="159"/>
      <c r="AC29" s="159"/>
      <c r="AD29" s="159"/>
      <c r="AE29" s="159"/>
      <c r="AF29" s="159"/>
      <c r="AG29" s="159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49"/>
    </row>
    <row r="30" spans="1:50" ht="12" customHeight="1" x14ac:dyDescent="0.25">
      <c r="A30" s="150" t="s">
        <v>483</v>
      </c>
      <c r="B30" s="151">
        <f>SUM(C30:AR30)</f>
        <v>54969577.987864628</v>
      </c>
      <c r="C30" s="128">
        <f>C27</f>
        <v>0</v>
      </c>
      <c r="D30" s="128">
        <f t="shared" ref="D30:AH30" si="25">IF(C31+D27&lt;=$B$31,D27,($B$31-C31))</f>
        <v>0</v>
      </c>
      <c r="E30" s="128">
        <f t="shared" si="25"/>
        <v>1597166.105</v>
      </c>
      <c r="F30" s="128">
        <f t="shared" si="25"/>
        <v>1197166.105</v>
      </c>
      <c r="G30" s="128">
        <f t="shared" si="25"/>
        <v>415722.03500000003</v>
      </c>
      <c r="H30" s="128">
        <f t="shared" si="25"/>
        <v>875722.03500000003</v>
      </c>
      <c r="I30" s="128">
        <f t="shared" si="25"/>
        <v>242861.01750000002</v>
      </c>
      <c r="J30" s="128">
        <f t="shared" si="25"/>
        <v>253144.40700000001</v>
      </c>
      <c r="K30" s="128">
        <f t="shared" si="25"/>
        <v>1673318.4070000001</v>
      </c>
      <c r="L30" s="128">
        <f t="shared" si="25"/>
        <v>778839.92897802196</v>
      </c>
      <c r="M30" s="128">
        <f t="shared" si="25"/>
        <v>73144.407000000007</v>
      </c>
      <c r="N30" s="128">
        <f t="shared" si="25"/>
        <v>289811.07366666663</v>
      </c>
      <c r="O30" s="128">
        <f t="shared" si="25"/>
        <v>36572.203500000003</v>
      </c>
      <c r="P30" s="128">
        <f t="shared" si="25"/>
        <v>361572.2035</v>
      </c>
      <c r="Q30" s="128">
        <f t="shared" si="25"/>
        <v>36572.203500000003</v>
      </c>
      <c r="R30" s="128">
        <f t="shared" si="25"/>
        <v>253238.87016666666</v>
      </c>
      <c r="S30" s="128">
        <f t="shared" si="25"/>
        <v>36572.203500000003</v>
      </c>
      <c r="T30" s="128">
        <f t="shared" si="25"/>
        <v>12844080</v>
      </c>
      <c r="U30" s="128">
        <f t="shared" si="25"/>
        <v>30056722.564232022</v>
      </c>
      <c r="V30" s="128">
        <f t="shared" si="25"/>
        <v>3947352.2183212489</v>
      </c>
      <c r="W30" s="128">
        <f t="shared" si="25"/>
        <v>0</v>
      </c>
      <c r="X30" s="128">
        <f t="shared" si="25"/>
        <v>0</v>
      </c>
      <c r="Y30" s="128">
        <f t="shared" si="25"/>
        <v>0</v>
      </c>
      <c r="Z30" s="128">
        <f t="shared" si="25"/>
        <v>0</v>
      </c>
      <c r="AA30" s="128">
        <f t="shared" si="25"/>
        <v>0</v>
      </c>
      <c r="AB30" s="128">
        <f t="shared" si="25"/>
        <v>0</v>
      </c>
      <c r="AC30" s="128">
        <f t="shared" si="25"/>
        <v>0</v>
      </c>
      <c r="AD30" s="128">
        <f t="shared" si="25"/>
        <v>0</v>
      </c>
      <c r="AE30" s="128">
        <f t="shared" si="25"/>
        <v>0</v>
      </c>
      <c r="AF30" s="128">
        <f t="shared" si="25"/>
        <v>0</v>
      </c>
      <c r="AG30" s="128">
        <f t="shared" si="25"/>
        <v>0</v>
      </c>
      <c r="AH30" s="128">
        <f t="shared" si="25"/>
        <v>0</v>
      </c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52"/>
      <c r="AT30" s="152"/>
      <c r="AU30" s="152"/>
      <c r="AV30" s="152"/>
      <c r="AW30" s="152"/>
      <c r="AX30" s="152"/>
    </row>
    <row r="31" spans="1:50" ht="12" customHeight="1" x14ac:dyDescent="0.25">
      <c r="A31" s="259" t="s">
        <v>484</v>
      </c>
      <c r="B31" s="153">
        <f>'Phase II Financial'!B101</f>
        <v>54969577.987864628</v>
      </c>
      <c r="C31" s="128">
        <f>C30</f>
        <v>0</v>
      </c>
      <c r="D31" s="128">
        <f>IF(SUM($C$30:D30)&lt;=$B31,SUM($C$30:D30),0)</f>
        <v>0</v>
      </c>
      <c r="E31" s="128">
        <f>IF(SUM($C$30:E30)&lt;=$B31,SUM($C$30:E30),0)</f>
        <v>1597166.105</v>
      </c>
      <c r="F31" s="128">
        <f>IF(SUM($C$30:F30)&lt;=$B31,SUM($C$30:F30),0)</f>
        <v>2794332.21</v>
      </c>
      <c r="G31" s="128">
        <f>IF(SUM($C$30:G30)&lt;=$B31,SUM($C$30:G30),0)</f>
        <v>3210054.2450000001</v>
      </c>
      <c r="H31" s="128">
        <f>IF(SUM($C$30:H30)&lt;=$B31,SUM($C$30:H30),0)</f>
        <v>4085776.2800000003</v>
      </c>
      <c r="I31" s="128">
        <f>IF(SUM($C$30:I30)&lt;=$B31,SUM($C$30:I30),0)</f>
        <v>4328637.2975000003</v>
      </c>
      <c r="J31" s="128">
        <f>IF(SUM($C$30:J30)&lt;=$B31,SUM($C$30:J30),0)</f>
        <v>4581781.7045</v>
      </c>
      <c r="K31" s="128">
        <f>IF(SUM($C$30:K30)&lt;=$B31,SUM($C$30:K30),0)</f>
        <v>6255100.1115000006</v>
      </c>
      <c r="L31" s="128">
        <f>IF(SUM($C$30:L30)&lt;=$B31,SUM($C$30:L30),0)</f>
        <v>7033940.0404780228</v>
      </c>
      <c r="M31" s="128">
        <f>IF(SUM($C$30:M30)&lt;=$B31,SUM($C$30:M30),0)</f>
        <v>7107084.4474780224</v>
      </c>
      <c r="N31" s="128">
        <f>IF(SUM($C$30:N30)&lt;=$B31,SUM($C$30:N30),0)</f>
        <v>7396895.5211446891</v>
      </c>
      <c r="O31" s="128">
        <f>IF(SUM($C$30:O30)&lt;=$B31,SUM($C$30:O30),0)</f>
        <v>7433467.7246446889</v>
      </c>
      <c r="P31" s="128">
        <f>IF(SUM($C$30:P30)&lt;=$B31,SUM($C$30:P30),0)</f>
        <v>7795039.9281446887</v>
      </c>
      <c r="Q31" s="128">
        <f>IF(SUM($C$30:Q30)&lt;=$B31,SUM($C$30:Q30),0)</f>
        <v>7831612.1316446885</v>
      </c>
      <c r="R31" s="128">
        <f>IF(SUM($C$30:R30)&lt;=$B31,SUM($C$30:R30),0)</f>
        <v>8084851.0018113554</v>
      </c>
      <c r="S31" s="128">
        <f>IF(SUM($C$30:S30)&lt;=$B31,SUM($C$30:S30),0)</f>
        <v>8121423.2053113552</v>
      </c>
      <c r="T31" s="128">
        <f>IF(SUM($C$30:T30)&lt;=$B31,SUM($C$30:T30),0)</f>
        <v>20965503.205311354</v>
      </c>
      <c r="U31" s="128">
        <f>IF(SUM($C$30:U30)&lt;=$B31,SUM($C$30:U30),0)</f>
        <v>51022225.76954338</v>
      </c>
      <c r="V31" s="128">
        <f>IF(SUM($C$30:V30)&lt;=$B31,SUM($C$30:V30),0)</f>
        <v>54969577.987864628</v>
      </c>
      <c r="W31" s="128">
        <f>IF(SUM($C$30:W30)&lt;=$B31,SUM($C$30:W30),0)</f>
        <v>54969577.987864628</v>
      </c>
      <c r="X31" s="168">
        <f>IF(SUM($C$30:X30)&lt;=$B31,SUM($C$30:X30),0)</f>
        <v>54969577.987864628</v>
      </c>
      <c r="Y31" s="168">
        <f>IF(SUM($C$30:Y30)&lt;=$B31,SUM($C$30:Y30),0)</f>
        <v>54969577.987864628</v>
      </c>
      <c r="Z31" s="168">
        <f>IF(SUM($C$30:Z30)&lt;=$B31,SUM($C$30:Z30),0)</f>
        <v>54969577.987864628</v>
      </c>
      <c r="AA31" s="168">
        <f>IF(SUM($C$30:AA30)&lt;=$B31,SUM($C$30:AA30),0)</f>
        <v>54969577.987864628</v>
      </c>
      <c r="AB31" s="168">
        <f>IF(SUM($C$30:AB30)&lt;=$B31,SUM($C$30:AB30),0)</f>
        <v>54969577.987864628</v>
      </c>
      <c r="AC31" s="168">
        <f>IF(SUM($C$30:AC30)&lt;=$B31,SUM($C$30:AC30),0)</f>
        <v>54969577.987864628</v>
      </c>
      <c r="AD31" s="168">
        <f>IF(SUM($C$30:AD30)&lt;=$B31,SUM($C$30:AD30),0)</f>
        <v>54969577.987864628</v>
      </c>
      <c r="AE31" s="168">
        <f>IF(SUM($C$30:AE30)&lt;=$B31,SUM($C$30:AE30),0)</f>
        <v>54969577.987864628</v>
      </c>
      <c r="AF31" s="168">
        <f>IF(SUM($C$30:AF30)&lt;=$B31,SUM($C$30:AF30),0)</f>
        <v>54969577.987864628</v>
      </c>
      <c r="AG31" s="168">
        <f>IF(SUM($C$30:AG30)&lt;=$B31,SUM($C$30:AG30),0)</f>
        <v>54969577.987864628</v>
      </c>
      <c r="AH31" s="168">
        <f>IF(SUM($C$30:AH30)&lt;=$B31,SUM($C$30:AH30),0)</f>
        <v>54969577.987864628</v>
      </c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52"/>
      <c r="AT31" s="152"/>
      <c r="AU31" s="152"/>
      <c r="AV31" s="152"/>
      <c r="AW31" s="152"/>
      <c r="AX31" s="152"/>
    </row>
    <row r="32" spans="1:50" ht="12" customHeight="1" x14ac:dyDescent="0.25">
      <c r="A32" s="81" t="s">
        <v>485</v>
      </c>
      <c r="B32" s="154">
        <f>'Phase II Financial'!B96</f>
        <v>106658536.23454419</v>
      </c>
      <c r="C32" s="264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264"/>
      <c r="AT32" s="264"/>
      <c r="AU32" s="264"/>
      <c r="AV32" s="264"/>
      <c r="AW32" s="264"/>
      <c r="AX32" s="152"/>
    </row>
    <row r="33" spans="1:52" ht="12" customHeight="1" x14ac:dyDescent="0.25">
      <c r="A33" s="156" t="s">
        <v>486</v>
      </c>
      <c r="B33" s="157">
        <f>PMT(0.055,30,(B32))</f>
        <v>-7338682.1482511051</v>
      </c>
      <c r="C33" s="264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264"/>
      <c r="AT33" s="264"/>
      <c r="AU33" s="264"/>
      <c r="AV33" s="264"/>
      <c r="AW33" s="264"/>
      <c r="AX33" s="152"/>
    </row>
    <row r="34" spans="1:52" ht="12" customHeight="1" x14ac:dyDescent="0.25">
      <c r="A34" s="265" t="s">
        <v>487</v>
      </c>
      <c r="B34" s="158">
        <f>SUM(C34:AV34)</f>
        <v>0</v>
      </c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59"/>
      <c r="AW34" s="264"/>
      <c r="AX34" s="152"/>
    </row>
    <row r="35" spans="1:52" ht="12" customHeight="1" x14ac:dyDescent="0.25">
      <c r="A35" s="1113" t="s">
        <v>488</v>
      </c>
      <c r="B35" s="1089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94"/>
      <c r="AT35" s="94"/>
      <c r="AU35" s="94"/>
      <c r="AV35" s="159"/>
      <c r="AW35" s="155"/>
      <c r="AX35" s="152"/>
    </row>
    <row r="36" spans="1:52" ht="12" customHeight="1" x14ac:dyDescent="0.25">
      <c r="A36" s="150" t="s">
        <v>489</v>
      </c>
      <c r="B36" s="151">
        <f>'Phase II Financial'!B108+'Phase II Financial'!B109</f>
        <v>127963263.76545581</v>
      </c>
      <c r="C36" s="159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99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279"/>
      <c r="AT36" s="279"/>
      <c r="AU36" s="279"/>
      <c r="AV36" s="1"/>
      <c r="AW36" s="161"/>
      <c r="AX36" s="162"/>
    </row>
    <row r="37" spans="1:52" ht="12" customHeight="1" x14ac:dyDescent="0.25">
      <c r="A37" s="150" t="s">
        <v>514</v>
      </c>
      <c r="B37" s="163">
        <f>SUM(C37:AU37)</f>
        <v>72993685.777591184</v>
      </c>
      <c r="C37" s="164">
        <f t="shared" ref="C37:W37" si="26">-C30</f>
        <v>0</v>
      </c>
      <c r="D37" s="164">
        <f t="shared" si="26"/>
        <v>0</v>
      </c>
      <c r="E37" s="164">
        <f t="shared" si="26"/>
        <v>-1597166.105</v>
      </c>
      <c r="F37" s="164">
        <f t="shared" si="26"/>
        <v>-1197166.105</v>
      </c>
      <c r="G37" s="164">
        <f t="shared" si="26"/>
        <v>-415722.03500000003</v>
      </c>
      <c r="H37" s="164">
        <f t="shared" si="26"/>
        <v>-875722.03500000003</v>
      </c>
      <c r="I37" s="164">
        <f t="shared" si="26"/>
        <v>-242861.01750000002</v>
      </c>
      <c r="J37" s="164">
        <f t="shared" si="26"/>
        <v>-253144.40700000001</v>
      </c>
      <c r="K37" s="164">
        <f t="shared" si="26"/>
        <v>-1673318.4070000001</v>
      </c>
      <c r="L37" s="164">
        <f t="shared" si="26"/>
        <v>-778839.92897802196</v>
      </c>
      <c r="M37" s="164">
        <f t="shared" si="26"/>
        <v>-73144.407000000007</v>
      </c>
      <c r="N37" s="164">
        <f t="shared" si="26"/>
        <v>-289811.07366666663</v>
      </c>
      <c r="O37" s="164">
        <f t="shared" si="26"/>
        <v>-36572.203500000003</v>
      </c>
      <c r="P37" s="164">
        <f t="shared" si="26"/>
        <v>-361572.2035</v>
      </c>
      <c r="Q37" s="164">
        <f t="shared" si="26"/>
        <v>-36572.203500000003</v>
      </c>
      <c r="R37" s="164">
        <f t="shared" si="26"/>
        <v>-253238.87016666666</v>
      </c>
      <c r="S37" s="164">
        <f t="shared" si="26"/>
        <v>-36572.203500000003</v>
      </c>
      <c r="T37" s="164">
        <f t="shared" si="26"/>
        <v>-12844080</v>
      </c>
      <c r="U37" s="164">
        <f t="shared" si="26"/>
        <v>-30056722.564232022</v>
      </c>
      <c r="V37" s="164">
        <f t="shared" si="26"/>
        <v>-3947352.2183212489</v>
      </c>
      <c r="W37" s="164">
        <f t="shared" si="26"/>
        <v>0</v>
      </c>
      <c r="X37" s="164">
        <f t="shared" ref="X37:AG37" si="27">-X30</f>
        <v>0</v>
      </c>
      <c r="Y37" s="164">
        <f t="shared" si="27"/>
        <v>0</v>
      </c>
      <c r="Z37" s="164">
        <f t="shared" si="27"/>
        <v>0</v>
      </c>
      <c r="AA37" s="164">
        <f t="shared" si="27"/>
        <v>0</v>
      </c>
      <c r="AB37" s="164">
        <f t="shared" si="27"/>
        <v>0</v>
      </c>
      <c r="AC37" s="164">
        <f t="shared" si="27"/>
        <v>0</v>
      </c>
      <c r="AD37" s="164">
        <f t="shared" si="27"/>
        <v>0</v>
      </c>
      <c r="AE37" s="164">
        <f t="shared" si="27"/>
        <v>0</v>
      </c>
      <c r="AF37" s="164">
        <f t="shared" si="27"/>
        <v>0</v>
      </c>
      <c r="AG37" s="164">
        <f t="shared" si="27"/>
        <v>0</v>
      </c>
      <c r="AH37" s="165">
        <f>B36</f>
        <v>127963263.76545581</v>
      </c>
      <c r="AI37" s="164"/>
      <c r="AJ37" s="164"/>
      <c r="AK37" s="200"/>
      <c r="AL37" s="201"/>
      <c r="AM37" s="201"/>
      <c r="AN37" s="201"/>
      <c r="AO37" s="201"/>
      <c r="AP37" s="201"/>
      <c r="AQ37" s="201"/>
      <c r="AR37" s="201"/>
      <c r="AS37" s="280"/>
      <c r="AT37" s="280"/>
      <c r="AU37" s="280"/>
      <c r="AV37" s="202"/>
      <c r="AW37" s="164"/>
      <c r="AX37" s="128"/>
    </row>
    <row r="38" spans="1:52" ht="12" customHeight="1" x14ac:dyDescent="0.25">
      <c r="A38" s="150" t="s">
        <v>515</v>
      </c>
      <c r="B38" s="166">
        <f>IF(B37&lt;0,0,IRR(C37:AIW37))</f>
        <v>5.5923632581844407E-2</v>
      </c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"/>
      <c r="AW38" s="167"/>
      <c r="AX38" s="168"/>
    </row>
    <row r="39" spans="1:52" ht="12" customHeight="1" x14ac:dyDescent="0.25">
      <c r="A39" s="137" t="s">
        <v>492</v>
      </c>
      <c r="B39" s="203">
        <f>POWER((1+B38),4)-1</f>
        <v>0.24316862143317586</v>
      </c>
      <c r="C39" s="1"/>
      <c r="D39" s="1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1"/>
      <c r="Q39" s="170"/>
      <c r="R39" s="170"/>
      <c r="S39" s="170"/>
      <c r="T39" s="170"/>
      <c r="U39" s="170"/>
      <c r="V39" s="171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204"/>
      <c r="AS39" s="204"/>
      <c r="AT39" s="204"/>
      <c r="AU39" s="204"/>
      <c r="AV39" s="170"/>
      <c r="AW39" s="170"/>
      <c r="AX39" s="172"/>
    </row>
    <row r="40" spans="1:52" ht="12" customHeight="1" x14ac:dyDescent="0.25">
      <c r="A40" s="1113" t="s">
        <v>493</v>
      </c>
      <c r="B40" s="1114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37"/>
      <c r="AY40" s="2"/>
      <c r="AZ40" s="2"/>
    </row>
    <row r="41" spans="1:52" ht="12" customHeight="1" x14ac:dyDescent="0.25">
      <c r="A41" s="150" t="s">
        <v>494</v>
      </c>
      <c r="B41" s="205">
        <f>'Phase II Financial'!B108-B28</f>
        <v>234621800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55"/>
      <c r="N41" s="1"/>
      <c r="O41" s="1"/>
      <c r="P41" s="1"/>
      <c r="Q41" s="1"/>
      <c r="R41" s="1"/>
      <c r="S41" s="155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37"/>
      <c r="AY41" s="2"/>
      <c r="AZ41" s="2"/>
    </row>
    <row r="42" spans="1:52" ht="12" customHeight="1" x14ac:dyDescent="0.25">
      <c r="A42" s="150" t="s">
        <v>516</v>
      </c>
      <c r="B42" s="163">
        <f>SUM(C42:AU42)</f>
        <v>56857572.942426354</v>
      </c>
      <c r="C42" s="128">
        <f t="shared" ref="C42:W42" si="28">-C27</f>
        <v>0</v>
      </c>
      <c r="D42" s="128">
        <f t="shared" si="28"/>
        <v>0</v>
      </c>
      <c r="E42" s="128">
        <f t="shared" si="28"/>
        <v>-1597166.105</v>
      </c>
      <c r="F42" s="128">
        <f t="shared" si="28"/>
        <v>-1197166.105</v>
      </c>
      <c r="G42" s="128">
        <f t="shared" si="28"/>
        <v>-415722.03500000003</v>
      </c>
      <c r="H42" s="128">
        <f t="shared" si="28"/>
        <v>-875722.03500000003</v>
      </c>
      <c r="I42" s="128">
        <f t="shared" si="28"/>
        <v>-242861.01750000002</v>
      </c>
      <c r="J42" s="128">
        <f t="shared" si="28"/>
        <v>-253144.40700000001</v>
      </c>
      <c r="K42" s="128">
        <f t="shared" si="28"/>
        <v>-1673318.4070000001</v>
      </c>
      <c r="L42" s="128">
        <f t="shared" si="28"/>
        <v>-778839.92897802196</v>
      </c>
      <c r="M42" s="128">
        <f t="shared" si="28"/>
        <v>-73144.407000000007</v>
      </c>
      <c r="N42" s="128">
        <f t="shared" si="28"/>
        <v>-289811.07366666663</v>
      </c>
      <c r="O42" s="128">
        <f t="shared" si="28"/>
        <v>-36572.203500000003</v>
      </c>
      <c r="P42" s="128">
        <f t="shared" si="28"/>
        <v>-361572.2035</v>
      </c>
      <c r="Q42" s="128">
        <f t="shared" si="28"/>
        <v>-36572.203500000003</v>
      </c>
      <c r="R42" s="128">
        <f t="shared" si="28"/>
        <v>-253238.87016666666</v>
      </c>
      <c r="S42" s="128">
        <f t="shared" si="28"/>
        <v>-36572.203500000003</v>
      </c>
      <c r="T42" s="128">
        <f t="shared" si="28"/>
        <v>-12844080</v>
      </c>
      <c r="U42" s="128">
        <f t="shared" si="28"/>
        <v>-30056722.564232022</v>
      </c>
      <c r="V42" s="128">
        <f t="shared" si="28"/>
        <v>-10316661.496126393</v>
      </c>
      <c r="W42" s="128">
        <f t="shared" si="28"/>
        <v>-15228657.873286992</v>
      </c>
      <c r="X42" s="128">
        <f>-X27</f>
        <v>-15228657.873286992</v>
      </c>
      <c r="Y42" s="128">
        <f t="shared" ref="Y42:AR42" si="29">IF(Y31&gt;=$B$31,-(Y27+Y37),Y37)</f>
        <v>-11383082.873286992</v>
      </c>
      <c r="Z42" s="128">
        <f t="shared" si="29"/>
        <v>-11383082.873286992</v>
      </c>
      <c r="AA42" s="128">
        <f t="shared" si="29"/>
        <v>-16544245.91711426</v>
      </c>
      <c r="AB42" s="128">
        <f t="shared" si="29"/>
        <v>-16544245.91711426</v>
      </c>
      <c r="AC42" s="128">
        <f t="shared" si="29"/>
        <v>-6221919.8294597268</v>
      </c>
      <c r="AD42" s="128">
        <f t="shared" si="29"/>
        <v>-6221919.8294597268</v>
      </c>
      <c r="AE42" s="128">
        <f t="shared" si="29"/>
        <v>-7412982.3294597268</v>
      </c>
      <c r="AF42" s="128">
        <f t="shared" si="29"/>
        <v>-7412982.3294597268</v>
      </c>
      <c r="AG42" s="128">
        <f t="shared" si="29"/>
        <v>-1852576.9003442496</v>
      </c>
      <c r="AH42" s="168">
        <f>-AH27+B41</f>
        <v>233630814.75365576</v>
      </c>
      <c r="AI42" s="128">
        <f t="shared" si="29"/>
        <v>0</v>
      </c>
      <c r="AJ42" s="128">
        <f t="shared" si="29"/>
        <v>0</v>
      </c>
      <c r="AK42" s="128">
        <f t="shared" si="29"/>
        <v>0</v>
      </c>
      <c r="AL42" s="128">
        <f t="shared" si="29"/>
        <v>0</v>
      </c>
      <c r="AM42" s="128">
        <f t="shared" si="29"/>
        <v>0</v>
      </c>
      <c r="AN42" s="128">
        <f t="shared" si="29"/>
        <v>0</v>
      </c>
      <c r="AO42" s="128">
        <f t="shared" si="29"/>
        <v>0</v>
      </c>
      <c r="AP42" s="128">
        <f t="shared" si="29"/>
        <v>0</v>
      </c>
      <c r="AQ42" s="128">
        <f t="shared" si="29"/>
        <v>0</v>
      </c>
      <c r="AR42" s="128">
        <f t="shared" si="29"/>
        <v>0</v>
      </c>
      <c r="AS42" s="128"/>
      <c r="AT42" s="128"/>
      <c r="AU42" s="128"/>
      <c r="AV42" s="206"/>
      <c r="AW42" s="137"/>
      <c r="AX42" s="137"/>
      <c r="AY42" s="2"/>
      <c r="AZ42" s="2"/>
    </row>
    <row r="43" spans="1:52" ht="12" customHeight="1" x14ac:dyDescent="0.25">
      <c r="A43" s="150" t="s">
        <v>517</v>
      </c>
      <c r="B43" s="166">
        <f>IF(B42&lt;0,0,IRR(C42:AU42))</f>
        <v>2.8064076065525967E-2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37"/>
      <c r="AY43" s="2"/>
      <c r="AZ43" s="2"/>
    </row>
    <row r="44" spans="1:52" ht="12" customHeight="1" x14ac:dyDescent="0.25">
      <c r="A44" s="137" t="s">
        <v>518</v>
      </c>
      <c r="B44" s="169">
        <f>POWER((1+B43),4)-1</f>
        <v>0.11707089096451395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37"/>
      <c r="AY44" s="2"/>
      <c r="AZ44" s="2"/>
    </row>
    <row r="45" spans="1:52" ht="12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2" customHeight="1" x14ac:dyDescent="0.25">
      <c r="A46" s="2"/>
      <c r="B46" s="36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 ht="12" customHeight="1" x14ac:dyDescent="0.25">
      <c r="A47" s="2"/>
      <c r="B47" s="2"/>
      <c r="C47" s="36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 ht="12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 ht="12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 ht="12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 ht="12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 ht="12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81"/>
      <c r="AC52" s="2"/>
      <c r="AD52" s="2"/>
      <c r="AE52" s="281"/>
      <c r="AF52" s="2"/>
      <c r="AG52" s="2"/>
      <c r="AH52" s="2"/>
      <c r="AI52" s="28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 ht="12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81"/>
      <c r="AC53" s="2"/>
      <c r="AD53" s="2"/>
      <c r="AE53" s="281"/>
      <c r="AF53" s="2"/>
      <c r="AG53" s="2"/>
      <c r="AH53" s="2"/>
      <c r="AI53" s="28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ht="12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81"/>
      <c r="AC54" s="2"/>
      <c r="AD54" s="2"/>
      <c r="AE54" s="281"/>
      <c r="AF54" s="2"/>
      <c r="AG54" s="2"/>
      <c r="AH54" s="2"/>
      <c r="AI54" s="28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 ht="12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81"/>
      <c r="AC55" s="2"/>
      <c r="AD55" s="2"/>
      <c r="AE55" s="281"/>
      <c r="AF55" s="2"/>
      <c r="AG55" s="2"/>
      <c r="AH55" s="2"/>
      <c r="AI55" s="28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ht="12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81"/>
      <c r="AC56" s="2"/>
      <c r="AD56" s="2"/>
      <c r="AE56" s="281"/>
      <c r="AF56" s="2"/>
      <c r="AG56" s="2"/>
      <c r="AH56" s="2"/>
      <c r="AI56" s="28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ht="12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81"/>
      <c r="AC57" s="2"/>
      <c r="AD57" s="2"/>
      <c r="AE57" s="281"/>
      <c r="AF57" s="2"/>
      <c r="AG57" s="2"/>
      <c r="AH57" s="2"/>
      <c r="AI57" s="28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ht="12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81"/>
      <c r="AC58" s="2"/>
      <c r="AD58" s="2"/>
      <c r="AE58" s="281"/>
      <c r="AF58" s="2"/>
      <c r="AG58" s="2"/>
      <c r="AH58" s="2"/>
      <c r="AI58" s="28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ht="12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81"/>
      <c r="AC59" s="2"/>
      <c r="AD59" s="2"/>
      <c r="AE59" s="281"/>
      <c r="AF59" s="2"/>
      <c r="AG59" s="2"/>
      <c r="AH59" s="2"/>
      <c r="AI59" s="28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ht="12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81"/>
      <c r="AC60" s="2"/>
      <c r="AD60" s="2"/>
      <c r="AE60" s="281"/>
      <c r="AF60" s="2"/>
      <c r="AG60" s="2"/>
      <c r="AH60" s="2"/>
      <c r="AI60" s="28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ht="12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81"/>
      <c r="AC61" s="2"/>
      <c r="AD61" s="2"/>
      <c r="AE61" s="281"/>
      <c r="AF61" s="2"/>
      <c r="AG61" s="2"/>
      <c r="AH61" s="2"/>
      <c r="AI61" s="28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ht="12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81"/>
      <c r="AC62" s="2"/>
      <c r="AD62" s="2"/>
      <c r="AE62" s="281"/>
      <c r="AF62" s="2"/>
      <c r="AG62" s="2"/>
      <c r="AH62" s="2"/>
      <c r="AI62" s="28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ht="12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81"/>
      <c r="AC63" s="2"/>
      <c r="AD63" s="2"/>
      <c r="AE63" s="281"/>
      <c r="AF63" s="2"/>
      <c r="AG63" s="2"/>
      <c r="AH63" s="2"/>
      <c r="AI63" s="28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ht="12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81"/>
      <c r="AC64" s="2"/>
      <c r="AD64" s="2"/>
      <c r="AE64" s="281"/>
      <c r="AF64" s="2"/>
      <c r="AG64" s="2"/>
      <c r="AH64" s="2"/>
      <c r="AI64" s="28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ht="12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81"/>
      <c r="AC65" s="2"/>
      <c r="AD65" s="2"/>
      <c r="AE65" s="281"/>
      <c r="AF65" s="2"/>
      <c r="AG65" s="2"/>
      <c r="AH65" s="2"/>
      <c r="AI65" s="28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ht="12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81"/>
      <c r="AC66" s="2"/>
      <c r="AD66" s="2"/>
      <c r="AE66" s="281"/>
      <c r="AF66" s="2"/>
      <c r="AG66" s="2"/>
      <c r="AH66" s="2"/>
      <c r="AI66" s="28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ht="12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81"/>
      <c r="AC67" s="2"/>
      <c r="AD67" s="2"/>
      <c r="AE67" s="281"/>
      <c r="AF67" s="2"/>
      <c r="AG67" s="2"/>
      <c r="AH67" s="2"/>
      <c r="AI67" s="28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ht="12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81"/>
      <c r="AC68" s="2"/>
      <c r="AD68" s="2"/>
      <c r="AE68" s="281"/>
      <c r="AF68" s="2"/>
      <c r="AG68" s="2"/>
      <c r="AH68" s="2"/>
      <c r="AI68" s="28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12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81"/>
      <c r="AC69" s="2"/>
      <c r="AD69" s="2"/>
      <c r="AE69" s="281"/>
      <c r="AF69" s="2"/>
      <c r="AG69" s="2"/>
      <c r="AH69" s="2"/>
      <c r="AI69" s="28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12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81"/>
      <c r="AC70" s="2"/>
      <c r="AD70" s="2"/>
      <c r="AE70" s="281"/>
      <c r="AF70" s="2"/>
      <c r="AG70" s="2"/>
      <c r="AH70" s="2"/>
      <c r="AI70" s="28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ht="12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81"/>
      <c r="AC71" s="2"/>
      <c r="AD71" s="2"/>
      <c r="AE71" s="281"/>
      <c r="AF71" s="2"/>
      <c r="AG71" s="2"/>
      <c r="AH71" s="2"/>
      <c r="AI71" s="28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ht="12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81"/>
      <c r="AC72" s="2"/>
      <c r="AD72" s="2"/>
      <c r="AE72" s="281"/>
      <c r="AF72" s="2"/>
      <c r="AG72" s="2"/>
      <c r="AH72" s="2"/>
      <c r="AI72" s="28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ht="12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81"/>
      <c r="AC73" s="2"/>
      <c r="AD73" s="2"/>
      <c r="AE73" s="281"/>
      <c r="AF73" s="2"/>
      <c r="AG73" s="2"/>
      <c r="AH73" s="2"/>
      <c r="AI73" s="28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ht="12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81"/>
      <c r="AC74" s="2"/>
      <c r="AD74" s="2"/>
      <c r="AE74" s="281"/>
      <c r="AF74" s="2"/>
      <c r="AG74" s="2"/>
      <c r="AH74" s="2"/>
      <c r="AI74" s="28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ht="12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81"/>
      <c r="AC75" s="2"/>
      <c r="AD75" s="2"/>
      <c r="AE75" s="281"/>
      <c r="AF75" s="2"/>
      <c r="AG75" s="2"/>
      <c r="AH75" s="2"/>
      <c r="AI75" s="28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ht="12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81"/>
      <c r="AC76" s="2"/>
      <c r="AD76" s="2"/>
      <c r="AE76" s="281"/>
      <c r="AF76" s="2"/>
      <c r="AG76" s="2"/>
      <c r="AH76" s="2"/>
      <c r="AI76" s="28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ht="12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81"/>
      <c r="AC77" s="2"/>
      <c r="AD77" s="2"/>
      <c r="AE77" s="281"/>
      <c r="AF77" s="2"/>
      <c r="AG77" s="2"/>
      <c r="AH77" s="2"/>
      <c r="AI77" s="28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ht="12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81"/>
      <c r="AC78" s="2"/>
      <c r="AD78" s="2"/>
      <c r="AE78" s="281"/>
      <c r="AF78" s="2"/>
      <c r="AG78" s="2"/>
      <c r="AH78" s="2"/>
      <c r="AI78" s="28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ht="12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81"/>
      <c r="AC79" s="2"/>
      <c r="AD79" s="2"/>
      <c r="AE79" s="281"/>
      <c r="AF79" s="2"/>
      <c r="AG79" s="2"/>
      <c r="AH79" s="2"/>
      <c r="AI79" s="28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ht="12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81"/>
      <c r="AC80" s="2"/>
      <c r="AD80" s="2"/>
      <c r="AE80" s="281"/>
      <c r="AF80" s="2"/>
      <c r="AG80" s="2"/>
      <c r="AH80" s="2"/>
      <c r="AI80" s="28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ht="12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81"/>
      <c r="AC81" s="2"/>
      <c r="AD81" s="2"/>
      <c r="AE81" s="281"/>
      <c r="AF81" s="2"/>
      <c r="AG81" s="2"/>
      <c r="AH81" s="2"/>
      <c r="AI81" s="28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ht="12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81"/>
      <c r="AC82" s="2"/>
      <c r="AD82" s="2"/>
      <c r="AE82" s="281"/>
      <c r="AF82" s="2"/>
      <c r="AG82" s="2"/>
      <c r="AH82" s="2"/>
      <c r="AI82" s="28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ht="12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81"/>
      <c r="AC83" s="2"/>
      <c r="AD83" s="2"/>
      <c r="AE83" s="281"/>
      <c r="AF83" s="2"/>
      <c r="AG83" s="2"/>
      <c r="AH83" s="2"/>
      <c r="AI83" s="28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ht="12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81"/>
      <c r="AC84" s="2"/>
      <c r="AD84" s="2"/>
      <c r="AE84" s="281"/>
      <c r="AF84" s="2"/>
      <c r="AG84" s="2"/>
      <c r="AH84" s="2"/>
      <c r="AI84" s="28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12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81"/>
      <c r="AC85" s="2"/>
      <c r="AD85" s="2"/>
      <c r="AE85" s="281"/>
      <c r="AF85" s="2"/>
      <c r="AG85" s="2"/>
      <c r="AH85" s="2"/>
      <c r="AI85" s="28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12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81"/>
      <c r="AC86" s="2"/>
      <c r="AD86" s="2"/>
      <c r="AE86" s="281"/>
      <c r="AF86" s="2"/>
      <c r="AG86" s="2"/>
      <c r="AH86" s="2"/>
      <c r="AI86" s="28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12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81"/>
      <c r="AC87" s="2"/>
      <c r="AD87" s="2"/>
      <c r="AE87" s="281"/>
      <c r="AF87" s="2"/>
      <c r="AG87" s="2"/>
      <c r="AH87" s="2"/>
      <c r="AI87" s="28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ht="12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81"/>
      <c r="AC88" s="2"/>
      <c r="AD88" s="2"/>
      <c r="AE88" s="281"/>
      <c r="AF88" s="2"/>
      <c r="AG88" s="2"/>
      <c r="AH88" s="2"/>
      <c r="AI88" s="28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ht="12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81"/>
      <c r="AC89" s="2"/>
      <c r="AD89" s="2"/>
      <c r="AE89" s="281"/>
      <c r="AF89" s="2"/>
      <c r="AG89" s="2"/>
      <c r="AH89" s="2"/>
      <c r="AI89" s="28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ht="12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81"/>
      <c r="AC90" s="2"/>
      <c r="AD90" s="2"/>
      <c r="AE90" s="281"/>
      <c r="AF90" s="2"/>
      <c r="AG90" s="2"/>
      <c r="AH90" s="2"/>
      <c r="AI90" s="28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12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81"/>
      <c r="AC91" s="2"/>
      <c r="AD91" s="2"/>
      <c r="AE91" s="281"/>
      <c r="AF91" s="2"/>
      <c r="AG91" s="2"/>
      <c r="AH91" s="2"/>
      <c r="AI91" s="28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12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81"/>
      <c r="AC92" s="2"/>
      <c r="AD92" s="2"/>
      <c r="AE92" s="281"/>
      <c r="AF92" s="2"/>
      <c r="AG92" s="2"/>
      <c r="AH92" s="2"/>
      <c r="AI92" s="28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ht="12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81"/>
      <c r="AC93" s="2"/>
      <c r="AD93" s="2"/>
      <c r="AE93" s="281"/>
      <c r="AF93" s="2"/>
      <c r="AG93" s="2"/>
      <c r="AH93" s="2"/>
      <c r="AI93" s="28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ht="12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81"/>
      <c r="AC94" s="2"/>
      <c r="AD94" s="2"/>
      <c r="AE94" s="281"/>
      <c r="AF94" s="2"/>
      <c r="AG94" s="2"/>
      <c r="AH94" s="2"/>
      <c r="AI94" s="28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ht="12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81"/>
      <c r="AC95" s="2"/>
      <c r="AD95" s="2"/>
      <c r="AE95" s="281"/>
      <c r="AF95" s="2"/>
      <c r="AG95" s="2"/>
      <c r="AH95" s="2"/>
      <c r="AI95" s="28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ht="12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81"/>
      <c r="AC96" s="2"/>
      <c r="AD96" s="2"/>
      <c r="AE96" s="281"/>
      <c r="AF96" s="2"/>
      <c r="AG96" s="2"/>
      <c r="AH96" s="2"/>
      <c r="AI96" s="28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ht="12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81"/>
      <c r="AC97" s="2"/>
      <c r="AD97" s="2"/>
      <c r="AE97" s="281"/>
      <c r="AF97" s="2"/>
      <c r="AG97" s="2"/>
      <c r="AH97" s="2"/>
      <c r="AI97" s="28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ht="12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81"/>
      <c r="AC98" s="2"/>
      <c r="AD98" s="2"/>
      <c r="AE98" s="281"/>
      <c r="AF98" s="2"/>
      <c r="AG98" s="2"/>
      <c r="AH98" s="2"/>
      <c r="AI98" s="28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12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81"/>
      <c r="AC99" s="2"/>
      <c r="AD99" s="2"/>
      <c r="AE99" s="281"/>
      <c r="AF99" s="2"/>
      <c r="AG99" s="2"/>
      <c r="AH99" s="2"/>
      <c r="AI99" s="28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ht="12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81"/>
      <c r="AC100" s="2"/>
      <c r="AD100" s="2"/>
      <c r="AE100" s="281"/>
      <c r="AF100" s="2"/>
      <c r="AG100" s="2"/>
      <c r="AH100" s="2"/>
      <c r="AI100" s="28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ht="12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81"/>
      <c r="AC101" s="2"/>
      <c r="AD101" s="2"/>
      <c r="AE101" s="281"/>
      <c r="AF101" s="2"/>
      <c r="AG101" s="2"/>
      <c r="AH101" s="2"/>
      <c r="AI101" s="28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ht="12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81"/>
      <c r="AC102" s="2"/>
      <c r="AD102" s="2"/>
      <c r="AE102" s="281"/>
      <c r="AF102" s="2"/>
      <c r="AG102" s="2"/>
      <c r="AH102" s="2"/>
      <c r="AI102" s="28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ht="12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81"/>
      <c r="AC103" s="2"/>
      <c r="AD103" s="2"/>
      <c r="AE103" s="281"/>
      <c r="AF103" s="2"/>
      <c r="AG103" s="2"/>
      <c r="AH103" s="2"/>
      <c r="AI103" s="28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ht="12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81"/>
      <c r="AC104" s="2"/>
      <c r="AD104" s="2"/>
      <c r="AE104" s="281"/>
      <c r="AF104" s="2"/>
      <c r="AG104" s="2"/>
      <c r="AH104" s="2"/>
      <c r="AI104" s="28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2" ht="12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81"/>
      <c r="AC105" s="2"/>
      <c r="AD105" s="2"/>
      <c r="AE105" s="281"/>
      <c r="AF105" s="2"/>
      <c r="AG105" s="2"/>
      <c r="AH105" s="2"/>
      <c r="AI105" s="28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ht="12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81"/>
      <c r="AC106" s="2"/>
      <c r="AD106" s="2"/>
      <c r="AE106" s="281"/>
      <c r="AF106" s="2"/>
      <c r="AG106" s="2"/>
      <c r="AH106" s="2"/>
      <c r="AI106" s="28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ht="12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81"/>
      <c r="AC107" s="2"/>
      <c r="AD107" s="2"/>
      <c r="AE107" s="281"/>
      <c r="AF107" s="2"/>
      <c r="AG107" s="2"/>
      <c r="AH107" s="2"/>
      <c r="AI107" s="28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ht="12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81"/>
      <c r="AC108" s="2"/>
      <c r="AD108" s="2"/>
      <c r="AE108" s="281"/>
      <c r="AF108" s="2"/>
      <c r="AG108" s="2"/>
      <c r="AH108" s="2"/>
      <c r="AI108" s="28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ht="12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81"/>
      <c r="AC109" s="2"/>
      <c r="AD109" s="2"/>
      <c r="AE109" s="281"/>
      <c r="AF109" s="2"/>
      <c r="AG109" s="2"/>
      <c r="AH109" s="2"/>
      <c r="AI109" s="28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12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81"/>
      <c r="AC110" s="2"/>
      <c r="AD110" s="2"/>
      <c r="AE110" s="281"/>
      <c r="AF110" s="2"/>
      <c r="AG110" s="2"/>
      <c r="AH110" s="2"/>
      <c r="AI110" s="28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12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81"/>
      <c r="AC111" s="2"/>
      <c r="AD111" s="2"/>
      <c r="AE111" s="281"/>
      <c r="AF111" s="2"/>
      <c r="AG111" s="2"/>
      <c r="AH111" s="2"/>
      <c r="AI111" s="28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ht="12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81"/>
      <c r="AC112" s="2"/>
      <c r="AD112" s="2"/>
      <c r="AE112" s="281"/>
      <c r="AF112" s="2"/>
      <c r="AG112" s="2"/>
      <c r="AH112" s="2"/>
      <c r="AI112" s="28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ht="12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81"/>
      <c r="AC113" s="2"/>
      <c r="AD113" s="2"/>
      <c r="AE113" s="281"/>
      <c r="AF113" s="2"/>
      <c r="AG113" s="2"/>
      <c r="AH113" s="2"/>
      <c r="AI113" s="28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ht="12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81"/>
      <c r="AC114" s="2"/>
      <c r="AD114" s="2"/>
      <c r="AE114" s="281"/>
      <c r="AF114" s="2"/>
      <c r="AG114" s="2"/>
      <c r="AH114" s="2"/>
      <c r="AI114" s="28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2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81"/>
      <c r="AC115" s="2"/>
      <c r="AD115" s="2"/>
      <c r="AE115" s="281"/>
      <c r="AF115" s="2"/>
      <c r="AG115" s="2"/>
      <c r="AH115" s="2"/>
      <c r="AI115" s="28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ht="12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81"/>
      <c r="AC116" s="2"/>
      <c r="AD116" s="2"/>
      <c r="AE116" s="281"/>
      <c r="AF116" s="2"/>
      <c r="AG116" s="2"/>
      <c r="AH116" s="2"/>
      <c r="AI116" s="28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2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81"/>
      <c r="AC117" s="2"/>
      <c r="AD117" s="2"/>
      <c r="AE117" s="281"/>
      <c r="AF117" s="2"/>
      <c r="AG117" s="2"/>
      <c r="AH117" s="2"/>
      <c r="AI117" s="28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2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81"/>
      <c r="AC118" s="2"/>
      <c r="AD118" s="2"/>
      <c r="AE118" s="281"/>
      <c r="AF118" s="2"/>
      <c r="AG118" s="2"/>
      <c r="AH118" s="2"/>
      <c r="AI118" s="28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ht="12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81"/>
      <c r="AC119" s="2"/>
      <c r="AD119" s="2"/>
      <c r="AE119" s="281"/>
      <c r="AF119" s="2"/>
      <c r="AG119" s="2"/>
      <c r="AH119" s="2"/>
      <c r="AI119" s="28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ht="12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81"/>
      <c r="AC120" s="2"/>
      <c r="AD120" s="2"/>
      <c r="AE120" s="281"/>
      <c r="AF120" s="2"/>
      <c r="AG120" s="2"/>
      <c r="AH120" s="2"/>
      <c r="AI120" s="28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2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81"/>
      <c r="AC121" s="2"/>
      <c r="AD121" s="2"/>
      <c r="AE121" s="281"/>
      <c r="AF121" s="2"/>
      <c r="AG121" s="2"/>
      <c r="AH121" s="2"/>
      <c r="AI121" s="28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2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81"/>
      <c r="AC122" s="2"/>
      <c r="AD122" s="2"/>
      <c r="AE122" s="281"/>
      <c r="AF122" s="2"/>
      <c r="AG122" s="2"/>
      <c r="AH122" s="2"/>
      <c r="AI122" s="28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 ht="12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81"/>
      <c r="AC123" s="2"/>
      <c r="AD123" s="2"/>
      <c r="AE123" s="281"/>
      <c r="AF123" s="2"/>
      <c r="AG123" s="2"/>
      <c r="AH123" s="2"/>
      <c r="AI123" s="28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2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81"/>
      <c r="AC124" s="2"/>
      <c r="AD124" s="2"/>
      <c r="AE124" s="281"/>
      <c r="AF124" s="2"/>
      <c r="AG124" s="2"/>
      <c r="AH124" s="2"/>
      <c r="AI124" s="28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 ht="12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81"/>
      <c r="AC125" s="2"/>
      <c r="AD125" s="2"/>
      <c r="AE125" s="281"/>
      <c r="AF125" s="2"/>
      <c r="AG125" s="2"/>
      <c r="AH125" s="2"/>
      <c r="AI125" s="28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 ht="12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81"/>
      <c r="AC126" s="2"/>
      <c r="AD126" s="2"/>
      <c r="AE126" s="281"/>
      <c r="AF126" s="2"/>
      <c r="AG126" s="2"/>
      <c r="AH126" s="2"/>
      <c r="AI126" s="28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2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81"/>
      <c r="AC127" s="2"/>
      <c r="AD127" s="2"/>
      <c r="AE127" s="281"/>
      <c r="AF127" s="2"/>
      <c r="AG127" s="2"/>
      <c r="AH127" s="2"/>
      <c r="AI127" s="28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 ht="12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81"/>
      <c r="AC128" s="2"/>
      <c r="AD128" s="2"/>
      <c r="AE128" s="281"/>
      <c r="AF128" s="2"/>
      <c r="AG128" s="2"/>
      <c r="AH128" s="2"/>
      <c r="AI128" s="28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 ht="12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81"/>
      <c r="AC129" s="2"/>
      <c r="AD129" s="2"/>
      <c r="AE129" s="281"/>
      <c r="AF129" s="2"/>
      <c r="AG129" s="2"/>
      <c r="AH129" s="2"/>
      <c r="AI129" s="28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 ht="12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81"/>
      <c r="AC130" s="2"/>
      <c r="AD130" s="2"/>
      <c r="AE130" s="281"/>
      <c r="AF130" s="2"/>
      <c r="AG130" s="2"/>
      <c r="AH130" s="2"/>
      <c r="AI130" s="28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 ht="12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81"/>
      <c r="AC131" s="2"/>
      <c r="AD131" s="2"/>
      <c r="AE131" s="281"/>
      <c r="AF131" s="2"/>
      <c r="AG131" s="2"/>
      <c r="AH131" s="2"/>
      <c r="AI131" s="28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 ht="12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81"/>
      <c r="AC132" s="2"/>
      <c r="AD132" s="2"/>
      <c r="AE132" s="281"/>
      <c r="AF132" s="2"/>
      <c r="AG132" s="2"/>
      <c r="AH132" s="2"/>
      <c r="AI132" s="28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2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81"/>
      <c r="AC133" s="2"/>
      <c r="AD133" s="2"/>
      <c r="AE133" s="281"/>
      <c r="AF133" s="2"/>
      <c r="AG133" s="2"/>
      <c r="AH133" s="2"/>
      <c r="AI133" s="28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 ht="12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81"/>
      <c r="AC134" s="2"/>
      <c r="AD134" s="2"/>
      <c r="AE134" s="281"/>
      <c r="AF134" s="2"/>
      <c r="AG134" s="2"/>
      <c r="AH134" s="2"/>
      <c r="AI134" s="28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 ht="12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81"/>
      <c r="AC135" s="2"/>
      <c r="AD135" s="2"/>
      <c r="AE135" s="281"/>
      <c r="AF135" s="2"/>
      <c r="AG135" s="2"/>
      <c r="AH135" s="2"/>
      <c r="AI135" s="28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 ht="12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81"/>
      <c r="AC136" s="2"/>
      <c r="AD136" s="2"/>
      <c r="AE136" s="281"/>
      <c r="AF136" s="2"/>
      <c r="AG136" s="2"/>
      <c r="AH136" s="2"/>
      <c r="AI136" s="28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 ht="12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81"/>
      <c r="AC137" s="2"/>
      <c r="AD137" s="2"/>
      <c r="AE137" s="281"/>
      <c r="AF137" s="2"/>
      <c r="AG137" s="2"/>
      <c r="AH137" s="2"/>
      <c r="AI137" s="28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 ht="12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81"/>
      <c r="AC138" s="2"/>
      <c r="AD138" s="2"/>
      <c r="AE138" s="281"/>
      <c r="AF138" s="2"/>
      <c r="AG138" s="2"/>
      <c r="AH138" s="2"/>
      <c r="AI138" s="28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 ht="12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81"/>
      <c r="AC139" s="2"/>
      <c r="AD139" s="2"/>
      <c r="AE139" s="281"/>
      <c r="AF139" s="2"/>
      <c r="AG139" s="2"/>
      <c r="AH139" s="2"/>
      <c r="AI139" s="28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 ht="12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81"/>
      <c r="AC140" s="2"/>
      <c r="AD140" s="2"/>
      <c r="AE140" s="281"/>
      <c r="AF140" s="2"/>
      <c r="AG140" s="2"/>
      <c r="AH140" s="2"/>
      <c r="AI140" s="28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 ht="12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81"/>
      <c r="AC141" s="2"/>
      <c r="AD141" s="2"/>
      <c r="AE141" s="281"/>
      <c r="AF141" s="2"/>
      <c r="AG141" s="2"/>
      <c r="AH141" s="2"/>
      <c r="AI141" s="28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 ht="12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81"/>
      <c r="AC142" s="2"/>
      <c r="AD142" s="2"/>
      <c r="AE142" s="281"/>
      <c r="AF142" s="2"/>
      <c r="AG142" s="2"/>
      <c r="AH142" s="2"/>
      <c r="AI142" s="28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 ht="12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81"/>
      <c r="AC143" s="2"/>
      <c r="AD143" s="2"/>
      <c r="AE143" s="281"/>
      <c r="AF143" s="2"/>
      <c r="AG143" s="2"/>
      <c r="AH143" s="2"/>
      <c r="AI143" s="28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 ht="12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81"/>
      <c r="AC144" s="2"/>
      <c r="AD144" s="2"/>
      <c r="AE144" s="281"/>
      <c r="AF144" s="2"/>
      <c r="AG144" s="2"/>
      <c r="AH144" s="2"/>
      <c r="AI144" s="28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 ht="12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81"/>
      <c r="AC145" s="2"/>
      <c r="AD145" s="2"/>
      <c r="AE145" s="281"/>
      <c r="AF145" s="2"/>
      <c r="AG145" s="2"/>
      <c r="AH145" s="2"/>
      <c r="AI145" s="28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 ht="12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81"/>
      <c r="AC146" s="2"/>
      <c r="AD146" s="2"/>
      <c r="AE146" s="281"/>
      <c r="AF146" s="2"/>
      <c r="AG146" s="2"/>
      <c r="AH146" s="2"/>
      <c r="AI146" s="28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 ht="12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81"/>
      <c r="AC147" s="2"/>
      <c r="AD147" s="2"/>
      <c r="AE147" s="281"/>
      <c r="AF147" s="2"/>
      <c r="AG147" s="2"/>
      <c r="AH147" s="2"/>
      <c r="AI147" s="28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 ht="12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81"/>
      <c r="AC148" s="2"/>
      <c r="AD148" s="2"/>
      <c r="AE148" s="281"/>
      <c r="AF148" s="2"/>
      <c r="AG148" s="2"/>
      <c r="AH148" s="2"/>
      <c r="AI148" s="28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 ht="12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81"/>
      <c r="AC149" s="2"/>
      <c r="AD149" s="2"/>
      <c r="AE149" s="281"/>
      <c r="AF149" s="2"/>
      <c r="AG149" s="2"/>
      <c r="AH149" s="2"/>
      <c r="AI149" s="28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 ht="12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81"/>
      <c r="AC150" s="2"/>
      <c r="AD150" s="2"/>
      <c r="AE150" s="281"/>
      <c r="AF150" s="2"/>
      <c r="AG150" s="2"/>
      <c r="AH150" s="2"/>
      <c r="AI150" s="28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 ht="12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81"/>
      <c r="AC151" s="2"/>
      <c r="AD151" s="2"/>
      <c r="AE151" s="281"/>
      <c r="AF151" s="2"/>
      <c r="AG151" s="2"/>
      <c r="AH151" s="2"/>
      <c r="AI151" s="28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 ht="12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81"/>
      <c r="AC152" s="2"/>
      <c r="AD152" s="2"/>
      <c r="AE152" s="281"/>
      <c r="AF152" s="2"/>
      <c r="AG152" s="2"/>
      <c r="AH152" s="2"/>
      <c r="AI152" s="28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 ht="12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81"/>
      <c r="AC153" s="2"/>
      <c r="AD153" s="2"/>
      <c r="AE153" s="281"/>
      <c r="AF153" s="2"/>
      <c r="AG153" s="2"/>
      <c r="AH153" s="2"/>
      <c r="AI153" s="28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 ht="12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81"/>
      <c r="AC154" s="2"/>
      <c r="AD154" s="2"/>
      <c r="AE154" s="281"/>
      <c r="AF154" s="2"/>
      <c r="AG154" s="2"/>
      <c r="AH154" s="2"/>
      <c r="AI154" s="28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 ht="12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81"/>
      <c r="AC155" s="2"/>
      <c r="AD155" s="2"/>
      <c r="AE155" s="281"/>
      <c r="AF155" s="2"/>
      <c r="AG155" s="2"/>
      <c r="AH155" s="2"/>
      <c r="AI155" s="28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 ht="12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81"/>
      <c r="AC156" s="2"/>
      <c r="AD156" s="2"/>
      <c r="AE156" s="281"/>
      <c r="AF156" s="2"/>
      <c r="AG156" s="2"/>
      <c r="AH156" s="2"/>
      <c r="AI156" s="28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 ht="12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81"/>
      <c r="AC157" s="2"/>
      <c r="AD157" s="2"/>
      <c r="AE157" s="281"/>
      <c r="AF157" s="2"/>
      <c r="AG157" s="2"/>
      <c r="AH157" s="2"/>
      <c r="AI157" s="28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 ht="12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81"/>
      <c r="AC158" s="2"/>
      <c r="AD158" s="2"/>
      <c r="AE158" s="281"/>
      <c r="AF158" s="2"/>
      <c r="AG158" s="2"/>
      <c r="AH158" s="2"/>
      <c r="AI158" s="28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 ht="12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81"/>
      <c r="AC159" s="2"/>
      <c r="AD159" s="2"/>
      <c r="AE159" s="281"/>
      <c r="AF159" s="2"/>
      <c r="AG159" s="2"/>
      <c r="AH159" s="2"/>
      <c r="AI159" s="28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 ht="12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81"/>
      <c r="AC160" s="2"/>
      <c r="AD160" s="2"/>
      <c r="AE160" s="281"/>
      <c r="AF160" s="2"/>
      <c r="AG160" s="2"/>
      <c r="AH160" s="2"/>
      <c r="AI160" s="28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 ht="12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81"/>
      <c r="AC161" s="2"/>
      <c r="AD161" s="2"/>
      <c r="AE161" s="281"/>
      <c r="AF161" s="2"/>
      <c r="AG161" s="2"/>
      <c r="AH161" s="2"/>
      <c r="AI161" s="28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 ht="12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81"/>
      <c r="AC162" s="2"/>
      <c r="AD162" s="2"/>
      <c r="AE162" s="281"/>
      <c r="AF162" s="2"/>
      <c r="AG162" s="2"/>
      <c r="AH162" s="2"/>
      <c r="AI162" s="28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 ht="12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81"/>
      <c r="AC163" s="2"/>
      <c r="AD163" s="2"/>
      <c r="AE163" s="281"/>
      <c r="AF163" s="2"/>
      <c r="AG163" s="2"/>
      <c r="AH163" s="2"/>
      <c r="AI163" s="28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 ht="12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81"/>
      <c r="AC164" s="2"/>
      <c r="AD164" s="2"/>
      <c r="AE164" s="281"/>
      <c r="AF164" s="2"/>
      <c r="AG164" s="2"/>
      <c r="AH164" s="2"/>
      <c r="AI164" s="28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 ht="12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81"/>
      <c r="AC165" s="2"/>
      <c r="AD165" s="2"/>
      <c r="AE165" s="281"/>
      <c r="AF165" s="2"/>
      <c r="AG165" s="2"/>
      <c r="AH165" s="2"/>
      <c r="AI165" s="28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 ht="12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81"/>
      <c r="AC166" s="2"/>
      <c r="AD166" s="2"/>
      <c r="AE166" s="281"/>
      <c r="AF166" s="2"/>
      <c r="AG166" s="2"/>
      <c r="AH166" s="2"/>
      <c r="AI166" s="28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 ht="12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81"/>
      <c r="AC167" s="2"/>
      <c r="AD167" s="2"/>
      <c r="AE167" s="281"/>
      <c r="AF167" s="2"/>
      <c r="AG167" s="2"/>
      <c r="AH167" s="2"/>
      <c r="AI167" s="28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 ht="12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81"/>
      <c r="AC168" s="2"/>
      <c r="AD168" s="2"/>
      <c r="AE168" s="281"/>
      <c r="AF168" s="2"/>
      <c r="AG168" s="2"/>
      <c r="AH168" s="2"/>
      <c r="AI168" s="28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 ht="12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81"/>
      <c r="AC169" s="2"/>
      <c r="AD169" s="2"/>
      <c r="AE169" s="281"/>
      <c r="AF169" s="2"/>
      <c r="AG169" s="2"/>
      <c r="AH169" s="2"/>
      <c r="AI169" s="28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 ht="12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81"/>
      <c r="AC170" s="2"/>
      <c r="AD170" s="2"/>
      <c r="AE170" s="281"/>
      <c r="AF170" s="2"/>
      <c r="AG170" s="2"/>
      <c r="AH170" s="2"/>
      <c r="AI170" s="28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 ht="12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81"/>
      <c r="AC171" s="2"/>
      <c r="AD171" s="2"/>
      <c r="AE171" s="281"/>
      <c r="AF171" s="2"/>
      <c r="AG171" s="2"/>
      <c r="AH171" s="2"/>
      <c r="AI171" s="28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 ht="12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81"/>
      <c r="AC172" s="2"/>
      <c r="AD172" s="2"/>
      <c r="AE172" s="281"/>
      <c r="AF172" s="2"/>
      <c r="AG172" s="2"/>
      <c r="AH172" s="2"/>
      <c r="AI172" s="28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 ht="12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81"/>
      <c r="AC173" s="2"/>
      <c r="AD173" s="2"/>
      <c r="AE173" s="281"/>
      <c r="AF173" s="2"/>
      <c r="AG173" s="2"/>
      <c r="AH173" s="2"/>
      <c r="AI173" s="28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 ht="12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81"/>
      <c r="AC174" s="2"/>
      <c r="AD174" s="2"/>
      <c r="AE174" s="281"/>
      <c r="AF174" s="2"/>
      <c r="AG174" s="2"/>
      <c r="AH174" s="2"/>
      <c r="AI174" s="28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 ht="12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81"/>
      <c r="AC175" s="2"/>
      <c r="AD175" s="2"/>
      <c r="AE175" s="281"/>
      <c r="AF175" s="2"/>
      <c r="AG175" s="2"/>
      <c r="AH175" s="2"/>
      <c r="AI175" s="28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 ht="12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81"/>
      <c r="AC176" s="2"/>
      <c r="AD176" s="2"/>
      <c r="AE176" s="281"/>
      <c r="AF176" s="2"/>
      <c r="AG176" s="2"/>
      <c r="AH176" s="2"/>
      <c r="AI176" s="28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 ht="12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81"/>
      <c r="AC177" s="2"/>
      <c r="AD177" s="2"/>
      <c r="AE177" s="281"/>
      <c r="AF177" s="2"/>
      <c r="AG177" s="2"/>
      <c r="AH177" s="2"/>
      <c r="AI177" s="28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 ht="12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81"/>
      <c r="AC178" s="2"/>
      <c r="AD178" s="2"/>
      <c r="AE178" s="281"/>
      <c r="AF178" s="2"/>
      <c r="AG178" s="2"/>
      <c r="AH178" s="2"/>
      <c r="AI178" s="28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 ht="12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81"/>
      <c r="AC179" s="2"/>
      <c r="AD179" s="2"/>
      <c r="AE179" s="281"/>
      <c r="AF179" s="2"/>
      <c r="AG179" s="2"/>
      <c r="AH179" s="2"/>
      <c r="AI179" s="28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 ht="12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81"/>
      <c r="AC180" s="2"/>
      <c r="AD180" s="2"/>
      <c r="AE180" s="281"/>
      <c r="AF180" s="2"/>
      <c r="AG180" s="2"/>
      <c r="AH180" s="2"/>
      <c r="AI180" s="28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 ht="12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81"/>
      <c r="AC181" s="2"/>
      <c r="AD181" s="2"/>
      <c r="AE181" s="281"/>
      <c r="AF181" s="2"/>
      <c r="AG181" s="2"/>
      <c r="AH181" s="2"/>
      <c r="AI181" s="28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 ht="12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81"/>
      <c r="AC182" s="2"/>
      <c r="AD182" s="2"/>
      <c r="AE182" s="281"/>
      <c r="AF182" s="2"/>
      <c r="AG182" s="2"/>
      <c r="AH182" s="2"/>
      <c r="AI182" s="28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 ht="12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81"/>
      <c r="AC183" s="2"/>
      <c r="AD183" s="2"/>
      <c r="AE183" s="281"/>
      <c r="AF183" s="2"/>
      <c r="AG183" s="2"/>
      <c r="AH183" s="2"/>
      <c r="AI183" s="28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 ht="12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81"/>
      <c r="AC184" s="2"/>
      <c r="AD184" s="2"/>
      <c r="AE184" s="281"/>
      <c r="AF184" s="2"/>
      <c r="AG184" s="2"/>
      <c r="AH184" s="2"/>
      <c r="AI184" s="28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 ht="12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81"/>
      <c r="AC185" s="2"/>
      <c r="AD185" s="2"/>
      <c r="AE185" s="281"/>
      <c r="AF185" s="2"/>
      <c r="AG185" s="2"/>
      <c r="AH185" s="2"/>
      <c r="AI185" s="28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 ht="12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81"/>
      <c r="AC186" s="2"/>
      <c r="AD186" s="2"/>
      <c r="AE186" s="281"/>
      <c r="AF186" s="2"/>
      <c r="AG186" s="2"/>
      <c r="AH186" s="2"/>
      <c r="AI186" s="28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 ht="12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81"/>
      <c r="AC187" s="2"/>
      <c r="AD187" s="2"/>
      <c r="AE187" s="281"/>
      <c r="AF187" s="2"/>
      <c r="AG187" s="2"/>
      <c r="AH187" s="2"/>
      <c r="AI187" s="28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 ht="12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81"/>
      <c r="AC188" s="2"/>
      <c r="AD188" s="2"/>
      <c r="AE188" s="281"/>
      <c r="AF188" s="2"/>
      <c r="AG188" s="2"/>
      <c r="AH188" s="2"/>
      <c r="AI188" s="28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 ht="12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81"/>
      <c r="AC189" s="2"/>
      <c r="AD189" s="2"/>
      <c r="AE189" s="281"/>
      <c r="AF189" s="2"/>
      <c r="AG189" s="2"/>
      <c r="AH189" s="2"/>
      <c r="AI189" s="28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 ht="12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81"/>
      <c r="AC190" s="2"/>
      <c r="AD190" s="2"/>
      <c r="AE190" s="281"/>
      <c r="AF190" s="2"/>
      <c r="AG190" s="2"/>
      <c r="AH190" s="2"/>
      <c r="AI190" s="28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 ht="12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81"/>
      <c r="AC191" s="2"/>
      <c r="AD191" s="2"/>
      <c r="AE191" s="281"/>
      <c r="AF191" s="2"/>
      <c r="AG191" s="2"/>
      <c r="AH191" s="2"/>
      <c r="AI191" s="28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2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81"/>
      <c r="AC192" s="2"/>
      <c r="AD192" s="2"/>
      <c r="AE192" s="281"/>
      <c r="AF192" s="2"/>
      <c r="AG192" s="2"/>
      <c r="AH192" s="2"/>
      <c r="AI192" s="28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 ht="12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81"/>
      <c r="AC193" s="2"/>
      <c r="AD193" s="2"/>
      <c r="AE193" s="281"/>
      <c r="AF193" s="2"/>
      <c r="AG193" s="2"/>
      <c r="AH193" s="2"/>
      <c r="AI193" s="28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 ht="12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81"/>
      <c r="AC194" s="2"/>
      <c r="AD194" s="2"/>
      <c r="AE194" s="281"/>
      <c r="AF194" s="2"/>
      <c r="AG194" s="2"/>
      <c r="AH194" s="2"/>
      <c r="AI194" s="28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 ht="12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81"/>
      <c r="AC195" s="2"/>
      <c r="AD195" s="2"/>
      <c r="AE195" s="281"/>
      <c r="AF195" s="2"/>
      <c r="AG195" s="2"/>
      <c r="AH195" s="2"/>
      <c r="AI195" s="28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 ht="12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81"/>
      <c r="AC196" s="2"/>
      <c r="AD196" s="2"/>
      <c r="AE196" s="281"/>
      <c r="AF196" s="2"/>
      <c r="AG196" s="2"/>
      <c r="AH196" s="2"/>
      <c r="AI196" s="28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 ht="12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81"/>
      <c r="AC197" s="2"/>
      <c r="AD197" s="2"/>
      <c r="AE197" s="281"/>
      <c r="AF197" s="2"/>
      <c r="AG197" s="2"/>
      <c r="AH197" s="2"/>
      <c r="AI197" s="28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 ht="12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81"/>
      <c r="AC198" s="2"/>
      <c r="AD198" s="2"/>
      <c r="AE198" s="281"/>
      <c r="AF198" s="2"/>
      <c r="AG198" s="2"/>
      <c r="AH198" s="2"/>
      <c r="AI198" s="28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 ht="12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81"/>
      <c r="AC199" s="2"/>
      <c r="AD199" s="2"/>
      <c r="AE199" s="281"/>
      <c r="AF199" s="2"/>
      <c r="AG199" s="2"/>
      <c r="AH199" s="2"/>
      <c r="AI199" s="28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 ht="12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81"/>
      <c r="AC200" s="2"/>
      <c r="AD200" s="2"/>
      <c r="AE200" s="281"/>
      <c r="AF200" s="2"/>
      <c r="AG200" s="2"/>
      <c r="AH200" s="2"/>
      <c r="AI200" s="28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 ht="12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81"/>
      <c r="AC201" s="2"/>
      <c r="AD201" s="2"/>
      <c r="AE201" s="281"/>
      <c r="AF201" s="2"/>
      <c r="AG201" s="2"/>
      <c r="AH201" s="2"/>
      <c r="AI201" s="28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 ht="12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81"/>
      <c r="AC202" s="2"/>
      <c r="AD202" s="2"/>
      <c r="AE202" s="281"/>
      <c r="AF202" s="2"/>
      <c r="AG202" s="2"/>
      <c r="AH202" s="2"/>
      <c r="AI202" s="28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 ht="12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81"/>
      <c r="AC203" s="2"/>
      <c r="AD203" s="2"/>
      <c r="AE203" s="281"/>
      <c r="AF203" s="2"/>
      <c r="AG203" s="2"/>
      <c r="AH203" s="2"/>
      <c r="AI203" s="28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2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81"/>
      <c r="AC204" s="2"/>
      <c r="AD204" s="2"/>
      <c r="AE204" s="281"/>
      <c r="AF204" s="2"/>
      <c r="AG204" s="2"/>
      <c r="AH204" s="2"/>
      <c r="AI204" s="28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 ht="12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81"/>
      <c r="AC205" s="2"/>
      <c r="AD205" s="2"/>
      <c r="AE205" s="281"/>
      <c r="AF205" s="2"/>
      <c r="AG205" s="2"/>
      <c r="AH205" s="2"/>
      <c r="AI205" s="28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 ht="12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81"/>
      <c r="AC206" s="2"/>
      <c r="AD206" s="2"/>
      <c r="AE206" s="281"/>
      <c r="AF206" s="2"/>
      <c r="AG206" s="2"/>
      <c r="AH206" s="2"/>
      <c r="AI206" s="28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 ht="12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81"/>
      <c r="AC207" s="2"/>
      <c r="AD207" s="2"/>
      <c r="AE207" s="281"/>
      <c r="AF207" s="2"/>
      <c r="AG207" s="2"/>
      <c r="AH207" s="2"/>
      <c r="AI207" s="28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 ht="12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81"/>
      <c r="AC208" s="2"/>
      <c r="AD208" s="2"/>
      <c r="AE208" s="281"/>
      <c r="AF208" s="2"/>
      <c r="AG208" s="2"/>
      <c r="AH208" s="2"/>
      <c r="AI208" s="28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 ht="12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81"/>
      <c r="AC209" s="2"/>
      <c r="AD209" s="2"/>
      <c r="AE209" s="281"/>
      <c r="AF209" s="2"/>
      <c r="AG209" s="2"/>
      <c r="AH209" s="2"/>
      <c r="AI209" s="28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 ht="12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81"/>
      <c r="AC210" s="2"/>
      <c r="AD210" s="2"/>
      <c r="AE210" s="281"/>
      <c r="AF210" s="2"/>
      <c r="AG210" s="2"/>
      <c r="AH210" s="2"/>
      <c r="AI210" s="28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 ht="12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81"/>
      <c r="AC211" s="2"/>
      <c r="AD211" s="2"/>
      <c r="AE211" s="281"/>
      <c r="AF211" s="2"/>
      <c r="AG211" s="2"/>
      <c r="AH211" s="2"/>
      <c r="AI211" s="28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2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81"/>
      <c r="AC212" s="2"/>
      <c r="AD212" s="2"/>
      <c r="AE212" s="281"/>
      <c r="AF212" s="2"/>
      <c r="AG212" s="2"/>
      <c r="AH212" s="2"/>
      <c r="AI212" s="28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 ht="12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81"/>
      <c r="AC213" s="2"/>
      <c r="AD213" s="2"/>
      <c r="AE213" s="281"/>
      <c r="AF213" s="2"/>
      <c r="AG213" s="2"/>
      <c r="AH213" s="2"/>
      <c r="AI213" s="28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 ht="12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81"/>
      <c r="AC214" s="2"/>
      <c r="AD214" s="2"/>
      <c r="AE214" s="281"/>
      <c r="AF214" s="2"/>
      <c r="AG214" s="2"/>
      <c r="AH214" s="2"/>
      <c r="AI214" s="28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2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81"/>
      <c r="AC215" s="2"/>
      <c r="AD215" s="2"/>
      <c r="AE215" s="281"/>
      <c r="AF215" s="2"/>
      <c r="AG215" s="2"/>
      <c r="AH215" s="2"/>
      <c r="AI215" s="28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2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81"/>
      <c r="AC216" s="2"/>
      <c r="AD216" s="2"/>
      <c r="AE216" s="281"/>
      <c r="AF216" s="2"/>
      <c r="AG216" s="2"/>
      <c r="AH216" s="2"/>
      <c r="AI216" s="28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 ht="12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81"/>
      <c r="AC217" s="2"/>
      <c r="AD217" s="2"/>
      <c r="AE217" s="281"/>
      <c r="AF217" s="2"/>
      <c r="AG217" s="2"/>
      <c r="AH217" s="2"/>
      <c r="AI217" s="28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 ht="12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81"/>
      <c r="AC218" s="2"/>
      <c r="AD218" s="2"/>
      <c r="AE218" s="281"/>
      <c r="AF218" s="2"/>
      <c r="AG218" s="2"/>
      <c r="AH218" s="2"/>
      <c r="AI218" s="28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2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81"/>
      <c r="AC219" s="2"/>
      <c r="AD219" s="2"/>
      <c r="AE219" s="281"/>
      <c r="AF219" s="2"/>
      <c r="AG219" s="2"/>
      <c r="AH219" s="2"/>
      <c r="AI219" s="28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 ht="12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81"/>
      <c r="AC220" s="2"/>
      <c r="AD220" s="2"/>
      <c r="AE220" s="281"/>
      <c r="AF220" s="2"/>
      <c r="AG220" s="2"/>
      <c r="AH220" s="2"/>
      <c r="AI220" s="28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 ht="12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81"/>
      <c r="AC221" s="2"/>
      <c r="AD221" s="2"/>
      <c r="AE221" s="281"/>
      <c r="AF221" s="2"/>
      <c r="AG221" s="2"/>
      <c r="AH221" s="2"/>
      <c r="AI221" s="28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 ht="12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81"/>
      <c r="AC222" s="2"/>
      <c r="AD222" s="2"/>
      <c r="AE222" s="281"/>
      <c r="AF222" s="2"/>
      <c r="AG222" s="2"/>
      <c r="AH222" s="2"/>
      <c r="AI222" s="28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 ht="12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81"/>
      <c r="AC223" s="2"/>
      <c r="AD223" s="2"/>
      <c r="AE223" s="281"/>
      <c r="AF223" s="2"/>
      <c r="AG223" s="2"/>
      <c r="AH223" s="2"/>
      <c r="AI223" s="28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 ht="12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81"/>
      <c r="AC224" s="2"/>
      <c r="AD224" s="2"/>
      <c r="AE224" s="281"/>
      <c r="AF224" s="2"/>
      <c r="AG224" s="2"/>
      <c r="AH224" s="2"/>
      <c r="AI224" s="28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2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81"/>
      <c r="AC225" s="2"/>
      <c r="AD225" s="2"/>
      <c r="AE225" s="281"/>
      <c r="AF225" s="2"/>
      <c r="AG225" s="2"/>
      <c r="AH225" s="2"/>
      <c r="AI225" s="28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 ht="12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81"/>
      <c r="AC226" s="2"/>
      <c r="AD226" s="2"/>
      <c r="AE226" s="281"/>
      <c r="AF226" s="2"/>
      <c r="AG226" s="2"/>
      <c r="AH226" s="2"/>
      <c r="AI226" s="28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 ht="12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81"/>
      <c r="AC227" s="2"/>
      <c r="AD227" s="2"/>
      <c r="AE227" s="281"/>
      <c r="AF227" s="2"/>
      <c r="AG227" s="2"/>
      <c r="AH227" s="2"/>
      <c r="AI227" s="28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 ht="12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81"/>
      <c r="AC228" s="2"/>
      <c r="AD228" s="2"/>
      <c r="AE228" s="281"/>
      <c r="AF228" s="2"/>
      <c r="AG228" s="2"/>
      <c r="AH228" s="2"/>
      <c r="AI228" s="28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2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81"/>
      <c r="AC229" s="2"/>
      <c r="AD229" s="2"/>
      <c r="AE229" s="281"/>
      <c r="AF229" s="2"/>
      <c r="AG229" s="2"/>
      <c r="AH229" s="2"/>
      <c r="AI229" s="28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 ht="12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81"/>
      <c r="AC230" s="2"/>
      <c r="AD230" s="2"/>
      <c r="AE230" s="281"/>
      <c r="AF230" s="2"/>
      <c r="AG230" s="2"/>
      <c r="AH230" s="2"/>
      <c r="AI230" s="28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 ht="12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81"/>
      <c r="AC231" s="2"/>
      <c r="AD231" s="2"/>
      <c r="AE231" s="281"/>
      <c r="AF231" s="2"/>
      <c r="AG231" s="2"/>
      <c r="AH231" s="2"/>
      <c r="AI231" s="28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2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81"/>
      <c r="AC232" s="2"/>
      <c r="AD232" s="2"/>
      <c r="AE232" s="281"/>
      <c r="AF232" s="2"/>
      <c r="AG232" s="2"/>
      <c r="AH232" s="2"/>
      <c r="AI232" s="28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 ht="12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81"/>
      <c r="AC233" s="2"/>
      <c r="AD233" s="2"/>
      <c r="AE233" s="281"/>
      <c r="AF233" s="2"/>
      <c r="AG233" s="2"/>
      <c r="AH233" s="2"/>
      <c r="AI233" s="28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 ht="12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81"/>
      <c r="AC234" s="2"/>
      <c r="AD234" s="2"/>
      <c r="AE234" s="281"/>
      <c r="AF234" s="2"/>
      <c r="AG234" s="2"/>
      <c r="AH234" s="2"/>
      <c r="AI234" s="28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2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81"/>
      <c r="AC235" s="2"/>
      <c r="AD235" s="2"/>
      <c r="AE235" s="281"/>
      <c r="AF235" s="2"/>
      <c r="AG235" s="2"/>
      <c r="AH235" s="2"/>
      <c r="AI235" s="28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2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81"/>
      <c r="AC236" s="2"/>
      <c r="AD236" s="2"/>
      <c r="AE236" s="281"/>
      <c r="AF236" s="2"/>
      <c r="AG236" s="2"/>
      <c r="AH236" s="2"/>
      <c r="AI236" s="28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 ht="12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81"/>
      <c r="AC237" s="2"/>
      <c r="AD237" s="2"/>
      <c r="AE237" s="281"/>
      <c r="AF237" s="2"/>
      <c r="AG237" s="2"/>
      <c r="AH237" s="2"/>
      <c r="AI237" s="28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 ht="12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81"/>
      <c r="AC238" s="2"/>
      <c r="AD238" s="2"/>
      <c r="AE238" s="281"/>
      <c r="AF238" s="2"/>
      <c r="AG238" s="2"/>
      <c r="AH238" s="2"/>
      <c r="AI238" s="28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2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81"/>
      <c r="AC239" s="2"/>
      <c r="AD239" s="2"/>
      <c r="AE239" s="281"/>
      <c r="AF239" s="2"/>
      <c r="AG239" s="2"/>
      <c r="AH239" s="2"/>
      <c r="AI239" s="28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 ht="12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81"/>
      <c r="AC240" s="2"/>
      <c r="AD240" s="2"/>
      <c r="AE240" s="281"/>
      <c r="AF240" s="2"/>
      <c r="AG240" s="2"/>
      <c r="AH240" s="2"/>
      <c r="AI240" s="28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 ht="12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81"/>
      <c r="AC241" s="2"/>
      <c r="AD241" s="2"/>
      <c r="AE241" s="281"/>
      <c r="AF241" s="2"/>
      <c r="AG241" s="2"/>
      <c r="AH241" s="2"/>
      <c r="AI241" s="28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 ht="12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81"/>
      <c r="AC242" s="2"/>
      <c r="AD242" s="2"/>
      <c r="AE242" s="281"/>
      <c r="AF242" s="2"/>
      <c r="AG242" s="2"/>
      <c r="AH242" s="2"/>
      <c r="AI242" s="28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 ht="12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81"/>
      <c r="AC243" s="2"/>
      <c r="AD243" s="2"/>
      <c r="AE243" s="281"/>
      <c r="AF243" s="2"/>
      <c r="AG243" s="2"/>
      <c r="AH243" s="2"/>
      <c r="AI243" s="28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2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81"/>
      <c r="AC244" s="2"/>
      <c r="AD244" s="2"/>
      <c r="AE244" s="281"/>
      <c r="AF244" s="2"/>
      <c r="AG244" s="2"/>
      <c r="AH244" s="2"/>
      <c r="AI244" s="28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 ht="12" customHeight="1" x14ac:dyDescent="0.25">
      <c r="A245" s="2"/>
      <c r="B245" s="2"/>
      <c r="C245" s="2"/>
      <c r="D245" s="2"/>
      <c r="E245" s="2"/>
      <c r="F245" s="2"/>
      <c r="G245" s="26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81"/>
      <c r="AC245" s="2"/>
      <c r="AD245" s="2"/>
      <c r="AE245" s="281"/>
      <c r="AF245" s="2"/>
      <c r="AG245" s="2"/>
      <c r="AH245" s="2"/>
      <c r="AI245" s="28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 ht="12" customHeight="1" x14ac:dyDescent="0.25">
      <c r="A246" s="2"/>
      <c r="B246" s="2"/>
      <c r="C246" s="2"/>
      <c r="D246" s="2"/>
      <c r="E246" s="2"/>
      <c r="F246" s="2"/>
      <c r="G246" s="26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81"/>
      <c r="AC246" s="2"/>
      <c r="AD246" s="2"/>
      <c r="AE246" s="281"/>
      <c r="AF246" s="2"/>
      <c r="AG246" s="2"/>
      <c r="AH246" s="2"/>
      <c r="AI246" s="28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2" customHeight="1" x14ac:dyDescent="0.25">
      <c r="A247" s="2"/>
      <c r="B247" s="2"/>
      <c r="C247" s="2"/>
      <c r="D247" s="2"/>
      <c r="E247" s="2"/>
      <c r="F247" s="2"/>
      <c r="G247" s="26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81"/>
      <c r="AC247" s="2"/>
      <c r="AD247" s="2"/>
      <c r="AE247" s="281"/>
      <c r="AF247" s="2"/>
      <c r="AG247" s="2"/>
      <c r="AH247" s="2"/>
      <c r="AI247" s="28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 ht="12" customHeight="1" x14ac:dyDescent="0.25">
      <c r="A248" s="2"/>
      <c r="B248" s="2"/>
      <c r="C248" s="2"/>
      <c r="D248" s="2"/>
      <c r="E248" s="2"/>
      <c r="F248" s="2"/>
      <c r="G248" s="26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81"/>
      <c r="AC248" s="2"/>
      <c r="AD248" s="2"/>
      <c r="AE248" s="281"/>
      <c r="AF248" s="2"/>
      <c r="AG248" s="2"/>
      <c r="AH248" s="2"/>
      <c r="AI248" s="28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 ht="12" customHeight="1" x14ac:dyDescent="0.25">
      <c r="A249" s="2"/>
      <c r="B249" s="2"/>
      <c r="C249" s="2"/>
      <c r="D249" s="2"/>
      <c r="E249" s="2"/>
      <c r="F249" s="2"/>
      <c r="G249" s="26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81"/>
      <c r="AC249" s="2"/>
      <c r="AD249" s="2"/>
      <c r="AE249" s="281"/>
      <c r="AF249" s="2"/>
      <c r="AG249" s="2"/>
      <c r="AH249" s="2"/>
      <c r="AI249" s="28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 ht="12" customHeight="1" x14ac:dyDescent="0.25">
      <c r="A250" s="2"/>
      <c r="B250" s="2"/>
      <c r="C250" s="2"/>
      <c r="D250" s="2"/>
      <c r="E250" s="2"/>
      <c r="F250" s="2"/>
      <c r="G250" s="26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81"/>
      <c r="AC250" s="2"/>
      <c r="AD250" s="2"/>
      <c r="AE250" s="281"/>
      <c r="AF250" s="2"/>
      <c r="AG250" s="2"/>
      <c r="AH250" s="2"/>
      <c r="AI250" s="28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 ht="12" customHeight="1" x14ac:dyDescent="0.25">
      <c r="A251" s="2"/>
      <c r="B251" s="2"/>
      <c r="C251" s="2"/>
      <c r="D251" s="2"/>
      <c r="E251" s="2"/>
      <c r="F251" s="2"/>
      <c r="G251" s="26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81"/>
      <c r="AC251" s="2"/>
      <c r="AD251" s="2"/>
      <c r="AE251" s="281"/>
      <c r="AF251" s="2"/>
      <c r="AG251" s="2"/>
      <c r="AH251" s="2"/>
      <c r="AI251" s="28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 ht="12" customHeight="1" x14ac:dyDescent="0.25">
      <c r="A252" s="2"/>
      <c r="B252" s="2"/>
      <c r="C252" s="2"/>
      <c r="D252" s="2"/>
      <c r="E252" s="2"/>
      <c r="F252" s="2"/>
      <c r="G252" s="26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81"/>
      <c r="AC252" s="2"/>
      <c r="AD252" s="2"/>
      <c r="AE252" s="281"/>
      <c r="AF252" s="2"/>
      <c r="AG252" s="2"/>
      <c r="AH252" s="2"/>
      <c r="AI252" s="28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2" customHeight="1" x14ac:dyDescent="0.25">
      <c r="A253" s="2"/>
      <c r="B253" s="2"/>
      <c r="C253" s="2"/>
      <c r="D253" s="2"/>
      <c r="E253" s="2"/>
      <c r="F253" s="2"/>
      <c r="G253" s="26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81"/>
      <c r="AC253" s="2"/>
      <c r="AD253" s="2"/>
      <c r="AE253" s="281"/>
      <c r="AF253" s="2"/>
      <c r="AG253" s="2"/>
      <c r="AH253" s="2"/>
      <c r="AI253" s="28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 ht="12" customHeight="1" x14ac:dyDescent="0.25">
      <c r="A254" s="2"/>
      <c r="B254" s="2"/>
      <c r="C254" s="2"/>
      <c r="D254" s="2"/>
      <c r="E254" s="2"/>
      <c r="F254" s="2"/>
      <c r="G254" s="26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81"/>
      <c r="AC254" s="2"/>
      <c r="AD254" s="2"/>
      <c r="AE254" s="281"/>
      <c r="AF254" s="2"/>
      <c r="AG254" s="2"/>
      <c r="AH254" s="2"/>
      <c r="AI254" s="28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 ht="12" customHeight="1" x14ac:dyDescent="0.25">
      <c r="A255" s="2"/>
      <c r="B255" s="2"/>
      <c r="C255" s="2"/>
      <c r="D255" s="2"/>
      <c r="E255" s="2"/>
      <c r="F255" s="2"/>
      <c r="G255" s="26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81"/>
      <c r="AC255" s="2"/>
      <c r="AD255" s="2"/>
      <c r="AE255" s="281"/>
      <c r="AF255" s="2"/>
      <c r="AG255" s="2"/>
      <c r="AH255" s="2"/>
      <c r="AI255" s="28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 ht="12" customHeight="1" x14ac:dyDescent="0.25">
      <c r="A256" s="2"/>
      <c r="B256" s="2"/>
      <c r="C256" s="2"/>
      <c r="D256" s="2"/>
      <c r="E256" s="2"/>
      <c r="F256" s="2"/>
      <c r="G256" s="26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81"/>
      <c r="AC256" s="2"/>
      <c r="AD256" s="2"/>
      <c r="AE256" s="281"/>
      <c r="AF256" s="2"/>
      <c r="AG256" s="2"/>
      <c r="AH256" s="2"/>
      <c r="AI256" s="28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 ht="12" customHeight="1" x14ac:dyDescent="0.25">
      <c r="A257" s="2"/>
      <c r="B257" s="2"/>
      <c r="C257" s="2"/>
      <c r="D257" s="2"/>
      <c r="E257" s="2"/>
      <c r="F257" s="2"/>
      <c r="G257" s="26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81"/>
      <c r="AC257" s="2"/>
      <c r="AD257" s="2"/>
      <c r="AE257" s="281"/>
      <c r="AF257" s="2"/>
      <c r="AG257" s="2"/>
      <c r="AH257" s="2"/>
      <c r="AI257" s="28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 ht="12" customHeight="1" x14ac:dyDescent="0.25">
      <c r="A258" s="2"/>
      <c r="B258" s="2"/>
      <c r="C258" s="2"/>
      <c r="D258" s="2"/>
      <c r="E258" s="2"/>
      <c r="F258" s="2"/>
      <c r="G258" s="26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81"/>
      <c r="AC258" s="2"/>
      <c r="AD258" s="2"/>
      <c r="AE258" s="281"/>
      <c r="AF258" s="2"/>
      <c r="AG258" s="2"/>
      <c r="AH258" s="2"/>
      <c r="AI258" s="28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 ht="12" customHeight="1" x14ac:dyDescent="0.25">
      <c r="A259" s="2"/>
      <c r="B259" s="2"/>
      <c r="C259" s="2"/>
      <c r="D259" s="2"/>
      <c r="E259" s="2"/>
      <c r="F259" s="2"/>
      <c r="G259" s="26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81"/>
      <c r="AC259" s="2"/>
      <c r="AD259" s="2"/>
      <c r="AE259" s="281"/>
      <c r="AF259" s="2"/>
      <c r="AG259" s="2"/>
      <c r="AH259" s="2"/>
      <c r="AI259" s="28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 ht="12" customHeight="1" x14ac:dyDescent="0.25">
      <c r="A260" s="2"/>
      <c r="B260" s="2"/>
      <c r="C260" s="2"/>
      <c r="D260" s="2"/>
      <c r="E260" s="2"/>
      <c r="F260" s="2"/>
      <c r="G260" s="26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81"/>
      <c r="AC260" s="2"/>
      <c r="AD260" s="2"/>
      <c r="AE260" s="281"/>
      <c r="AF260" s="2"/>
      <c r="AG260" s="2"/>
      <c r="AH260" s="2"/>
      <c r="AI260" s="28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 ht="12" customHeight="1" x14ac:dyDescent="0.25">
      <c r="A261" s="2"/>
      <c r="B261" s="2"/>
      <c r="C261" s="2"/>
      <c r="D261" s="2"/>
      <c r="E261" s="2"/>
      <c r="F261" s="2"/>
      <c r="G261" s="26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81"/>
      <c r="AC261" s="2"/>
      <c r="AD261" s="2"/>
      <c r="AE261" s="281"/>
      <c r="AF261" s="2"/>
      <c r="AG261" s="2"/>
      <c r="AH261" s="2"/>
      <c r="AI261" s="28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 ht="12" customHeight="1" x14ac:dyDescent="0.25">
      <c r="A262" s="2"/>
      <c r="B262" s="2"/>
      <c r="C262" s="2"/>
      <c r="D262" s="2"/>
      <c r="E262" s="2"/>
      <c r="F262" s="2"/>
      <c r="G262" s="26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81"/>
      <c r="AC262" s="2"/>
      <c r="AD262" s="2"/>
      <c r="AE262" s="281"/>
      <c r="AF262" s="2"/>
      <c r="AG262" s="2"/>
      <c r="AH262" s="2"/>
      <c r="AI262" s="28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 ht="12" customHeight="1" x14ac:dyDescent="0.25">
      <c r="A263" s="2"/>
      <c r="B263" s="2"/>
      <c r="C263" s="2"/>
      <c r="D263" s="2"/>
      <c r="E263" s="2"/>
      <c r="F263" s="2"/>
      <c r="G263" s="26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81"/>
      <c r="AC263" s="2"/>
      <c r="AD263" s="2"/>
      <c r="AE263" s="281"/>
      <c r="AF263" s="2"/>
      <c r="AG263" s="2"/>
      <c r="AH263" s="2"/>
      <c r="AI263" s="28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 ht="12" customHeight="1" x14ac:dyDescent="0.25">
      <c r="A264" s="2"/>
      <c r="B264" s="2"/>
      <c r="C264" s="2"/>
      <c r="D264" s="2"/>
      <c r="E264" s="2"/>
      <c r="F264" s="2"/>
      <c r="G264" s="26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81"/>
      <c r="AC264" s="2"/>
      <c r="AD264" s="2"/>
      <c r="AE264" s="281"/>
      <c r="AF264" s="2"/>
      <c r="AG264" s="2"/>
      <c r="AH264" s="2"/>
      <c r="AI264" s="28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 ht="12" customHeight="1" x14ac:dyDescent="0.25">
      <c r="A265" s="2"/>
      <c r="B265" s="2"/>
      <c r="C265" s="2"/>
      <c r="D265" s="2"/>
      <c r="E265" s="2"/>
      <c r="F265" s="2"/>
      <c r="G265" s="26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81"/>
      <c r="AC265" s="2"/>
      <c r="AD265" s="2"/>
      <c r="AE265" s="281"/>
      <c r="AF265" s="2"/>
      <c r="AG265" s="2"/>
      <c r="AH265" s="2"/>
      <c r="AI265" s="28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 ht="12" customHeight="1" x14ac:dyDescent="0.25">
      <c r="A266" s="2"/>
      <c r="B266" s="2"/>
      <c r="C266" s="2"/>
      <c r="D266" s="2"/>
      <c r="E266" s="2"/>
      <c r="F266" s="2"/>
      <c r="G266" s="26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81"/>
      <c r="AC266" s="2"/>
      <c r="AD266" s="2"/>
      <c r="AE266" s="281"/>
      <c r="AF266" s="2"/>
      <c r="AG266" s="2"/>
      <c r="AH266" s="2"/>
      <c r="AI266" s="28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 ht="12" customHeight="1" x14ac:dyDescent="0.25">
      <c r="A267" s="2"/>
      <c r="B267" s="2"/>
      <c r="C267" s="2"/>
      <c r="D267" s="2"/>
      <c r="E267" s="2"/>
      <c r="F267" s="2"/>
      <c r="G267" s="26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81"/>
      <c r="AC267" s="2"/>
      <c r="AD267" s="2"/>
      <c r="AE267" s="281"/>
      <c r="AF267" s="2"/>
      <c r="AG267" s="2"/>
      <c r="AH267" s="2"/>
      <c r="AI267" s="28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 ht="12" customHeight="1" x14ac:dyDescent="0.25">
      <c r="A268" s="2"/>
      <c r="B268" s="2"/>
      <c r="C268" s="2"/>
      <c r="D268" s="2"/>
      <c r="E268" s="2"/>
      <c r="F268" s="2"/>
      <c r="G268" s="26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81"/>
      <c r="AC268" s="2"/>
      <c r="AD268" s="2"/>
      <c r="AE268" s="281"/>
      <c r="AF268" s="2"/>
      <c r="AG268" s="2"/>
      <c r="AH268" s="2"/>
      <c r="AI268" s="28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 ht="12" customHeight="1" x14ac:dyDescent="0.25">
      <c r="A269" s="2"/>
      <c r="B269" s="2"/>
      <c r="C269" s="2"/>
      <c r="D269" s="2"/>
      <c r="E269" s="2"/>
      <c r="F269" s="2"/>
      <c r="G269" s="26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81"/>
      <c r="AC269" s="2"/>
      <c r="AD269" s="2"/>
      <c r="AE269" s="281"/>
      <c r="AF269" s="2"/>
      <c r="AG269" s="2"/>
      <c r="AH269" s="2"/>
      <c r="AI269" s="28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 ht="12" customHeight="1" x14ac:dyDescent="0.25">
      <c r="A270" s="2"/>
      <c r="B270" s="2"/>
      <c r="C270" s="2"/>
      <c r="D270" s="2"/>
      <c r="E270" s="2"/>
      <c r="F270" s="2"/>
      <c r="G270" s="26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81"/>
      <c r="AC270" s="2"/>
      <c r="AD270" s="2"/>
      <c r="AE270" s="281"/>
      <c r="AF270" s="2"/>
      <c r="AG270" s="2"/>
      <c r="AH270" s="2"/>
      <c r="AI270" s="28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 ht="12" customHeight="1" x14ac:dyDescent="0.25">
      <c r="A271" s="2"/>
      <c r="B271" s="2"/>
      <c r="C271" s="2"/>
      <c r="D271" s="2"/>
      <c r="E271" s="2"/>
      <c r="F271" s="2"/>
      <c r="G271" s="26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81"/>
      <c r="AC271" s="2"/>
      <c r="AD271" s="2"/>
      <c r="AE271" s="281"/>
      <c r="AF271" s="2"/>
      <c r="AG271" s="2"/>
      <c r="AH271" s="2"/>
      <c r="AI271" s="28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 ht="12" customHeight="1" x14ac:dyDescent="0.25">
      <c r="A272" s="2"/>
      <c r="B272" s="2"/>
      <c r="C272" s="2"/>
      <c r="D272" s="2"/>
      <c r="E272" s="2"/>
      <c r="F272" s="2"/>
      <c r="G272" s="26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81"/>
      <c r="AC272" s="2"/>
      <c r="AD272" s="2"/>
      <c r="AE272" s="281"/>
      <c r="AF272" s="2"/>
      <c r="AG272" s="2"/>
      <c r="AH272" s="2"/>
      <c r="AI272" s="28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 ht="12" customHeight="1" x14ac:dyDescent="0.25">
      <c r="A273" s="2"/>
      <c r="B273" s="2"/>
      <c r="C273" s="2"/>
      <c r="D273" s="2"/>
      <c r="E273" s="2"/>
      <c r="F273" s="2"/>
      <c r="G273" s="26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81"/>
      <c r="AC273" s="2"/>
      <c r="AD273" s="2"/>
      <c r="AE273" s="281"/>
      <c r="AF273" s="2"/>
      <c r="AG273" s="2"/>
      <c r="AH273" s="2"/>
      <c r="AI273" s="28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 ht="12" customHeight="1" x14ac:dyDescent="0.25">
      <c r="A274" s="2"/>
      <c r="B274" s="2"/>
      <c r="C274" s="2"/>
      <c r="D274" s="2"/>
      <c r="E274" s="2"/>
      <c r="F274" s="2"/>
      <c r="G274" s="26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81"/>
      <c r="AC274" s="2"/>
      <c r="AD274" s="2"/>
      <c r="AE274" s="281"/>
      <c r="AF274" s="2"/>
      <c r="AG274" s="2"/>
      <c r="AH274" s="2"/>
      <c r="AI274" s="28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 ht="12" customHeight="1" x14ac:dyDescent="0.25">
      <c r="A275" s="2"/>
      <c r="B275" s="2"/>
      <c r="C275" s="2"/>
      <c r="D275" s="2"/>
      <c r="E275" s="2"/>
      <c r="F275" s="2"/>
      <c r="G275" s="26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81"/>
      <c r="AC275" s="2"/>
      <c r="AD275" s="2"/>
      <c r="AE275" s="281"/>
      <c r="AF275" s="2"/>
      <c r="AG275" s="2"/>
      <c r="AH275" s="2"/>
      <c r="AI275" s="28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 ht="12" customHeight="1" x14ac:dyDescent="0.25">
      <c r="A276" s="2"/>
      <c r="B276" s="2"/>
      <c r="C276" s="2"/>
      <c r="D276" s="2"/>
      <c r="E276" s="2"/>
      <c r="F276" s="2"/>
      <c r="G276" s="26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81"/>
      <c r="AC276" s="2"/>
      <c r="AD276" s="2"/>
      <c r="AE276" s="281"/>
      <c r="AF276" s="2"/>
      <c r="AG276" s="2"/>
      <c r="AH276" s="2"/>
      <c r="AI276" s="28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 ht="12" customHeight="1" x14ac:dyDescent="0.25">
      <c r="A277" s="2"/>
      <c r="B277" s="2"/>
      <c r="C277" s="2"/>
      <c r="D277" s="2"/>
      <c r="E277" s="2"/>
      <c r="F277" s="2"/>
      <c r="G277" s="26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81"/>
      <c r="AC277" s="2"/>
      <c r="AD277" s="2"/>
      <c r="AE277" s="281"/>
      <c r="AF277" s="2"/>
      <c r="AG277" s="2"/>
      <c r="AH277" s="2"/>
      <c r="AI277" s="28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 ht="12" customHeight="1" x14ac:dyDescent="0.25">
      <c r="A278" s="2"/>
      <c r="B278" s="2"/>
      <c r="C278" s="2"/>
      <c r="D278" s="2"/>
      <c r="E278" s="2"/>
      <c r="F278" s="2"/>
      <c r="G278" s="26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81"/>
      <c r="AC278" s="2"/>
      <c r="AD278" s="2"/>
      <c r="AE278" s="281"/>
      <c r="AF278" s="2"/>
      <c r="AG278" s="2"/>
      <c r="AH278" s="2"/>
      <c r="AI278" s="28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 ht="12" customHeight="1" x14ac:dyDescent="0.25">
      <c r="A279" s="2"/>
      <c r="B279" s="2"/>
      <c r="C279" s="2"/>
      <c r="D279" s="2"/>
      <c r="E279" s="2"/>
      <c r="F279" s="2"/>
      <c r="G279" s="26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81"/>
      <c r="AC279" s="2"/>
      <c r="AD279" s="2"/>
      <c r="AE279" s="281"/>
      <c r="AF279" s="2"/>
      <c r="AG279" s="2"/>
      <c r="AH279" s="2"/>
      <c r="AI279" s="28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 ht="12" customHeight="1" x14ac:dyDescent="0.25">
      <c r="A280" s="2"/>
      <c r="B280" s="2"/>
      <c r="C280" s="2"/>
      <c r="D280" s="2"/>
      <c r="E280" s="2"/>
      <c r="F280" s="2"/>
      <c r="G280" s="26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81"/>
      <c r="AC280" s="2"/>
      <c r="AD280" s="2"/>
      <c r="AE280" s="281"/>
      <c r="AF280" s="2"/>
      <c r="AG280" s="2"/>
      <c r="AH280" s="2"/>
      <c r="AI280" s="28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 ht="12" customHeight="1" x14ac:dyDescent="0.25">
      <c r="A281" s="2"/>
      <c r="B281" s="2"/>
      <c r="C281" s="2"/>
      <c r="D281" s="2"/>
      <c r="E281" s="2"/>
      <c r="F281" s="2"/>
      <c r="G281" s="26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81"/>
      <c r="AC281" s="2"/>
      <c r="AD281" s="2"/>
      <c r="AE281" s="281"/>
      <c r="AF281" s="2"/>
      <c r="AG281" s="2"/>
      <c r="AH281" s="2"/>
      <c r="AI281" s="28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 ht="12" customHeight="1" x14ac:dyDescent="0.25">
      <c r="A282" s="2"/>
      <c r="B282" s="2"/>
      <c r="C282" s="2"/>
      <c r="D282" s="2"/>
      <c r="E282" s="2"/>
      <c r="F282" s="2"/>
      <c r="G282" s="26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81"/>
      <c r="AC282" s="2"/>
      <c r="AD282" s="2"/>
      <c r="AE282" s="281"/>
      <c r="AF282" s="2"/>
      <c r="AG282" s="2"/>
      <c r="AH282" s="2"/>
      <c r="AI282" s="28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 ht="12" customHeight="1" x14ac:dyDescent="0.25">
      <c r="A283" s="2"/>
      <c r="B283" s="2"/>
      <c r="C283" s="2"/>
      <c r="D283" s="2"/>
      <c r="E283" s="2"/>
      <c r="F283" s="2"/>
      <c r="G283" s="26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81"/>
      <c r="AC283" s="2"/>
      <c r="AD283" s="2"/>
      <c r="AE283" s="281"/>
      <c r="AF283" s="2"/>
      <c r="AG283" s="2"/>
      <c r="AH283" s="2"/>
      <c r="AI283" s="28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 ht="12" customHeight="1" x14ac:dyDescent="0.25">
      <c r="A284" s="2"/>
      <c r="B284" s="2"/>
      <c r="C284" s="2"/>
      <c r="D284" s="2"/>
      <c r="E284" s="2"/>
      <c r="F284" s="2"/>
      <c r="G284" s="26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81"/>
      <c r="AC284" s="2"/>
      <c r="AD284" s="2"/>
      <c r="AE284" s="281"/>
      <c r="AF284" s="2"/>
      <c r="AG284" s="2"/>
      <c r="AH284" s="2"/>
      <c r="AI284" s="28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 ht="12" customHeight="1" x14ac:dyDescent="0.25">
      <c r="A285" s="2"/>
      <c r="B285" s="2"/>
      <c r="C285" s="2"/>
      <c r="D285" s="2"/>
      <c r="E285" s="2"/>
      <c r="F285" s="2"/>
      <c r="G285" s="26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81"/>
      <c r="AC285" s="2"/>
      <c r="AD285" s="2"/>
      <c r="AE285" s="281"/>
      <c r="AF285" s="2"/>
      <c r="AG285" s="2"/>
      <c r="AH285" s="2"/>
      <c r="AI285" s="28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 ht="12" customHeight="1" x14ac:dyDescent="0.25">
      <c r="A286" s="2"/>
      <c r="B286" s="2"/>
      <c r="C286" s="2"/>
      <c r="D286" s="2"/>
      <c r="E286" s="2"/>
      <c r="F286" s="2"/>
      <c r="G286" s="26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81"/>
      <c r="AC286" s="2"/>
      <c r="AD286" s="2"/>
      <c r="AE286" s="281"/>
      <c r="AF286" s="2"/>
      <c r="AG286" s="2"/>
      <c r="AH286" s="2"/>
      <c r="AI286" s="28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 ht="12" customHeight="1" x14ac:dyDescent="0.25">
      <c r="A287" s="2"/>
      <c r="B287" s="2"/>
      <c r="C287" s="2"/>
      <c r="D287" s="2"/>
      <c r="E287" s="2"/>
      <c r="F287" s="2"/>
      <c r="G287" s="26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81"/>
      <c r="AC287" s="2"/>
      <c r="AD287" s="2"/>
      <c r="AE287" s="281"/>
      <c r="AF287" s="2"/>
      <c r="AG287" s="2"/>
      <c r="AH287" s="2"/>
      <c r="AI287" s="28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 ht="12" customHeight="1" x14ac:dyDescent="0.25">
      <c r="A288" s="2"/>
      <c r="B288" s="2"/>
      <c r="C288" s="2"/>
      <c r="D288" s="2"/>
      <c r="E288" s="2"/>
      <c r="F288" s="2"/>
      <c r="G288" s="26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81"/>
      <c r="AC288" s="2"/>
      <c r="AD288" s="2"/>
      <c r="AE288" s="281"/>
      <c r="AF288" s="2"/>
      <c r="AG288" s="2"/>
      <c r="AH288" s="2"/>
      <c r="AI288" s="28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 ht="12" customHeight="1" x14ac:dyDescent="0.25">
      <c r="A289" s="2"/>
      <c r="B289" s="2"/>
      <c r="C289" s="2"/>
      <c r="D289" s="2"/>
      <c r="E289" s="2"/>
      <c r="F289" s="2"/>
      <c r="G289" s="26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81"/>
      <c r="AC289" s="2"/>
      <c r="AD289" s="2"/>
      <c r="AE289" s="281"/>
      <c r="AF289" s="2"/>
      <c r="AG289" s="2"/>
      <c r="AH289" s="2"/>
      <c r="AI289" s="28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 ht="12" customHeight="1" x14ac:dyDescent="0.25">
      <c r="A290" s="2"/>
      <c r="B290" s="2"/>
      <c r="C290" s="2"/>
      <c r="D290" s="2"/>
      <c r="E290" s="2"/>
      <c r="F290" s="2"/>
      <c r="G290" s="26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81"/>
      <c r="AC290" s="2"/>
      <c r="AD290" s="2"/>
      <c r="AE290" s="281"/>
      <c r="AF290" s="2"/>
      <c r="AG290" s="2"/>
      <c r="AH290" s="2"/>
      <c r="AI290" s="28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 ht="12" customHeight="1" x14ac:dyDescent="0.25">
      <c r="A291" s="2"/>
      <c r="B291" s="2"/>
      <c r="C291" s="2"/>
      <c r="D291" s="2"/>
      <c r="E291" s="2"/>
      <c r="F291" s="2"/>
      <c r="G291" s="26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81"/>
      <c r="AC291" s="2"/>
      <c r="AD291" s="2"/>
      <c r="AE291" s="281"/>
      <c r="AF291" s="2"/>
      <c r="AG291" s="2"/>
      <c r="AH291" s="2"/>
      <c r="AI291" s="28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 ht="12" customHeight="1" x14ac:dyDescent="0.25">
      <c r="A292" s="2"/>
      <c r="B292" s="2"/>
      <c r="C292" s="2"/>
      <c r="D292" s="2"/>
      <c r="E292" s="2"/>
      <c r="F292" s="2"/>
      <c r="G292" s="26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81"/>
      <c r="AC292" s="2"/>
      <c r="AD292" s="2"/>
      <c r="AE292" s="281"/>
      <c r="AF292" s="2"/>
      <c r="AG292" s="2"/>
      <c r="AH292" s="2"/>
      <c r="AI292" s="28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 ht="12" customHeight="1" x14ac:dyDescent="0.25">
      <c r="A293" s="2"/>
      <c r="B293" s="2"/>
      <c r="C293" s="2"/>
      <c r="D293" s="2"/>
      <c r="E293" s="2"/>
      <c r="F293" s="2"/>
      <c r="G293" s="26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81"/>
      <c r="AC293" s="2"/>
      <c r="AD293" s="2"/>
      <c r="AE293" s="281"/>
      <c r="AF293" s="2"/>
      <c r="AG293" s="2"/>
      <c r="AH293" s="2"/>
      <c r="AI293" s="28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 ht="12" customHeight="1" x14ac:dyDescent="0.25">
      <c r="A294" s="2"/>
      <c r="B294" s="2"/>
      <c r="C294" s="2"/>
      <c r="D294" s="2"/>
      <c r="E294" s="2"/>
      <c r="F294" s="2"/>
      <c r="G294" s="26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81"/>
      <c r="AC294" s="2"/>
      <c r="AD294" s="2"/>
      <c r="AE294" s="281"/>
      <c r="AF294" s="2"/>
      <c r="AG294" s="2"/>
      <c r="AH294" s="2"/>
      <c r="AI294" s="28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 ht="12" customHeight="1" x14ac:dyDescent="0.25">
      <c r="A295" s="2"/>
      <c r="B295" s="2"/>
      <c r="C295" s="2"/>
      <c r="D295" s="2"/>
      <c r="E295" s="2"/>
      <c r="F295" s="2"/>
      <c r="G295" s="26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81"/>
      <c r="AC295" s="2"/>
      <c r="AD295" s="2"/>
      <c r="AE295" s="281"/>
      <c r="AF295" s="2"/>
      <c r="AG295" s="2"/>
      <c r="AH295" s="2"/>
      <c r="AI295" s="28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 ht="12" customHeight="1" x14ac:dyDescent="0.25">
      <c r="A296" s="2"/>
      <c r="B296" s="2"/>
      <c r="C296" s="2"/>
      <c r="D296" s="2"/>
      <c r="E296" s="2"/>
      <c r="F296" s="2"/>
      <c r="G296" s="26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81"/>
      <c r="AC296" s="2"/>
      <c r="AD296" s="2"/>
      <c r="AE296" s="281"/>
      <c r="AF296" s="2"/>
      <c r="AG296" s="2"/>
      <c r="AH296" s="2"/>
      <c r="AI296" s="28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 ht="12" customHeight="1" x14ac:dyDescent="0.25">
      <c r="A297" s="2"/>
      <c r="B297" s="2"/>
      <c r="C297" s="2"/>
      <c r="D297" s="2"/>
      <c r="E297" s="2"/>
      <c r="F297" s="2"/>
      <c r="G297" s="26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81"/>
      <c r="AC297" s="2"/>
      <c r="AD297" s="2"/>
      <c r="AE297" s="281"/>
      <c r="AF297" s="2"/>
      <c r="AG297" s="2"/>
      <c r="AH297" s="2"/>
      <c r="AI297" s="28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 ht="12" customHeight="1" x14ac:dyDescent="0.25">
      <c r="A298" s="2"/>
      <c r="B298" s="2"/>
      <c r="C298" s="2"/>
      <c r="D298" s="2"/>
      <c r="E298" s="2"/>
      <c r="F298" s="2"/>
      <c r="G298" s="26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81"/>
      <c r="AC298" s="2"/>
      <c r="AD298" s="2"/>
      <c r="AE298" s="281"/>
      <c r="AF298" s="2"/>
      <c r="AG298" s="2"/>
      <c r="AH298" s="2"/>
      <c r="AI298" s="28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 ht="12" customHeight="1" x14ac:dyDescent="0.25">
      <c r="A299" s="2"/>
      <c r="B299" s="2"/>
      <c r="C299" s="2"/>
      <c r="D299" s="2"/>
      <c r="E299" s="2"/>
      <c r="F299" s="2"/>
      <c r="G299" s="26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81"/>
      <c r="AC299" s="2"/>
      <c r="AD299" s="2"/>
      <c r="AE299" s="281"/>
      <c r="AF299" s="2"/>
      <c r="AG299" s="2"/>
      <c r="AH299" s="2"/>
      <c r="AI299" s="28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 ht="12" customHeight="1" x14ac:dyDescent="0.25">
      <c r="A300" s="2"/>
      <c r="B300" s="2"/>
      <c r="C300" s="2"/>
      <c r="D300" s="2"/>
      <c r="E300" s="2"/>
      <c r="F300" s="2"/>
      <c r="G300" s="26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81"/>
      <c r="AC300" s="2"/>
      <c r="AD300" s="2"/>
      <c r="AE300" s="281"/>
      <c r="AF300" s="2"/>
      <c r="AG300" s="2"/>
      <c r="AH300" s="2"/>
      <c r="AI300" s="28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 ht="12" customHeight="1" x14ac:dyDescent="0.25">
      <c r="A301" s="2"/>
      <c r="B301" s="2"/>
      <c r="C301" s="2"/>
      <c r="D301" s="2"/>
      <c r="E301" s="2"/>
      <c r="F301" s="2"/>
      <c r="G301" s="26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81"/>
      <c r="AC301" s="2"/>
      <c r="AD301" s="2"/>
      <c r="AE301" s="281"/>
      <c r="AF301" s="2"/>
      <c r="AG301" s="2"/>
      <c r="AH301" s="2"/>
      <c r="AI301" s="28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 ht="12" customHeight="1" x14ac:dyDescent="0.25">
      <c r="A302" s="2"/>
      <c r="B302" s="2"/>
      <c r="C302" s="2"/>
      <c r="D302" s="2"/>
      <c r="E302" s="2"/>
      <c r="F302" s="2"/>
      <c r="G302" s="26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81"/>
      <c r="AC302" s="2"/>
      <c r="AD302" s="2"/>
      <c r="AE302" s="281"/>
      <c r="AF302" s="2"/>
      <c r="AG302" s="2"/>
      <c r="AH302" s="2"/>
      <c r="AI302" s="28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 ht="12" customHeight="1" x14ac:dyDescent="0.25">
      <c r="A303" s="2"/>
      <c r="B303" s="2"/>
      <c r="C303" s="2"/>
      <c r="D303" s="2"/>
      <c r="E303" s="2"/>
      <c r="F303" s="2"/>
      <c r="G303" s="26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81"/>
      <c r="AC303" s="2"/>
      <c r="AD303" s="2"/>
      <c r="AE303" s="281"/>
      <c r="AF303" s="2"/>
      <c r="AG303" s="2"/>
      <c r="AH303" s="2"/>
      <c r="AI303" s="28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 ht="12" customHeight="1" x14ac:dyDescent="0.25">
      <c r="A304" s="2"/>
      <c r="B304" s="2"/>
      <c r="C304" s="2"/>
      <c r="D304" s="2"/>
      <c r="E304" s="2"/>
      <c r="F304" s="2"/>
      <c r="G304" s="26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81"/>
      <c r="AC304" s="2"/>
      <c r="AD304" s="2"/>
      <c r="AE304" s="281"/>
      <c r="AF304" s="2"/>
      <c r="AG304" s="2"/>
      <c r="AH304" s="2"/>
      <c r="AI304" s="28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 ht="12" customHeight="1" x14ac:dyDescent="0.25">
      <c r="A305" s="2"/>
      <c r="B305" s="2"/>
      <c r="C305" s="2"/>
      <c r="D305" s="2"/>
      <c r="E305" s="2"/>
      <c r="F305" s="2"/>
      <c r="G305" s="26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81"/>
      <c r="AC305" s="2"/>
      <c r="AD305" s="2"/>
      <c r="AE305" s="281"/>
      <c r="AF305" s="2"/>
      <c r="AG305" s="2"/>
      <c r="AH305" s="2"/>
      <c r="AI305" s="28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 ht="12" customHeight="1" x14ac:dyDescent="0.25">
      <c r="A306" s="2"/>
      <c r="B306" s="2"/>
      <c r="C306" s="2"/>
      <c r="D306" s="2"/>
      <c r="E306" s="2"/>
      <c r="F306" s="2"/>
      <c r="G306" s="26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81"/>
      <c r="AC306" s="2"/>
      <c r="AD306" s="2"/>
      <c r="AE306" s="281"/>
      <c r="AF306" s="2"/>
      <c r="AG306" s="2"/>
      <c r="AH306" s="2"/>
      <c r="AI306" s="28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 ht="12" customHeight="1" x14ac:dyDescent="0.25">
      <c r="A307" s="2"/>
      <c r="B307" s="2"/>
      <c r="C307" s="2"/>
      <c r="D307" s="2"/>
      <c r="E307" s="2"/>
      <c r="F307" s="2"/>
      <c r="G307" s="26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81"/>
      <c r="AC307" s="2"/>
      <c r="AD307" s="2"/>
      <c r="AE307" s="281"/>
      <c r="AF307" s="2"/>
      <c r="AG307" s="2"/>
      <c r="AH307" s="2"/>
      <c r="AI307" s="28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 ht="12" customHeight="1" x14ac:dyDescent="0.25">
      <c r="A308" s="2"/>
      <c r="B308" s="2"/>
      <c r="C308" s="2"/>
      <c r="D308" s="2"/>
      <c r="E308" s="2"/>
      <c r="F308" s="2"/>
      <c r="G308" s="26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81"/>
      <c r="AC308" s="2"/>
      <c r="AD308" s="2"/>
      <c r="AE308" s="281"/>
      <c r="AF308" s="2"/>
      <c r="AG308" s="2"/>
      <c r="AH308" s="2"/>
      <c r="AI308" s="28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 ht="12" customHeight="1" x14ac:dyDescent="0.25">
      <c r="A309" s="2"/>
      <c r="B309" s="2"/>
      <c r="C309" s="2"/>
      <c r="D309" s="2"/>
      <c r="E309" s="2"/>
      <c r="F309" s="2"/>
      <c r="G309" s="26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81"/>
      <c r="AC309" s="2"/>
      <c r="AD309" s="2"/>
      <c r="AE309" s="281"/>
      <c r="AF309" s="2"/>
      <c r="AG309" s="2"/>
      <c r="AH309" s="2"/>
      <c r="AI309" s="28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 ht="12" customHeight="1" x14ac:dyDescent="0.25">
      <c r="A310" s="2"/>
      <c r="B310" s="2"/>
      <c r="C310" s="2"/>
      <c r="D310" s="2"/>
      <c r="E310" s="2"/>
      <c r="F310" s="2"/>
      <c r="G310" s="26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81"/>
      <c r="AC310" s="2"/>
      <c r="AD310" s="2"/>
      <c r="AE310" s="281"/>
      <c r="AF310" s="2"/>
      <c r="AG310" s="2"/>
      <c r="AH310" s="2"/>
      <c r="AI310" s="28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 ht="12" customHeight="1" x14ac:dyDescent="0.25">
      <c r="A311" s="2"/>
      <c r="B311" s="2"/>
      <c r="C311" s="2"/>
      <c r="D311" s="2"/>
      <c r="E311" s="2"/>
      <c r="F311" s="2"/>
      <c r="G311" s="26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81"/>
      <c r="AC311" s="2"/>
      <c r="AD311" s="2"/>
      <c r="AE311" s="281"/>
      <c r="AF311" s="2"/>
      <c r="AG311" s="2"/>
      <c r="AH311" s="2"/>
      <c r="AI311" s="28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 ht="12" customHeight="1" x14ac:dyDescent="0.25">
      <c r="A312" s="2"/>
      <c r="B312" s="2"/>
      <c r="C312" s="2"/>
      <c r="D312" s="2"/>
      <c r="E312" s="2"/>
      <c r="F312" s="2"/>
      <c r="G312" s="26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81"/>
      <c r="AC312" s="2"/>
      <c r="AD312" s="2"/>
      <c r="AE312" s="281"/>
      <c r="AF312" s="2"/>
      <c r="AG312" s="2"/>
      <c r="AH312" s="2"/>
      <c r="AI312" s="28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 ht="12" customHeight="1" x14ac:dyDescent="0.25">
      <c r="A313" s="2"/>
      <c r="B313" s="2"/>
      <c r="C313" s="2"/>
      <c r="D313" s="2"/>
      <c r="E313" s="2"/>
      <c r="F313" s="2"/>
      <c r="G313" s="26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81"/>
      <c r="AC313" s="2"/>
      <c r="AD313" s="2"/>
      <c r="AE313" s="281"/>
      <c r="AF313" s="2"/>
      <c r="AG313" s="2"/>
      <c r="AH313" s="2"/>
      <c r="AI313" s="28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 ht="12" customHeight="1" x14ac:dyDescent="0.25">
      <c r="A314" s="2"/>
      <c r="B314" s="2"/>
      <c r="C314" s="2"/>
      <c r="D314" s="2"/>
      <c r="E314" s="2"/>
      <c r="F314" s="2"/>
      <c r="G314" s="26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81"/>
      <c r="AC314" s="2"/>
      <c r="AD314" s="2"/>
      <c r="AE314" s="281"/>
      <c r="AF314" s="2"/>
      <c r="AG314" s="2"/>
      <c r="AH314" s="2"/>
      <c r="AI314" s="28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 ht="12" customHeight="1" x14ac:dyDescent="0.25">
      <c r="A315" s="2"/>
      <c r="B315" s="2"/>
      <c r="C315" s="2"/>
      <c r="D315" s="2"/>
      <c r="E315" s="2"/>
      <c r="F315" s="2"/>
      <c r="G315" s="26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81"/>
      <c r="AC315" s="2"/>
      <c r="AD315" s="2"/>
      <c r="AE315" s="281"/>
      <c r="AF315" s="2"/>
      <c r="AG315" s="2"/>
      <c r="AH315" s="2"/>
      <c r="AI315" s="28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 ht="12" customHeight="1" x14ac:dyDescent="0.25">
      <c r="A316" s="2"/>
      <c r="B316" s="2"/>
      <c r="C316" s="2"/>
      <c r="D316" s="2"/>
      <c r="E316" s="2"/>
      <c r="F316" s="2"/>
      <c r="G316" s="26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81"/>
      <c r="AC316" s="2"/>
      <c r="AD316" s="2"/>
      <c r="AE316" s="281"/>
      <c r="AF316" s="2"/>
      <c r="AG316" s="2"/>
      <c r="AH316" s="2"/>
      <c r="AI316" s="28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 ht="12" customHeight="1" x14ac:dyDescent="0.25">
      <c r="A317" s="2"/>
      <c r="B317" s="2"/>
      <c r="C317" s="2"/>
      <c r="D317" s="2"/>
      <c r="E317" s="2"/>
      <c r="F317" s="2"/>
      <c r="G317" s="26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81"/>
      <c r="AC317" s="2"/>
      <c r="AD317" s="2"/>
      <c r="AE317" s="281"/>
      <c r="AF317" s="2"/>
      <c r="AG317" s="2"/>
      <c r="AH317" s="2"/>
      <c r="AI317" s="28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 ht="12" customHeight="1" x14ac:dyDescent="0.25">
      <c r="A318" s="2"/>
      <c r="B318" s="2"/>
      <c r="C318" s="2"/>
      <c r="D318" s="2"/>
      <c r="E318" s="2"/>
      <c r="F318" s="2"/>
      <c r="G318" s="26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81"/>
      <c r="AC318" s="2"/>
      <c r="AD318" s="2"/>
      <c r="AE318" s="281"/>
      <c r="AF318" s="2"/>
      <c r="AG318" s="2"/>
      <c r="AH318" s="2"/>
      <c r="AI318" s="28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 ht="12" customHeight="1" x14ac:dyDescent="0.25">
      <c r="A319" s="2"/>
      <c r="B319" s="2"/>
      <c r="C319" s="2"/>
      <c r="D319" s="2"/>
      <c r="E319" s="2"/>
      <c r="F319" s="2"/>
      <c r="G319" s="26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81"/>
      <c r="AC319" s="2"/>
      <c r="AD319" s="2"/>
      <c r="AE319" s="281"/>
      <c r="AF319" s="2"/>
      <c r="AG319" s="2"/>
      <c r="AH319" s="2"/>
      <c r="AI319" s="28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 ht="12" customHeight="1" x14ac:dyDescent="0.25">
      <c r="A320" s="2"/>
      <c r="B320" s="2"/>
      <c r="C320" s="2"/>
      <c r="D320" s="2"/>
      <c r="E320" s="2"/>
      <c r="F320" s="2"/>
      <c r="G320" s="26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81"/>
      <c r="AC320" s="2"/>
      <c r="AD320" s="2"/>
      <c r="AE320" s="281"/>
      <c r="AF320" s="2"/>
      <c r="AG320" s="2"/>
      <c r="AH320" s="2"/>
      <c r="AI320" s="28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 ht="12" customHeight="1" x14ac:dyDescent="0.25">
      <c r="A321" s="2"/>
      <c r="B321" s="2"/>
      <c r="C321" s="2"/>
      <c r="D321" s="2"/>
      <c r="E321" s="2"/>
      <c r="F321" s="2"/>
      <c r="G321" s="26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81"/>
      <c r="AC321" s="2"/>
      <c r="AD321" s="2"/>
      <c r="AE321" s="281"/>
      <c r="AF321" s="2"/>
      <c r="AG321" s="2"/>
      <c r="AH321" s="2"/>
      <c r="AI321" s="28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 ht="12" customHeight="1" x14ac:dyDescent="0.25">
      <c r="A322" s="2"/>
      <c r="B322" s="2"/>
      <c r="C322" s="2"/>
      <c r="D322" s="2"/>
      <c r="E322" s="2"/>
      <c r="F322" s="2"/>
      <c r="G322" s="26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81"/>
      <c r="AC322" s="2"/>
      <c r="AD322" s="2"/>
      <c r="AE322" s="281"/>
      <c r="AF322" s="2"/>
      <c r="AG322" s="2"/>
      <c r="AH322" s="2"/>
      <c r="AI322" s="28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 ht="12" customHeight="1" x14ac:dyDescent="0.25">
      <c r="A323" s="2"/>
      <c r="B323" s="2"/>
      <c r="C323" s="2"/>
      <c r="D323" s="2"/>
      <c r="E323" s="2"/>
      <c r="F323" s="2"/>
      <c r="G323" s="26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81"/>
      <c r="AC323" s="2"/>
      <c r="AD323" s="2"/>
      <c r="AE323" s="281"/>
      <c r="AF323" s="2"/>
      <c r="AG323" s="2"/>
      <c r="AH323" s="2"/>
      <c r="AI323" s="28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 ht="12" customHeight="1" x14ac:dyDescent="0.25">
      <c r="A324" s="2"/>
      <c r="B324" s="2"/>
      <c r="C324" s="2"/>
      <c r="D324" s="2"/>
      <c r="E324" s="2"/>
      <c r="F324" s="2"/>
      <c r="G324" s="26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81"/>
      <c r="AC324" s="2"/>
      <c r="AD324" s="2"/>
      <c r="AE324" s="281"/>
      <c r="AF324" s="2"/>
      <c r="AG324" s="2"/>
      <c r="AH324" s="2"/>
      <c r="AI324" s="28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 ht="12" customHeight="1" x14ac:dyDescent="0.25">
      <c r="A325" s="2"/>
      <c r="B325" s="2"/>
      <c r="C325" s="2"/>
      <c r="D325" s="2"/>
      <c r="E325" s="2"/>
      <c r="F325" s="2"/>
      <c r="G325" s="26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81"/>
      <c r="AC325" s="2"/>
      <c r="AD325" s="2"/>
      <c r="AE325" s="281"/>
      <c r="AF325" s="2"/>
      <c r="AG325" s="2"/>
      <c r="AH325" s="2"/>
      <c r="AI325" s="28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 ht="12" customHeight="1" x14ac:dyDescent="0.25">
      <c r="A326" s="2"/>
      <c r="B326" s="2"/>
      <c r="C326" s="2"/>
      <c r="D326" s="2"/>
      <c r="E326" s="2"/>
      <c r="F326" s="2"/>
      <c r="G326" s="26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81"/>
      <c r="AC326" s="2"/>
      <c r="AD326" s="2"/>
      <c r="AE326" s="281"/>
      <c r="AF326" s="2"/>
      <c r="AG326" s="2"/>
      <c r="AH326" s="2"/>
      <c r="AI326" s="28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 ht="12" customHeight="1" x14ac:dyDescent="0.25">
      <c r="A327" s="2"/>
      <c r="B327" s="2"/>
      <c r="C327" s="2"/>
      <c r="D327" s="2"/>
      <c r="E327" s="2"/>
      <c r="F327" s="2"/>
      <c r="G327" s="26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81"/>
      <c r="AC327" s="2"/>
      <c r="AD327" s="2"/>
      <c r="AE327" s="281"/>
      <c r="AF327" s="2"/>
      <c r="AG327" s="2"/>
      <c r="AH327" s="2"/>
      <c r="AI327" s="28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 ht="12" customHeight="1" x14ac:dyDescent="0.25">
      <c r="A328" s="2"/>
      <c r="B328" s="2"/>
      <c r="C328" s="2"/>
      <c r="D328" s="2"/>
      <c r="E328" s="2"/>
      <c r="F328" s="2"/>
      <c r="G328" s="26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81"/>
      <c r="AC328" s="2"/>
      <c r="AD328" s="2"/>
      <c r="AE328" s="281"/>
      <c r="AF328" s="2"/>
      <c r="AG328" s="2"/>
      <c r="AH328" s="2"/>
      <c r="AI328" s="28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 ht="12" customHeight="1" x14ac:dyDescent="0.25">
      <c r="A329" s="2"/>
      <c r="B329" s="2"/>
      <c r="C329" s="2"/>
      <c r="D329" s="2"/>
      <c r="E329" s="2"/>
      <c r="F329" s="2"/>
      <c r="G329" s="26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81"/>
      <c r="AC329" s="2"/>
      <c r="AD329" s="2"/>
      <c r="AE329" s="281"/>
      <c r="AF329" s="2"/>
      <c r="AG329" s="2"/>
      <c r="AH329" s="2"/>
      <c r="AI329" s="28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 ht="12" customHeight="1" x14ac:dyDescent="0.25">
      <c r="A330" s="2"/>
      <c r="B330" s="2"/>
      <c r="C330" s="2"/>
      <c r="D330" s="2"/>
      <c r="E330" s="2"/>
      <c r="F330" s="2"/>
      <c r="G330" s="26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81"/>
      <c r="AC330" s="2"/>
      <c r="AD330" s="2"/>
      <c r="AE330" s="281"/>
      <c r="AF330" s="2"/>
      <c r="AG330" s="2"/>
      <c r="AH330" s="2"/>
      <c r="AI330" s="28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 ht="12" customHeight="1" x14ac:dyDescent="0.25">
      <c r="A331" s="2"/>
      <c r="B331" s="2"/>
      <c r="C331" s="2"/>
      <c r="D331" s="2"/>
      <c r="E331" s="2"/>
      <c r="F331" s="2"/>
      <c r="G331" s="26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81"/>
      <c r="AC331" s="2"/>
      <c r="AD331" s="2"/>
      <c r="AE331" s="281"/>
      <c r="AF331" s="2"/>
      <c r="AG331" s="2"/>
      <c r="AH331" s="2"/>
      <c r="AI331" s="28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 ht="12" customHeight="1" x14ac:dyDescent="0.25">
      <c r="A332" s="2"/>
      <c r="B332" s="2"/>
      <c r="C332" s="2"/>
      <c r="D332" s="2"/>
      <c r="E332" s="2"/>
      <c r="F332" s="2"/>
      <c r="G332" s="26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81"/>
      <c r="AC332" s="2"/>
      <c r="AD332" s="2"/>
      <c r="AE332" s="281"/>
      <c r="AF332" s="2"/>
      <c r="AG332" s="2"/>
      <c r="AH332" s="2"/>
      <c r="AI332" s="28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 ht="12" customHeight="1" x14ac:dyDescent="0.25">
      <c r="A333" s="2"/>
      <c r="B333" s="2"/>
      <c r="C333" s="2"/>
      <c r="D333" s="2"/>
      <c r="E333" s="2"/>
      <c r="F333" s="2"/>
      <c r="G333" s="26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81"/>
      <c r="AC333" s="2"/>
      <c r="AD333" s="2"/>
      <c r="AE333" s="281"/>
      <c r="AF333" s="2"/>
      <c r="AG333" s="2"/>
      <c r="AH333" s="2"/>
      <c r="AI333" s="28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 ht="12" customHeight="1" x14ac:dyDescent="0.25">
      <c r="A334" s="2"/>
      <c r="B334" s="2"/>
      <c r="C334" s="2"/>
      <c r="D334" s="2"/>
      <c r="E334" s="2"/>
      <c r="F334" s="2"/>
      <c r="G334" s="26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81"/>
      <c r="AC334" s="2"/>
      <c r="AD334" s="2"/>
      <c r="AE334" s="281"/>
      <c r="AF334" s="2"/>
      <c r="AG334" s="2"/>
      <c r="AH334" s="2"/>
      <c r="AI334" s="28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 ht="12" customHeight="1" x14ac:dyDescent="0.25">
      <c r="A335" s="2"/>
      <c r="B335" s="2"/>
      <c r="C335" s="2"/>
      <c r="D335" s="2"/>
      <c r="E335" s="2"/>
      <c r="F335" s="2"/>
      <c r="G335" s="26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81"/>
      <c r="AC335" s="2"/>
      <c r="AD335" s="2"/>
      <c r="AE335" s="281"/>
      <c r="AF335" s="2"/>
      <c r="AG335" s="2"/>
      <c r="AH335" s="2"/>
      <c r="AI335" s="28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 ht="12" customHeight="1" x14ac:dyDescent="0.25">
      <c r="A336" s="2"/>
      <c r="B336" s="2"/>
      <c r="C336" s="2"/>
      <c r="D336" s="2"/>
      <c r="E336" s="2"/>
      <c r="F336" s="2"/>
      <c r="G336" s="26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81"/>
      <c r="AC336" s="2"/>
      <c r="AD336" s="2"/>
      <c r="AE336" s="281"/>
      <c r="AF336" s="2"/>
      <c r="AG336" s="2"/>
      <c r="AH336" s="2"/>
      <c r="AI336" s="28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 ht="12" customHeight="1" x14ac:dyDescent="0.25">
      <c r="A337" s="2"/>
      <c r="B337" s="2"/>
      <c r="C337" s="2"/>
      <c r="D337" s="2"/>
      <c r="E337" s="2"/>
      <c r="F337" s="2"/>
      <c r="G337" s="26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81"/>
      <c r="AC337" s="2"/>
      <c r="AD337" s="2"/>
      <c r="AE337" s="281"/>
      <c r="AF337" s="2"/>
      <c r="AG337" s="2"/>
      <c r="AH337" s="2"/>
      <c r="AI337" s="28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 ht="12" customHeight="1" x14ac:dyDescent="0.25">
      <c r="A338" s="2"/>
      <c r="B338" s="2"/>
      <c r="C338" s="2"/>
      <c r="D338" s="2"/>
      <c r="E338" s="2"/>
      <c r="F338" s="2"/>
      <c r="G338" s="26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81"/>
      <c r="AC338" s="2"/>
      <c r="AD338" s="2"/>
      <c r="AE338" s="281"/>
      <c r="AF338" s="2"/>
      <c r="AG338" s="2"/>
      <c r="AH338" s="2"/>
      <c r="AI338" s="28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 ht="12" customHeight="1" x14ac:dyDescent="0.25">
      <c r="A339" s="2"/>
      <c r="B339" s="2"/>
      <c r="C339" s="2"/>
      <c r="D339" s="2"/>
      <c r="E339" s="2"/>
      <c r="F339" s="2"/>
      <c r="G339" s="26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81"/>
      <c r="AC339" s="2"/>
      <c r="AD339" s="2"/>
      <c r="AE339" s="281"/>
      <c r="AF339" s="2"/>
      <c r="AG339" s="2"/>
      <c r="AH339" s="2"/>
      <c r="AI339" s="28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 ht="12" customHeight="1" x14ac:dyDescent="0.25">
      <c r="A340" s="2"/>
      <c r="B340" s="2"/>
      <c r="C340" s="2"/>
      <c r="D340" s="2"/>
      <c r="E340" s="2"/>
      <c r="F340" s="2"/>
      <c r="G340" s="26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81"/>
      <c r="AC340" s="2"/>
      <c r="AD340" s="2"/>
      <c r="AE340" s="281"/>
      <c r="AF340" s="2"/>
      <c r="AG340" s="2"/>
      <c r="AH340" s="2"/>
      <c r="AI340" s="28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 ht="12" customHeight="1" x14ac:dyDescent="0.25">
      <c r="A341" s="2"/>
      <c r="B341" s="2"/>
      <c r="C341" s="2"/>
      <c r="D341" s="2"/>
      <c r="E341" s="2"/>
      <c r="F341" s="2"/>
      <c r="G341" s="26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81"/>
      <c r="AC341" s="2"/>
      <c r="AD341" s="2"/>
      <c r="AE341" s="281"/>
      <c r="AF341" s="2"/>
      <c r="AG341" s="2"/>
      <c r="AH341" s="2"/>
      <c r="AI341" s="28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 ht="12" customHeight="1" x14ac:dyDescent="0.25">
      <c r="A342" s="2"/>
      <c r="B342" s="2"/>
      <c r="C342" s="2"/>
      <c r="D342" s="2"/>
      <c r="E342" s="2"/>
      <c r="F342" s="2"/>
      <c r="G342" s="26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81"/>
      <c r="AC342" s="2"/>
      <c r="AD342" s="2"/>
      <c r="AE342" s="281"/>
      <c r="AF342" s="2"/>
      <c r="AG342" s="2"/>
      <c r="AH342" s="2"/>
      <c r="AI342" s="28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 ht="12" customHeight="1" x14ac:dyDescent="0.25">
      <c r="A343" s="2"/>
      <c r="B343" s="2"/>
      <c r="C343" s="2"/>
      <c r="D343" s="2"/>
      <c r="E343" s="2"/>
      <c r="F343" s="2"/>
      <c r="G343" s="26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81"/>
      <c r="AC343" s="2"/>
      <c r="AD343" s="2"/>
      <c r="AE343" s="281"/>
      <c r="AF343" s="2"/>
      <c r="AG343" s="2"/>
      <c r="AH343" s="2"/>
      <c r="AI343" s="28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 ht="12" customHeight="1" x14ac:dyDescent="0.25">
      <c r="A344" s="2"/>
      <c r="B344" s="2"/>
      <c r="C344" s="2"/>
      <c r="D344" s="2"/>
      <c r="E344" s="2"/>
      <c r="F344" s="2"/>
      <c r="G344" s="26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81"/>
      <c r="AC344" s="2"/>
      <c r="AD344" s="2"/>
      <c r="AE344" s="281"/>
      <c r="AF344" s="2"/>
      <c r="AG344" s="2"/>
      <c r="AH344" s="2"/>
      <c r="AI344" s="28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 ht="12" customHeight="1" x14ac:dyDescent="0.25">
      <c r="A345" s="2"/>
      <c r="B345" s="2"/>
      <c r="C345" s="2"/>
      <c r="D345" s="2"/>
      <c r="E345" s="2"/>
      <c r="F345" s="2"/>
      <c r="G345" s="26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81"/>
      <c r="AC345" s="2"/>
      <c r="AD345" s="2"/>
      <c r="AE345" s="281"/>
      <c r="AF345" s="2"/>
      <c r="AG345" s="2"/>
      <c r="AH345" s="2"/>
      <c r="AI345" s="28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 ht="12" customHeight="1" x14ac:dyDescent="0.25">
      <c r="A346" s="2"/>
      <c r="B346" s="2"/>
      <c r="C346" s="2"/>
      <c r="D346" s="2"/>
      <c r="E346" s="2"/>
      <c r="F346" s="2"/>
      <c r="G346" s="26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81"/>
      <c r="AC346" s="2"/>
      <c r="AD346" s="2"/>
      <c r="AE346" s="281"/>
      <c r="AF346" s="2"/>
      <c r="AG346" s="2"/>
      <c r="AH346" s="2"/>
      <c r="AI346" s="28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 ht="12" customHeight="1" x14ac:dyDescent="0.25">
      <c r="A347" s="2"/>
      <c r="B347" s="2"/>
      <c r="C347" s="2"/>
      <c r="D347" s="2"/>
      <c r="E347" s="2"/>
      <c r="F347" s="2"/>
      <c r="G347" s="26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81"/>
      <c r="AC347" s="2"/>
      <c r="AD347" s="2"/>
      <c r="AE347" s="281"/>
      <c r="AF347" s="2"/>
      <c r="AG347" s="2"/>
      <c r="AH347" s="2"/>
      <c r="AI347" s="28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 ht="12" customHeight="1" x14ac:dyDescent="0.25">
      <c r="A348" s="2"/>
      <c r="B348" s="2"/>
      <c r="C348" s="2"/>
      <c r="D348" s="2"/>
      <c r="E348" s="2"/>
      <c r="F348" s="2"/>
      <c r="G348" s="26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81"/>
      <c r="AC348" s="2"/>
      <c r="AD348" s="2"/>
      <c r="AE348" s="281"/>
      <c r="AF348" s="2"/>
      <c r="AG348" s="2"/>
      <c r="AH348" s="2"/>
      <c r="AI348" s="28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 ht="12" customHeight="1" x14ac:dyDescent="0.25">
      <c r="A349" s="2"/>
      <c r="B349" s="2"/>
      <c r="C349" s="2"/>
      <c r="D349" s="2"/>
      <c r="E349" s="2"/>
      <c r="F349" s="2"/>
      <c r="G349" s="26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81"/>
      <c r="AC349" s="2"/>
      <c r="AD349" s="2"/>
      <c r="AE349" s="281"/>
      <c r="AF349" s="2"/>
      <c r="AG349" s="2"/>
      <c r="AH349" s="2"/>
      <c r="AI349" s="28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 ht="12" customHeight="1" x14ac:dyDescent="0.25">
      <c r="A350" s="2"/>
      <c r="B350" s="2"/>
      <c r="C350" s="2"/>
      <c r="D350" s="2"/>
      <c r="E350" s="2"/>
      <c r="F350" s="2"/>
      <c r="G350" s="26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81"/>
      <c r="AC350" s="2"/>
      <c r="AD350" s="2"/>
      <c r="AE350" s="281"/>
      <c r="AF350" s="2"/>
      <c r="AG350" s="2"/>
      <c r="AH350" s="2"/>
      <c r="AI350" s="28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 ht="12" customHeight="1" x14ac:dyDescent="0.25">
      <c r="A351" s="2"/>
      <c r="B351" s="2"/>
      <c r="C351" s="2"/>
      <c r="D351" s="2"/>
      <c r="E351" s="2"/>
      <c r="F351" s="2"/>
      <c r="G351" s="26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81"/>
      <c r="AC351" s="2"/>
      <c r="AD351" s="2"/>
      <c r="AE351" s="281"/>
      <c r="AF351" s="2"/>
      <c r="AG351" s="2"/>
      <c r="AH351" s="2"/>
      <c r="AI351" s="28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 ht="12" customHeight="1" x14ac:dyDescent="0.25">
      <c r="A352" s="2"/>
      <c r="B352" s="2"/>
      <c r="C352" s="2"/>
      <c r="D352" s="2"/>
      <c r="E352" s="2"/>
      <c r="F352" s="2"/>
      <c r="G352" s="26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81"/>
      <c r="AC352" s="2"/>
      <c r="AD352" s="2"/>
      <c r="AE352" s="281"/>
      <c r="AF352" s="2"/>
      <c r="AG352" s="2"/>
      <c r="AH352" s="2"/>
      <c r="AI352" s="28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 ht="12" customHeight="1" x14ac:dyDescent="0.25">
      <c r="A353" s="2"/>
      <c r="B353" s="2"/>
      <c r="C353" s="2"/>
      <c r="D353" s="2"/>
      <c r="E353" s="2"/>
      <c r="F353" s="2"/>
      <c r="G353" s="26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81"/>
      <c r="AC353" s="2"/>
      <c r="AD353" s="2"/>
      <c r="AE353" s="281"/>
      <c r="AF353" s="2"/>
      <c r="AG353" s="2"/>
      <c r="AH353" s="2"/>
      <c r="AI353" s="28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 ht="12" customHeight="1" x14ac:dyDescent="0.25">
      <c r="A354" s="2"/>
      <c r="B354" s="2"/>
      <c r="C354" s="2"/>
      <c r="D354" s="2"/>
      <c r="E354" s="2"/>
      <c r="F354" s="2"/>
      <c r="G354" s="26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81"/>
      <c r="AC354" s="2"/>
      <c r="AD354" s="2"/>
      <c r="AE354" s="281"/>
      <c r="AF354" s="2"/>
      <c r="AG354" s="2"/>
      <c r="AH354" s="2"/>
      <c r="AI354" s="28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 ht="12" customHeight="1" x14ac:dyDescent="0.25">
      <c r="A355" s="2"/>
      <c r="B355" s="2"/>
      <c r="C355" s="2"/>
      <c r="D355" s="2"/>
      <c r="E355" s="2"/>
      <c r="F355" s="2"/>
      <c r="G355" s="26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81"/>
      <c r="AC355" s="2"/>
      <c r="AD355" s="2"/>
      <c r="AE355" s="281"/>
      <c r="AF355" s="2"/>
      <c r="AG355" s="2"/>
      <c r="AH355" s="2"/>
      <c r="AI355" s="28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 ht="12" customHeight="1" x14ac:dyDescent="0.25">
      <c r="A356" s="2"/>
      <c r="B356" s="2"/>
      <c r="C356" s="2"/>
      <c r="D356" s="2"/>
      <c r="E356" s="2"/>
      <c r="F356" s="2"/>
      <c r="G356" s="26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81"/>
      <c r="AC356" s="2"/>
      <c r="AD356" s="2"/>
      <c r="AE356" s="281"/>
      <c r="AF356" s="2"/>
      <c r="AG356" s="2"/>
      <c r="AH356" s="2"/>
      <c r="AI356" s="28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 ht="12" customHeight="1" x14ac:dyDescent="0.25">
      <c r="A357" s="2"/>
      <c r="B357" s="2"/>
      <c r="C357" s="2"/>
      <c r="D357" s="2"/>
      <c r="E357" s="2"/>
      <c r="F357" s="2"/>
      <c r="G357" s="26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81"/>
      <c r="AC357" s="2"/>
      <c r="AD357" s="2"/>
      <c r="AE357" s="281"/>
      <c r="AF357" s="2"/>
      <c r="AG357" s="2"/>
      <c r="AH357" s="2"/>
      <c r="AI357" s="28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 ht="12" customHeight="1" x14ac:dyDescent="0.25">
      <c r="A358" s="2"/>
      <c r="B358" s="2"/>
      <c r="C358" s="2"/>
      <c r="D358" s="2"/>
      <c r="E358" s="2"/>
      <c r="F358" s="2"/>
      <c r="G358" s="26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81"/>
      <c r="AC358" s="2"/>
      <c r="AD358" s="2"/>
      <c r="AE358" s="281"/>
      <c r="AF358" s="2"/>
      <c r="AG358" s="2"/>
      <c r="AH358" s="2"/>
      <c r="AI358" s="28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 ht="12" customHeight="1" x14ac:dyDescent="0.25">
      <c r="A359" s="2"/>
      <c r="B359" s="2"/>
      <c r="C359" s="2"/>
      <c r="D359" s="2"/>
      <c r="E359" s="2"/>
      <c r="F359" s="2"/>
      <c r="G359" s="26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81"/>
      <c r="AC359" s="2"/>
      <c r="AD359" s="2"/>
      <c r="AE359" s="281"/>
      <c r="AF359" s="2"/>
      <c r="AG359" s="2"/>
      <c r="AH359" s="2"/>
      <c r="AI359" s="28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 ht="12" customHeight="1" x14ac:dyDescent="0.25">
      <c r="A360" s="2"/>
      <c r="B360" s="2"/>
      <c r="C360" s="2"/>
      <c r="D360" s="2"/>
      <c r="E360" s="2"/>
      <c r="F360" s="2"/>
      <c r="G360" s="26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81"/>
      <c r="AC360" s="2"/>
      <c r="AD360" s="2"/>
      <c r="AE360" s="281"/>
      <c r="AF360" s="2"/>
      <c r="AG360" s="2"/>
      <c r="AH360" s="2"/>
      <c r="AI360" s="28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 ht="12" customHeight="1" x14ac:dyDescent="0.25">
      <c r="A361" s="2"/>
      <c r="B361" s="2"/>
      <c r="C361" s="2"/>
      <c r="D361" s="2"/>
      <c r="E361" s="2"/>
      <c r="F361" s="2"/>
      <c r="G361" s="26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81"/>
      <c r="AC361" s="2"/>
      <c r="AD361" s="2"/>
      <c r="AE361" s="281"/>
      <c r="AF361" s="2"/>
      <c r="AG361" s="2"/>
      <c r="AH361" s="2"/>
      <c r="AI361" s="28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 ht="12" customHeight="1" x14ac:dyDescent="0.25">
      <c r="A362" s="2"/>
      <c r="B362" s="2"/>
      <c r="C362" s="2"/>
      <c r="D362" s="2"/>
      <c r="E362" s="2"/>
      <c r="F362" s="2"/>
      <c r="G362" s="26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81"/>
      <c r="AC362" s="2"/>
      <c r="AD362" s="2"/>
      <c r="AE362" s="281"/>
      <c r="AF362" s="2"/>
      <c r="AG362" s="2"/>
      <c r="AH362" s="2"/>
      <c r="AI362" s="28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 ht="12" customHeight="1" x14ac:dyDescent="0.25">
      <c r="A363" s="2"/>
      <c r="B363" s="2"/>
      <c r="C363" s="2"/>
      <c r="D363" s="2"/>
      <c r="E363" s="2"/>
      <c r="F363" s="2"/>
      <c r="G363" s="26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81"/>
      <c r="AC363" s="2"/>
      <c r="AD363" s="2"/>
      <c r="AE363" s="281"/>
      <c r="AF363" s="2"/>
      <c r="AG363" s="2"/>
      <c r="AH363" s="2"/>
      <c r="AI363" s="28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 ht="12" customHeight="1" x14ac:dyDescent="0.25">
      <c r="A364" s="2"/>
      <c r="B364" s="2"/>
      <c r="C364" s="2"/>
      <c r="D364" s="2"/>
      <c r="E364" s="2"/>
      <c r="F364" s="2"/>
      <c r="G364" s="26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81"/>
      <c r="AC364" s="2"/>
      <c r="AD364" s="2"/>
      <c r="AE364" s="281"/>
      <c r="AF364" s="2"/>
      <c r="AG364" s="2"/>
      <c r="AH364" s="2"/>
      <c r="AI364" s="28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 ht="12" customHeight="1" x14ac:dyDescent="0.25">
      <c r="A365" s="2"/>
      <c r="B365" s="2"/>
      <c r="C365" s="2"/>
      <c r="D365" s="2"/>
      <c r="E365" s="2"/>
      <c r="F365" s="2"/>
      <c r="G365" s="26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81"/>
      <c r="AC365" s="2"/>
      <c r="AD365" s="2"/>
      <c r="AE365" s="281"/>
      <c r="AF365" s="2"/>
      <c r="AG365" s="2"/>
      <c r="AH365" s="2"/>
      <c r="AI365" s="28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 ht="12" customHeight="1" x14ac:dyDescent="0.25">
      <c r="A366" s="2"/>
      <c r="B366" s="2"/>
      <c r="C366" s="2"/>
      <c r="D366" s="2"/>
      <c r="E366" s="2"/>
      <c r="F366" s="2"/>
      <c r="G366" s="26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81"/>
      <c r="AC366" s="2"/>
      <c r="AD366" s="2"/>
      <c r="AE366" s="281"/>
      <c r="AF366" s="2"/>
      <c r="AG366" s="2"/>
      <c r="AH366" s="2"/>
      <c r="AI366" s="28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 ht="12" customHeight="1" x14ac:dyDescent="0.25">
      <c r="A367" s="2"/>
      <c r="B367" s="2"/>
      <c r="C367" s="2"/>
      <c r="D367" s="2"/>
      <c r="E367" s="2"/>
      <c r="F367" s="2"/>
      <c r="G367" s="26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81"/>
      <c r="AC367" s="2"/>
      <c r="AD367" s="2"/>
      <c r="AE367" s="281"/>
      <c r="AF367" s="2"/>
      <c r="AG367" s="2"/>
      <c r="AH367" s="2"/>
      <c r="AI367" s="28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 ht="12" customHeight="1" x14ac:dyDescent="0.25">
      <c r="A368" s="2"/>
      <c r="B368" s="2"/>
      <c r="C368" s="2"/>
      <c r="D368" s="2"/>
      <c r="E368" s="2"/>
      <c r="F368" s="2"/>
      <c r="G368" s="26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81"/>
      <c r="AC368" s="2"/>
      <c r="AD368" s="2"/>
      <c r="AE368" s="281"/>
      <c r="AF368" s="2"/>
      <c r="AG368" s="2"/>
      <c r="AH368" s="2"/>
      <c r="AI368" s="28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 ht="12" customHeight="1" x14ac:dyDescent="0.25">
      <c r="A369" s="2"/>
      <c r="B369" s="2"/>
      <c r="C369" s="2"/>
      <c r="D369" s="2"/>
      <c r="E369" s="2"/>
      <c r="F369" s="2"/>
      <c r="G369" s="26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81"/>
      <c r="AC369" s="2"/>
      <c r="AD369" s="2"/>
      <c r="AE369" s="281"/>
      <c r="AF369" s="2"/>
      <c r="AG369" s="2"/>
      <c r="AH369" s="2"/>
      <c r="AI369" s="28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 ht="12" customHeight="1" x14ac:dyDescent="0.25">
      <c r="A370" s="2"/>
      <c r="B370" s="2"/>
      <c r="C370" s="2"/>
      <c r="D370" s="2"/>
      <c r="E370" s="2"/>
      <c r="F370" s="2"/>
      <c r="G370" s="26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81"/>
      <c r="AC370" s="2"/>
      <c r="AD370" s="2"/>
      <c r="AE370" s="281"/>
      <c r="AF370" s="2"/>
      <c r="AG370" s="2"/>
      <c r="AH370" s="2"/>
      <c r="AI370" s="28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 ht="12" customHeight="1" x14ac:dyDescent="0.25">
      <c r="A371" s="2"/>
      <c r="B371" s="2"/>
      <c r="C371" s="2"/>
      <c r="D371" s="2"/>
      <c r="E371" s="2"/>
      <c r="F371" s="2"/>
      <c r="G371" s="26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81"/>
      <c r="AC371" s="2"/>
      <c r="AD371" s="2"/>
      <c r="AE371" s="281"/>
      <c r="AF371" s="2"/>
      <c r="AG371" s="2"/>
      <c r="AH371" s="2"/>
      <c r="AI371" s="28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 ht="12" customHeight="1" x14ac:dyDescent="0.25">
      <c r="A372" s="2"/>
      <c r="B372" s="2"/>
      <c r="C372" s="2"/>
      <c r="D372" s="2"/>
      <c r="E372" s="2"/>
      <c r="F372" s="2"/>
      <c r="G372" s="26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81"/>
      <c r="AC372" s="2"/>
      <c r="AD372" s="2"/>
      <c r="AE372" s="281"/>
      <c r="AF372" s="2"/>
      <c r="AG372" s="2"/>
      <c r="AH372" s="2"/>
      <c r="AI372" s="28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 ht="12" customHeight="1" x14ac:dyDescent="0.25">
      <c r="A373" s="2"/>
      <c r="B373" s="2"/>
      <c r="C373" s="2"/>
      <c r="D373" s="2"/>
      <c r="E373" s="2"/>
      <c r="F373" s="2"/>
      <c r="G373" s="26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81"/>
      <c r="AC373" s="2"/>
      <c r="AD373" s="2"/>
      <c r="AE373" s="281"/>
      <c r="AF373" s="2"/>
      <c r="AG373" s="2"/>
      <c r="AH373" s="2"/>
      <c r="AI373" s="28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 ht="12" customHeight="1" x14ac:dyDescent="0.25">
      <c r="A374" s="2"/>
      <c r="B374" s="2"/>
      <c r="C374" s="2"/>
      <c r="D374" s="2"/>
      <c r="E374" s="2"/>
      <c r="F374" s="2"/>
      <c r="G374" s="26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81"/>
      <c r="AC374" s="2"/>
      <c r="AD374" s="2"/>
      <c r="AE374" s="281"/>
      <c r="AF374" s="2"/>
      <c r="AG374" s="2"/>
      <c r="AH374" s="2"/>
      <c r="AI374" s="28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 ht="12" customHeight="1" x14ac:dyDescent="0.25">
      <c r="A375" s="2"/>
      <c r="B375" s="2"/>
      <c r="C375" s="2"/>
      <c r="D375" s="2"/>
      <c r="E375" s="2"/>
      <c r="F375" s="2"/>
      <c r="G375" s="26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81"/>
      <c r="AC375" s="2"/>
      <c r="AD375" s="2"/>
      <c r="AE375" s="281"/>
      <c r="AF375" s="2"/>
      <c r="AG375" s="2"/>
      <c r="AH375" s="2"/>
      <c r="AI375" s="28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 ht="12" customHeight="1" x14ac:dyDescent="0.25">
      <c r="A376" s="2"/>
      <c r="B376" s="2"/>
      <c r="C376" s="2"/>
      <c r="D376" s="2"/>
      <c r="E376" s="2"/>
      <c r="F376" s="2"/>
      <c r="G376" s="26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81"/>
      <c r="AC376" s="2"/>
      <c r="AD376" s="2"/>
      <c r="AE376" s="281"/>
      <c r="AF376" s="2"/>
      <c r="AG376" s="2"/>
      <c r="AH376" s="2"/>
      <c r="AI376" s="28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 ht="12" customHeight="1" x14ac:dyDescent="0.25">
      <c r="A377" s="2"/>
      <c r="B377" s="2"/>
      <c r="C377" s="2"/>
      <c r="D377" s="2"/>
      <c r="E377" s="2"/>
      <c r="F377" s="2"/>
      <c r="G377" s="26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81"/>
      <c r="AC377" s="2"/>
      <c r="AD377" s="2"/>
      <c r="AE377" s="281"/>
      <c r="AF377" s="2"/>
      <c r="AG377" s="2"/>
      <c r="AH377" s="2"/>
      <c r="AI377" s="28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 ht="12" customHeight="1" x14ac:dyDescent="0.25">
      <c r="A378" s="2"/>
      <c r="B378" s="2"/>
      <c r="C378" s="2"/>
      <c r="D378" s="2"/>
      <c r="E378" s="2"/>
      <c r="F378" s="2"/>
      <c r="G378" s="26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81"/>
      <c r="AC378" s="2"/>
      <c r="AD378" s="2"/>
      <c r="AE378" s="281"/>
      <c r="AF378" s="2"/>
      <c r="AG378" s="2"/>
      <c r="AH378" s="2"/>
      <c r="AI378" s="28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 ht="12" customHeight="1" x14ac:dyDescent="0.25">
      <c r="A379" s="2"/>
      <c r="B379" s="2"/>
      <c r="C379" s="2"/>
      <c r="D379" s="2"/>
      <c r="E379" s="2"/>
      <c r="F379" s="2"/>
      <c r="G379" s="26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81"/>
      <c r="AC379" s="2"/>
      <c r="AD379" s="2"/>
      <c r="AE379" s="281"/>
      <c r="AF379" s="2"/>
      <c r="AG379" s="2"/>
      <c r="AH379" s="2"/>
      <c r="AI379" s="28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 ht="12" customHeight="1" x14ac:dyDescent="0.25">
      <c r="A380" s="2"/>
      <c r="B380" s="2"/>
      <c r="C380" s="2"/>
      <c r="D380" s="2"/>
      <c r="E380" s="2"/>
      <c r="F380" s="2"/>
      <c r="G380" s="26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81"/>
      <c r="AC380" s="2"/>
      <c r="AD380" s="2"/>
      <c r="AE380" s="281"/>
      <c r="AF380" s="2"/>
      <c r="AG380" s="2"/>
      <c r="AH380" s="2"/>
      <c r="AI380" s="28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 ht="12" customHeight="1" x14ac:dyDescent="0.25">
      <c r="A381" s="2"/>
      <c r="B381" s="2"/>
      <c r="C381" s="2"/>
      <c r="D381" s="2"/>
      <c r="E381" s="2"/>
      <c r="F381" s="2"/>
      <c r="G381" s="26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81"/>
      <c r="AC381" s="2"/>
      <c r="AD381" s="2"/>
      <c r="AE381" s="281"/>
      <c r="AF381" s="2"/>
      <c r="AG381" s="2"/>
      <c r="AH381" s="2"/>
      <c r="AI381" s="28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 ht="12" customHeight="1" x14ac:dyDescent="0.25">
      <c r="A382" s="2"/>
      <c r="B382" s="2"/>
      <c r="C382" s="2"/>
      <c r="D382" s="2"/>
      <c r="E382" s="2"/>
      <c r="F382" s="2"/>
      <c r="G382" s="26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81"/>
      <c r="AC382" s="2"/>
      <c r="AD382" s="2"/>
      <c r="AE382" s="281"/>
      <c r="AF382" s="2"/>
      <c r="AG382" s="2"/>
      <c r="AH382" s="2"/>
      <c r="AI382" s="28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 ht="12" customHeight="1" x14ac:dyDescent="0.25">
      <c r="A383" s="2"/>
      <c r="B383" s="2"/>
      <c r="C383" s="2"/>
      <c r="D383" s="2"/>
      <c r="E383" s="2"/>
      <c r="F383" s="2"/>
      <c r="G383" s="26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81"/>
      <c r="AC383" s="2"/>
      <c r="AD383" s="2"/>
      <c r="AE383" s="281"/>
      <c r="AF383" s="2"/>
      <c r="AG383" s="2"/>
      <c r="AH383" s="2"/>
      <c r="AI383" s="28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 ht="12" customHeight="1" x14ac:dyDescent="0.25">
      <c r="A384" s="2"/>
      <c r="B384" s="2"/>
      <c r="C384" s="2"/>
      <c r="D384" s="2"/>
      <c r="E384" s="2"/>
      <c r="F384" s="2"/>
      <c r="G384" s="26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81"/>
      <c r="AC384" s="2"/>
      <c r="AD384" s="2"/>
      <c r="AE384" s="281"/>
      <c r="AF384" s="2"/>
      <c r="AG384" s="2"/>
      <c r="AH384" s="2"/>
      <c r="AI384" s="28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 ht="12" customHeight="1" x14ac:dyDescent="0.25">
      <c r="A385" s="2"/>
      <c r="B385" s="2"/>
      <c r="C385" s="2"/>
      <c r="D385" s="2"/>
      <c r="E385" s="2"/>
      <c r="F385" s="2"/>
      <c r="G385" s="26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81"/>
      <c r="AC385" s="2"/>
      <c r="AD385" s="2"/>
      <c r="AE385" s="281"/>
      <c r="AF385" s="2"/>
      <c r="AG385" s="2"/>
      <c r="AH385" s="2"/>
      <c r="AI385" s="28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 ht="12" customHeight="1" x14ac:dyDescent="0.25">
      <c r="A386" s="2"/>
      <c r="B386" s="2"/>
      <c r="C386" s="2"/>
      <c r="D386" s="2"/>
      <c r="E386" s="2"/>
      <c r="F386" s="2"/>
      <c r="G386" s="26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81"/>
      <c r="AC386" s="2"/>
      <c r="AD386" s="2"/>
      <c r="AE386" s="281"/>
      <c r="AF386" s="2"/>
      <c r="AG386" s="2"/>
      <c r="AH386" s="2"/>
      <c r="AI386" s="28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 ht="12" customHeight="1" x14ac:dyDescent="0.25">
      <c r="A387" s="2"/>
      <c r="B387" s="2"/>
      <c r="C387" s="2"/>
      <c r="D387" s="2"/>
      <c r="E387" s="2"/>
      <c r="F387" s="2"/>
      <c r="G387" s="26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81"/>
      <c r="AC387" s="2"/>
      <c r="AD387" s="2"/>
      <c r="AE387" s="281"/>
      <c r="AF387" s="2"/>
      <c r="AG387" s="2"/>
      <c r="AH387" s="2"/>
      <c r="AI387" s="28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 ht="12" customHeight="1" x14ac:dyDescent="0.25">
      <c r="A388" s="2"/>
      <c r="B388" s="2"/>
      <c r="C388" s="2"/>
      <c r="D388" s="2"/>
      <c r="E388" s="2"/>
      <c r="F388" s="2"/>
      <c r="G388" s="26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81"/>
      <c r="AC388" s="2"/>
      <c r="AD388" s="2"/>
      <c r="AE388" s="281"/>
      <c r="AF388" s="2"/>
      <c r="AG388" s="2"/>
      <c r="AH388" s="2"/>
      <c r="AI388" s="28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 ht="12" customHeight="1" x14ac:dyDescent="0.25">
      <c r="A389" s="2"/>
      <c r="B389" s="2"/>
      <c r="C389" s="2"/>
      <c r="D389" s="2"/>
      <c r="E389" s="2"/>
      <c r="F389" s="2"/>
      <c r="G389" s="26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81"/>
      <c r="AC389" s="2"/>
      <c r="AD389" s="2"/>
      <c r="AE389" s="281"/>
      <c r="AF389" s="2"/>
      <c r="AG389" s="2"/>
      <c r="AH389" s="2"/>
      <c r="AI389" s="28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 ht="12" customHeight="1" x14ac:dyDescent="0.25">
      <c r="A390" s="2"/>
      <c r="B390" s="2"/>
      <c r="C390" s="2"/>
      <c r="D390" s="2"/>
      <c r="E390" s="2"/>
      <c r="F390" s="2"/>
      <c r="G390" s="26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81"/>
      <c r="AC390" s="2"/>
      <c r="AD390" s="2"/>
      <c r="AE390" s="281"/>
      <c r="AF390" s="2"/>
      <c r="AG390" s="2"/>
      <c r="AH390" s="2"/>
      <c r="AI390" s="28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 ht="12" customHeight="1" x14ac:dyDescent="0.25">
      <c r="A391" s="2"/>
      <c r="B391" s="2"/>
      <c r="C391" s="2"/>
      <c r="D391" s="2"/>
      <c r="E391" s="2"/>
      <c r="F391" s="2"/>
      <c r="G391" s="26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81"/>
      <c r="AC391" s="2"/>
      <c r="AD391" s="2"/>
      <c r="AE391" s="281"/>
      <c r="AF391" s="2"/>
      <c r="AG391" s="2"/>
      <c r="AH391" s="2"/>
      <c r="AI391" s="28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 ht="12" customHeight="1" x14ac:dyDescent="0.25">
      <c r="A392" s="2"/>
      <c r="B392" s="2"/>
      <c r="C392" s="2"/>
      <c r="D392" s="2"/>
      <c r="E392" s="2"/>
      <c r="F392" s="2"/>
      <c r="G392" s="26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81"/>
      <c r="AC392" s="2"/>
      <c r="AD392" s="2"/>
      <c r="AE392" s="281"/>
      <c r="AF392" s="2"/>
      <c r="AG392" s="2"/>
      <c r="AH392" s="2"/>
      <c r="AI392" s="28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 ht="12" customHeight="1" x14ac:dyDescent="0.25">
      <c r="A393" s="2"/>
      <c r="B393" s="2"/>
      <c r="C393" s="2"/>
      <c r="D393" s="2"/>
      <c r="E393" s="2"/>
      <c r="F393" s="2"/>
      <c r="G393" s="26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81"/>
      <c r="AC393" s="2"/>
      <c r="AD393" s="2"/>
      <c r="AE393" s="281"/>
      <c r="AF393" s="2"/>
      <c r="AG393" s="2"/>
      <c r="AH393" s="2"/>
      <c r="AI393" s="28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 ht="12" customHeight="1" x14ac:dyDescent="0.25">
      <c r="A394" s="2"/>
      <c r="B394" s="2"/>
      <c r="C394" s="2"/>
      <c r="D394" s="2"/>
      <c r="E394" s="2"/>
      <c r="F394" s="2"/>
      <c r="G394" s="26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81"/>
      <c r="AC394" s="2"/>
      <c r="AD394" s="2"/>
      <c r="AE394" s="281"/>
      <c r="AF394" s="2"/>
      <c r="AG394" s="2"/>
      <c r="AH394" s="2"/>
      <c r="AI394" s="28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 ht="12" customHeight="1" x14ac:dyDescent="0.25">
      <c r="A395" s="2"/>
      <c r="B395" s="2"/>
      <c r="C395" s="2"/>
      <c r="D395" s="2"/>
      <c r="E395" s="2"/>
      <c r="F395" s="2"/>
      <c r="G395" s="26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81"/>
      <c r="AC395" s="2"/>
      <c r="AD395" s="2"/>
      <c r="AE395" s="281"/>
      <c r="AF395" s="2"/>
      <c r="AG395" s="2"/>
      <c r="AH395" s="2"/>
      <c r="AI395" s="28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 ht="12" customHeight="1" x14ac:dyDescent="0.25">
      <c r="A396" s="2"/>
      <c r="B396" s="2"/>
      <c r="C396" s="2"/>
      <c r="D396" s="2"/>
      <c r="E396" s="2"/>
      <c r="F396" s="2"/>
      <c r="G396" s="26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81"/>
      <c r="AC396" s="2"/>
      <c r="AD396" s="2"/>
      <c r="AE396" s="281"/>
      <c r="AF396" s="2"/>
      <c r="AG396" s="2"/>
      <c r="AH396" s="2"/>
      <c r="AI396" s="28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 ht="12" customHeight="1" x14ac:dyDescent="0.25">
      <c r="A397" s="2"/>
      <c r="B397" s="2"/>
      <c r="C397" s="2"/>
      <c r="D397" s="2"/>
      <c r="E397" s="2"/>
      <c r="F397" s="2"/>
      <c r="G397" s="26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81"/>
      <c r="AC397" s="2"/>
      <c r="AD397" s="2"/>
      <c r="AE397" s="281"/>
      <c r="AF397" s="2"/>
      <c r="AG397" s="2"/>
      <c r="AH397" s="2"/>
      <c r="AI397" s="28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 ht="12" customHeight="1" x14ac:dyDescent="0.25">
      <c r="A398" s="2"/>
      <c r="B398" s="2"/>
      <c r="C398" s="2"/>
      <c r="D398" s="2"/>
      <c r="E398" s="2"/>
      <c r="F398" s="2"/>
      <c r="G398" s="26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81"/>
      <c r="AC398" s="2"/>
      <c r="AD398" s="2"/>
      <c r="AE398" s="281"/>
      <c r="AF398" s="2"/>
      <c r="AG398" s="2"/>
      <c r="AH398" s="2"/>
      <c r="AI398" s="28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 ht="12" customHeight="1" x14ac:dyDescent="0.25">
      <c r="A399" s="2"/>
      <c r="B399" s="2"/>
      <c r="C399" s="2"/>
      <c r="D399" s="2"/>
      <c r="E399" s="2"/>
      <c r="F399" s="2"/>
      <c r="G399" s="26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81"/>
      <c r="AC399" s="2"/>
      <c r="AD399" s="2"/>
      <c r="AE399" s="281"/>
      <c r="AF399" s="2"/>
      <c r="AG399" s="2"/>
      <c r="AH399" s="2"/>
      <c r="AI399" s="28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 ht="12" customHeight="1" x14ac:dyDescent="0.25">
      <c r="A400" s="2"/>
      <c r="B400" s="2"/>
      <c r="C400" s="2"/>
      <c r="D400" s="2"/>
      <c r="E400" s="2"/>
      <c r="F400" s="2"/>
      <c r="G400" s="26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81"/>
      <c r="AC400" s="2"/>
      <c r="AD400" s="2"/>
      <c r="AE400" s="281"/>
      <c r="AF400" s="2"/>
      <c r="AG400" s="2"/>
      <c r="AH400" s="2"/>
      <c r="AI400" s="28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 ht="12" customHeight="1" x14ac:dyDescent="0.25">
      <c r="A401" s="2"/>
      <c r="B401" s="2"/>
      <c r="C401" s="2"/>
      <c r="D401" s="2"/>
      <c r="E401" s="2"/>
      <c r="F401" s="2"/>
      <c r="G401" s="26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81"/>
      <c r="AC401" s="2"/>
      <c r="AD401" s="2"/>
      <c r="AE401" s="281"/>
      <c r="AF401" s="2"/>
      <c r="AG401" s="2"/>
      <c r="AH401" s="2"/>
      <c r="AI401" s="28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 ht="12" customHeight="1" x14ac:dyDescent="0.25">
      <c r="A402" s="2"/>
      <c r="B402" s="2"/>
      <c r="C402" s="2"/>
      <c r="D402" s="2"/>
      <c r="E402" s="2"/>
      <c r="F402" s="2"/>
      <c r="G402" s="26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81"/>
      <c r="AC402" s="2"/>
      <c r="AD402" s="2"/>
      <c r="AE402" s="281"/>
      <c r="AF402" s="2"/>
      <c r="AG402" s="2"/>
      <c r="AH402" s="2"/>
      <c r="AI402" s="28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 ht="12" customHeight="1" x14ac:dyDescent="0.25">
      <c r="A403" s="2"/>
      <c r="B403" s="2"/>
      <c r="C403" s="2"/>
      <c r="D403" s="2"/>
      <c r="E403" s="2"/>
      <c r="F403" s="2"/>
      <c r="G403" s="26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81"/>
      <c r="AC403" s="2"/>
      <c r="AD403" s="2"/>
      <c r="AE403" s="281"/>
      <c r="AF403" s="2"/>
      <c r="AG403" s="2"/>
      <c r="AH403" s="2"/>
      <c r="AI403" s="28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 ht="12" customHeight="1" x14ac:dyDescent="0.25">
      <c r="A404" s="2"/>
      <c r="B404" s="2"/>
      <c r="C404" s="2"/>
      <c r="D404" s="2"/>
      <c r="E404" s="2"/>
      <c r="F404" s="2"/>
      <c r="G404" s="26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81"/>
      <c r="AC404" s="2"/>
      <c r="AD404" s="2"/>
      <c r="AE404" s="281"/>
      <c r="AF404" s="2"/>
      <c r="AG404" s="2"/>
      <c r="AH404" s="2"/>
      <c r="AI404" s="28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 ht="12" customHeight="1" x14ac:dyDescent="0.25">
      <c r="A405" s="2"/>
      <c r="B405" s="2"/>
      <c r="C405" s="2"/>
      <c r="D405" s="2"/>
      <c r="E405" s="2"/>
      <c r="F405" s="2"/>
      <c r="G405" s="26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81"/>
      <c r="AC405" s="2"/>
      <c r="AD405" s="2"/>
      <c r="AE405" s="281"/>
      <c r="AF405" s="2"/>
      <c r="AG405" s="2"/>
      <c r="AH405" s="2"/>
      <c r="AI405" s="28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 ht="12" customHeight="1" x14ac:dyDescent="0.25">
      <c r="A406" s="2"/>
      <c r="B406" s="2"/>
      <c r="C406" s="2"/>
      <c r="D406" s="2"/>
      <c r="E406" s="2"/>
      <c r="F406" s="2"/>
      <c r="G406" s="26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81"/>
      <c r="AC406" s="2"/>
      <c r="AD406" s="2"/>
      <c r="AE406" s="281"/>
      <c r="AF406" s="2"/>
      <c r="AG406" s="2"/>
      <c r="AH406" s="2"/>
      <c r="AI406" s="28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 ht="12" customHeight="1" x14ac:dyDescent="0.25">
      <c r="A407" s="2"/>
      <c r="B407" s="2"/>
      <c r="C407" s="2"/>
      <c r="D407" s="2"/>
      <c r="E407" s="2"/>
      <c r="F407" s="2"/>
      <c r="G407" s="26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81"/>
      <c r="AC407" s="2"/>
      <c r="AD407" s="2"/>
      <c r="AE407" s="281"/>
      <c r="AF407" s="2"/>
      <c r="AG407" s="2"/>
      <c r="AH407" s="2"/>
      <c r="AI407" s="28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 ht="12" customHeight="1" x14ac:dyDescent="0.25">
      <c r="A408" s="2"/>
      <c r="B408" s="2"/>
      <c r="C408" s="2"/>
      <c r="D408" s="2"/>
      <c r="E408" s="2"/>
      <c r="F408" s="2"/>
      <c r="G408" s="26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81"/>
      <c r="AC408" s="2"/>
      <c r="AD408" s="2"/>
      <c r="AE408" s="281"/>
      <c r="AF408" s="2"/>
      <c r="AG408" s="2"/>
      <c r="AH408" s="2"/>
      <c r="AI408" s="28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 ht="12" customHeight="1" x14ac:dyDescent="0.25">
      <c r="A409" s="2"/>
      <c r="B409" s="2"/>
      <c r="C409" s="2"/>
      <c r="D409" s="2"/>
      <c r="E409" s="2"/>
      <c r="F409" s="2"/>
      <c r="G409" s="26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81"/>
      <c r="AC409" s="2"/>
      <c r="AD409" s="2"/>
      <c r="AE409" s="281"/>
      <c r="AF409" s="2"/>
      <c r="AG409" s="2"/>
      <c r="AH409" s="2"/>
      <c r="AI409" s="28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 ht="12" customHeight="1" x14ac:dyDescent="0.25">
      <c r="A410" s="2"/>
      <c r="B410" s="2"/>
      <c r="C410" s="2"/>
      <c r="D410" s="2"/>
      <c r="E410" s="2"/>
      <c r="F410" s="2"/>
      <c r="G410" s="26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81"/>
      <c r="AC410" s="2"/>
      <c r="AD410" s="2"/>
      <c r="AE410" s="281"/>
      <c r="AF410" s="2"/>
      <c r="AG410" s="2"/>
      <c r="AH410" s="2"/>
      <c r="AI410" s="28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 ht="12" customHeight="1" x14ac:dyDescent="0.25">
      <c r="A411" s="2"/>
      <c r="B411" s="2"/>
      <c r="C411" s="2"/>
      <c r="D411" s="2"/>
      <c r="E411" s="2"/>
      <c r="F411" s="2"/>
      <c r="G411" s="26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81"/>
      <c r="AC411" s="2"/>
      <c r="AD411" s="2"/>
      <c r="AE411" s="281"/>
      <c r="AF411" s="2"/>
      <c r="AG411" s="2"/>
      <c r="AH411" s="2"/>
      <c r="AI411" s="28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 ht="12" customHeight="1" x14ac:dyDescent="0.25">
      <c r="A412" s="2"/>
      <c r="B412" s="2"/>
      <c r="C412" s="2"/>
      <c r="D412" s="2"/>
      <c r="E412" s="2"/>
      <c r="F412" s="2"/>
      <c r="G412" s="26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81"/>
      <c r="AC412" s="2"/>
      <c r="AD412" s="2"/>
      <c r="AE412" s="281"/>
      <c r="AF412" s="2"/>
      <c r="AG412" s="2"/>
      <c r="AH412" s="2"/>
      <c r="AI412" s="28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 ht="12" customHeight="1" x14ac:dyDescent="0.25">
      <c r="A413" s="2"/>
      <c r="B413" s="2"/>
      <c r="C413" s="2"/>
      <c r="D413" s="2"/>
      <c r="E413" s="2"/>
      <c r="F413" s="2"/>
      <c r="G413" s="26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81"/>
      <c r="AC413" s="2"/>
      <c r="AD413" s="2"/>
      <c r="AE413" s="281"/>
      <c r="AF413" s="2"/>
      <c r="AG413" s="2"/>
      <c r="AH413" s="2"/>
      <c r="AI413" s="28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 ht="12" customHeight="1" x14ac:dyDescent="0.25">
      <c r="A414" s="2"/>
      <c r="B414" s="2"/>
      <c r="C414" s="2"/>
      <c r="D414" s="2"/>
      <c r="E414" s="2"/>
      <c r="F414" s="2"/>
      <c r="G414" s="26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81"/>
      <c r="AC414" s="2"/>
      <c r="AD414" s="2"/>
      <c r="AE414" s="281"/>
      <c r="AF414" s="2"/>
      <c r="AG414" s="2"/>
      <c r="AH414" s="2"/>
      <c r="AI414" s="28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 ht="12" customHeight="1" x14ac:dyDescent="0.25">
      <c r="A415" s="2"/>
      <c r="B415" s="2"/>
      <c r="C415" s="2"/>
      <c r="D415" s="2"/>
      <c r="E415" s="2"/>
      <c r="F415" s="2"/>
      <c r="G415" s="26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81"/>
      <c r="AC415" s="2"/>
      <c r="AD415" s="2"/>
      <c r="AE415" s="281"/>
      <c r="AF415" s="2"/>
      <c r="AG415" s="2"/>
      <c r="AH415" s="2"/>
      <c r="AI415" s="28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 ht="12" customHeight="1" x14ac:dyDescent="0.25">
      <c r="A416" s="2"/>
      <c r="B416" s="2"/>
      <c r="C416" s="2"/>
      <c r="D416" s="2"/>
      <c r="E416" s="2"/>
      <c r="F416" s="2"/>
      <c r="G416" s="26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81"/>
      <c r="AC416" s="2"/>
      <c r="AD416" s="2"/>
      <c r="AE416" s="281"/>
      <c r="AF416" s="2"/>
      <c r="AG416" s="2"/>
      <c r="AH416" s="2"/>
      <c r="AI416" s="28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 ht="12" customHeight="1" x14ac:dyDescent="0.25">
      <c r="A417" s="2"/>
      <c r="B417" s="2"/>
      <c r="C417" s="2"/>
      <c r="D417" s="2"/>
      <c r="E417" s="2"/>
      <c r="F417" s="2"/>
      <c r="G417" s="26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81"/>
      <c r="AC417" s="2"/>
      <c r="AD417" s="2"/>
      <c r="AE417" s="281"/>
      <c r="AF417" s="2"/>
      <c r="AG417" s="2"/>
      <c r="AH417" s="2"/>
      <c r="AI417" s="28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 ht="12" customHeight="1" x14ac:dyDescent="0.25">
      <c r="A418" s="2"/>
      <c r="B418" s="2"/>
      <c r="C418" s="2"/>
      <c r="D418" s="2"/>
      <c r="E418" s="2"/>
      <c r="F418" s="2"/>
      <c r="G418" s="26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81"/>
      <c r="AC418" s="2"/>
      <c r="AD418" s="2"/>
      <c r="AE418" s="281"/>
      <c r="AF418" s="2"/>
      <c r="AG418" s="2"/>
      <c r="AH418" s="2"/>
      <c r="AI418" s="28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 ht="12" customHeight="1" x14ac:dyDescent="0.25">
      <c r="A419" s="2"/>
      <c r="B419" s="2"/>
      <c r="C419" s="2"/>
      <c r="D419" s="2"/>
      <c r="E419" s="2"/>
      <c r="F419" s="2"/>
      <c r="G419" s="26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81"/>
      <c r="AC419" s="2"/>
      <c r="AD419" s="2"/>
      <c r="AE419" s="281"/>
      <c r="AF419" s="2"/>
      <c r="AG419" s="2"/>
      <c r="AH419" s="2"/>
      <c r="AI419" s="28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 ht="12" customHeight="1" x14ac:dyDescent="0.25">
      <c r="A420" s="2"/>
      <c r="B420" s="2"/>
      <c r="C420" s="2"/>
      <c r="D420" s="2"/>
      <c r="E420" s="2"/>
      <c r="F420" s="2"/>
      <c r="G420" s="26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81"/>
      <c r="AC420" s="2"/>
      <c r="AD420" s="2"/>
      <c r="AE420" s="281"/>
      <c r="AF420" s="2"/>
      <c r="AG420" s="2"/>
      <c r="AH420" s="2"/>
      <c r="AI420" s="28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 ht="12" customHeight="1" x14ac:dyDescent="0.25">
      <c r="A421" s="2"/>
      <c r="B421" s="2"/>
      <c r="C421" s="2"/>
      <c r="D421" s="2"/>
      <c r="E421" s="2"/>
      <c r="F421" s="2"/>
      <c r="G421" s="26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81"/>
      <c r="AC421" s="2"/>
      <c r="AD421" s="2"/>
      <c r="AE421" s="281"/>
      <c r="AF421" s="2"/>
      <c r="AG421" s="2"/>
      <c r="AH421" s="2"/>
      <c r="AI421" s="28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 ht="12" customHeight="1" x14ac:dyDescent="0.25">
      <c r="A422" s="2"/>
      <c r="B422" s="2"/>
      <c r="C422" s="2"/>
      <c r="D422" s="2"/>
      <c r="E422" s="2"/>
      <c r="F422" s="2"/>
      <c r="G422" s="26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81"/>
      <c r="AC422" s="2"/>
      <c r="AD422" s="2"/>
      <c r="AE422" s="281"/>
      <c r="AF422" s="2"/>
      <c r="AG422" s="2"/>
      <c r="AH422" s="2"/>
      <c r="AI422" s="28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 ht="12" customHeight="1" x14ac:dyDescent="0.25">
      <c r="A423" s="2"/>
      <c r="B423" s="2"/>
      <c r="C423" s="2"/>
      <c r="D423" s="2"/>
      <c r="E423" s="2"/>
      <c r="F423" s="2"/>
      <c r="G423" s="26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81"/>
      <c r="AC423" s="2"/>
      <c r="AD423" s="2"/>
      <c r="AE423" s="281"/>
      <c r="AF423" s="2"/>
      <c r="AG423" s="2"/>
      <c r="AH423" s="2"/>
      <c r="AI423" s="28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 ht="12" customHeight="1" x14ac:dyDescent="0.25">
      <c r="A424" s="2"/>
      <c r="B424" s="2"/>
      <c r="C424" s="2"/>
      <c r="D424" s="2"/>
      <c r="E424" s="2"/>
      <c r="F424" s="2"/>
      <c r="G424" s="26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81"/>
      <c r="AC424" s="2"/>
      <c r="AD424" s="2"/>
      <c r="AE424" s="281"/>
      <c r="AF424" s="2"/>
      <c r="AG424" s="2"/>
      <c r="AH424" s="2"/>
      <c r="AI424" s="28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 ht="12" customHeight="1" x14ac:dyDescent="0.25">
      <c r="A425" s="2"/>
      <c r="B425" s="2"/>
      <c r="C425" s="2"/>
      <c r="D425" s="2"/>
      <c r="E425" s="2"/>
      <c r="F425" s="2"/>
      <c r="G425" s="26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81"/>
      <c r="AC425" s="2"/>
      <c r="AD425" s="2"/>
      <c r="AE425" s="281"/>
      <c r="AF425" s="2"/>
      <c r="AG425" s="2"/>
      <c r="AH425" s="2"/>
      <c r="AI425" s="28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 ht="12" customHeight="1" x14ac:dyDescent="0.25">
      <c r="A426" s="2"/>
      <c r="B426" s="2"/>
      <c r="C426" s="2"/>
      <c r="D426" s="2"/>
      <c r="E426" s="2"/>
      <c r="F426" s="2"/>
      <c r="G426" s="26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81"/>
      <c r="AC426" s="2"/>
      <c r="AD426" s="2"/>
      <c r="AE426" s="281"/>
      <c r="AF426" s="2"/>
      <c r="AG426" s="2"/>
      <c r="AH426" s="2"/>
      <c r="AI426" s="28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 ht="12" customHeight="1" x14ac:dyDescent="0.25">
      <c r="A427" s="2"/>
      <c r="B427" s="2"/>
      <c r="C427" s="2"/>
      <c r="D427" s="2"/>
      <c r="E427" s="2"/>
      <c r="F427" s="2"/>
      <c r="G427" s="26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81"/>
      <c r="AC427" s="2"/>
      <c r="AD427" s="2"/>
      <c r="AE427" s="281"/>
      <c r="AF427" s="2"/>
      <c r="AG427" s="2"/>
      <c r="AH427" s="2"/>
      <c r="AI427" s="28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 ht="12" customHeight="1" x14ac:dyDescent="0.25">
      <c r="A428" s="2"/>
      <c r="B428" s="2"/>
      <c r="C428" s="2"/>
      <c r="D428" s="2"/>
      <c r="E428" s="2"/>
      <c r="F428" s="2"/>
      <c r="G428" s="26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81"/>
      <c r="AC428" s="2"/>
      <c r="AD428" s="2"/>
      <c r="AE428" s="281"/>
      <c r="AF428" s="2"/>
      <c r="AG428" s="2"/>
      <c r="AH428" s="2"/>
      <c r="AI428" s="28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 ht="12" customHeight="1" x14ac:dyDescent="0.25">
      <c r="A429" s="2"/>
      <c r="B429" s="2"/>
      <c r="C429" s="2"/>
      <c r="D429" s="2"/>
      <c r="E429" s="2"/>
      <c r="F429" s="2"/>
      <c r="G429" s="26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81"/>
      <c r="AC429" s="2"/>
      <c r="AD429" s="2"/>
      <c r="AE429" s="281"/>
      <c r="AF429" s="2"/>
      <c r="AG429" s="2"/>
      <c r="AH429" s="2"/>
      <c r="AI429" s="28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ht="12" customHeight="1" x14ac:dyDescent="0.25">
      <c r="A430" s="2"/>
      <c r="B430" s="2"/>
      <c r="C430" s="2"/>
      <c r="D430" s="2"/>
      <c r="E430" s="2"/>
      <c r="F430" s="2"/>
      <c r="G430" s="26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81"/>
      <c r="AC430" s="2"/>
      <c r="AD430" s="2"/>
      <c r="AE430" s="281"/>
      <c r="AF430" s="2"/>
      <c r="AG430" s="2"/>
      <c r="AH430" s="2"/>
      <c r="AI430" s="28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ht="12" customHeight="1" x14ac:dyDescent="0.25">
      <c r="A431" s="2"/>
      <c r="B431" s="2"/>
      <c r="C431" s="2"/>
      <c r="D431" s="2"/>
      <c r="E431" s="2"/>
      <c r="F431" s="2"/>
      <c r="G431" s="26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81"/>
      <c r="AC431" s="2"/>
      <c r="AD431" s="2"/>
      <c r="AE431" s="281"/>
      <c r="AF431" s="2"/>
      <c r="AG431" s="2"/>
      <c r="AH431" s="2"/>
      <c r="AI431" s="28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ht="12" customHeight="1" x14ac:dyDescent="0.25">
      <c r="A432" s="2"/>
      <c r="B432" s="2"/>
      <c r="C432" s="2"/>
      <c r="D432" s="2"/>
      <c r="E432" s="2"/>
      <c r="F432" s="2"/>
      <c r="G432" s="26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81"/>
      <c r="AC432" s="2"/>
      <c r="AD432" s="2"/>
      <c r="AE432" s="281"/>
      <c r="AF432" s="2"/>
      <c r="AG432" s="2"/>
      <c r="AH432" s="2"/>
      <c r="AI432" s="28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 ht="12" customHeight="1" x14ac:dyDescent="0.25">
      <c r="A433" s="2"/>
      <c r="B433" s="2"/>
      <c r="C433" s="2"/>
      <c r="D433" s="2"/>
      <c r="E433" s="2"/>
      <c r="F433" s="2"/>
      <c r="G433" s="26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81"/>
      <c r="AC433" s="2"/>
      <c r="AD433" s="2"/>
      <c r="AE433" s="281"/>
      <c r="AF433" s="2"/>
      <c r="AG433" s="2"/>
      <c r="AH433" s="2"/>
      <c r="AI433" s="28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ht="12" customHeight="1" x14ac:dyDescent="0.25">
      <c r="A434" s="2"/>
      <c r="B434" s="2"/>
      <c r="C434" s="2"/>
      <c r="D434" s="2"/>
      <c r="E434" s="2"/>
      <c r="F434" s="2"/>
      <c r="G434" s="26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81"/>
      <c r="AC434" s="2"/>
      <c r="AD434" s="2"/>
      <c r="AE434" s="281"/>
      <c r="AF434" s="2"/>
      <c r="AG434" s="2"/>
      <c r="AH434" s="2"/>
      <c r="AI434" s="28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ht="12" customHeight="1" x14ac:dyDescent="0.25">
      <c r="A435" s="2"/>
      <c r="B435" s="2"/>
      <c r="C435" s="2"/>
      <c r="D435" s="2"/>
      <c r="E435" s="2"/>
      <c r="F435" s="2"/>
      <c r="G435" s="26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81"/>
      <c r="AC435" s="2"/>
      <c r="AD435" s="2"/>
      <c r="AE435" s="281"/>
      <c r="AF435" s="2"/>
      <c r="AG435" s="2"/>
      <c r="AH435" s="2"/>
      <c r="AI435" s="28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ht="12" customHeight="1" x14ac:dyDescent="0.25">
      <c r="A436" s="2"/>
      <c r="B436" s="2"/>
      <c r="C436" s="2"/>
      <c r="D436" s="2"/>
      <c r="E436" s="2"/>
      <c r="F436" s="2"/>
      <c r="G436" s="26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81"/>
      <c r="AC436" s="2"/>
      <c r="AD436" s="2"/>
      <c r="AE436" s="281"/>
      <c r="AF436" s="2"/>
      <c r="AG436" s="2"/>
      <c r="AH436" s="2"/>
      <c r="AI436" s="28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ht="12" customHeight="1" x14ac:dyDescent="0.25">
      <c r="A437" s="2"/>
      <c r="B437" s="2"/>
      <c r="C437" s="2"/>
      <c r="D437" s="2"/>
      <c r="E437" s="2"/>
      <c r="F437" s="2"/>
      <c r="G437" s="26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81"/>
      <c r="AC437" s="2"/>
      <c r="AD437" s="2"/>
      <c r="AE437" s="281"/>
      <c r="AF437" s="2"/>
      <c r="AG437" s="2"/>
      <c r="AH437" s="2"/>
      <c r="AI437" s="28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 ht="12" customHeight="1" x14ac:dyDescent="0.25">
      <c r="A438" s="2"/>
      <c r="B438" s="2"/>
      <c r="C438" s="2"/>
      <c r="D438" s="2"/>
      <c r="E438" s="2"/>
      <c r="F438" s="2"/>
      <c r="G438" s="26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81"/>
      <c r="AC438" s="2"/>
      <c r="AD438" s="2"/>
      <c r="AE438" s="281"/>
      <c r="AF438" s="2"/>
      <c r="AG438" s="2"/>
      <c r="AH438" s="2"/>
      <c r="AI438" s="28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ht="12" customHeight="1" x14ac:dyDescent="0.25">
      <c r="A439" s="2"/>
      <c r="B439" s="2"/>
      <c r="C439" s="2"/>
      <c r="D439" s="2"/>
      <c r="E439" s="2"/>
      <c r="F439" s="2"/>
      <c r="G439" s="26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81"/>
      <c r="AC439" s="2"/>
      <c r="AD439" s="2"/>
      <c r="AE439" s="281"/>
      <c r="AF439" s="2"/>
      <c r="AG439" s="2"/>
      <c r="AH439" s="2"/>
      <c r="AI439" s="28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ht="12" customHeight="1" x14ac:dyDescent="0.25">
      <c r="A440" s="2"/>
      <c r="B440" s="2"/>
      <c r="C440" s="2"/>
      <c r="D440" s="2"/>
      <c r="E440" s="2"/>
      <c r="F440" s="2"/>
      <c r="G440" s="26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81"/>
      <c r="AC440" s="2"/>
      <c r="AD440" s="2"/>
      <c r="AE440" s="281"/>
      <c r="AF440" s="2"/>
      <c r="AG440" s="2"/>
      <c r="AH440" s="2"/>
      <c r="AI440" s="28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ht="12" customHeight="1" x14ac:dyDescent="0.25">
      <c r="A441" s="2"/>
      <c r="B441" s="2"/>
      <c r="C441" s="2"/>
      <c r="D441" s="2"/>
      <c r="E441" s="2"/>
      <c r="F441" s="2"/>
      <c r="G441" s="26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81"/>
      <c r="AC441" s="2"/>
      <c r="AD441" s="2"/>
      <c r="AE441" s="281"/>
      <c r="AF441" s="2"/>
      <c r="AG441" s="2"/>
      <c r="AH441" s="2"/>
      <c r="AI441" s="28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ht="12" customHeight="1" x14ac:dyDescent="0.25">
      <c r="A442" s="2"/>
      <c r="B442" s="2"/>
      <c r="C442" s="2"/>
      <c r="D442" s="2"/>
      <c r="E442" s="2"/>
      <c r="F442" s="2"/>
      <c r="G442" s="26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81"/>
      <c r="AC442" s="2"/>
      <c r="AD442" s="2"/>
      <c r="AE442" s="281"/>
      <c r="AF442" s="2"/>
      <c r="AG442" s="2"/>
      <c r="AH442" s="2"/>
      <c r="AI442" s="28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ht="12" customHeight="1" x14ac:dyDescent="0.25">
      <c r="A443" s="2"/>
      <c r="B443" s="2"/>
      <c r="C443" s="2"/>
      <c r="D443" s="2"/>
      <c r="E443" s="2"/>
      <c r="F443" s="2"/>
      <c r="G443" s="26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81"/>
      <c r="AC443" s="2"/>
      <c r="AD443" s="2"/>
      <c r="AE443" s="281"/>
      <c r="AF443" s="2"/>
      <c r="AG443" s="2"/>
      <c r="AH443" s="2"/>
      <c r="AI443" s="28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ht="12" customHeight="1" x14ac:dyDescent="0.25">
      <c r="A444" s="2"/>
      <c r="B444" s="2"/>
      <c r="C444" s="2"/>
      <c r="D444" s="2"/>
      <c r="E444" s="2"/>
      <c r="F444" s="2"/>
      <c r="G444" s="26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81"/>
      <c r="AC444" s="2"/>
      <c r="AD444" s="2"/>
      <c r="AE444" s="281"/>
      <c r="AF444" s="2"/>
      <c r="AG444" s="2"/>
      <c r="AH444" s="2"/>
      <c r="AI444" s="28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ht="12" customHeight="1" x14ac:dyDescent="0.25">
      <c r="A445" s="2"/>
      <c r="B445" s="2"/>
      <c r="C445" s="2"/>
      <c r="D445" s="2"/>
      <c r="E445" s="2"/>
      <c r="F445" s="2"/>
      <c r="G445" s="26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81"/>
      <c r="AC445" s="2"/>
      <c r="AD445" s="2"/>
      <c r="AE445" s="281"/>
      <c r="AF445" s="2"/>
      <c r="AG445" s="2"/>
      <c r="AH445" s="2"/>
      <c r="AI445" s="28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ht="12" customHeight="1" x14ac:dyDescent="0.25">
      <c r="A446" s="2"/>
      <c r="B446" s="2"/>
      <c r="C446" s="2"/>
      <c r="D446" s="2"/>
      <c r="E446" s="2"/>
      <c r="F446" s="2"/>
      <c r="G446" s="26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81"/>
      <c r="AC446" s="2"/>
      <c r="AD446" s="2"/>
      <c r="AE446" s="281"/>
      <c r="AF446" s="2"/>
      <c r="AG446" s="2"/>
      <c r="AH446" s="2"/>
      <c r="AI446" s="28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ht="12" customHeight="1" x14ac:dyDescent="0.25">
      <c r="A447" s="2"/>
      <c r="B447" s="2"/>
      <c r="C447" s="2"/>
      <c r="D447" s="2"/>
      <c r="E447" s="2"/>
      <c r="F447" s="2"/>
      <c r="G447" s="26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81"/>
      <c r="AC447" s="2"/>
      <c r="AD447" s="2"/>
      <c r="AE447" s="281"/>
      <c r="AF447" s="2"/>
      <c r="AG447" s="2"/>
      <c r="AH447" s="2"/>
      <c r="AI447" s="28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ht="12" customHeight="1" x14ac:dyDescent="0.25">
      <c r="A448" s="2"/>
      <c r="B448" s="2"/>
      <c r="C448" s="2"/>
      <c r="D448" s="2"/>
      <c r="E448" s="2"/>
      <c r="F448" s="2"/>
      <c r="G448" s="26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81"/>
      <c r="AC448" s="2"/>
      <c r="AD448" s="2"/>
      <c r="AE448" s="281"/>
      <c r="AF448" s="2"/>
      <c r="AG448" s="2"/>
      <c r="AH448" s="2"/>
      <c r="AI448" s="28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ht="12" customHeight="1" x14ac:dyDescent="0.25">
      <c r="A449" s="2"/>
      <c r="B449" s="2"/>
      <c r="C449" s="2"/>
      <c r="D449" s="2"/>
      <c r="E449" s="2"/>
      <c r="F449" s="2"/>
      <c r="G449" s="26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81"/>
      <c r="AC449" s="2"/>
      <c r="AD449" s="2"/>
      <c r="AE449" s="281"/>
      <c r="AF449" s="2"/>
      <c r="AG449" s="2"/>
      <c r="AH449" s="2"/>
      <c r="AI449" s="28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ht="12" customHeight="1" x14ac:dyDescent="0.25">
      <c r="A450" s="2"/>
      <c r="B450" s="2"/>
      <c r="C450" s="2"/>
      <c r="D450" s="2"/>
      <c r="E450" s="2"/>
      <c r="F450" s="2"/>
      <c r="G450" s="26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81"/>
      <c r="AC450" s="2"/>
      <c r="AD450" s="2"/>
      <c r="AE450" s="281"/>
      <c r="AF450" s="2"/>
      <c r="AG450" s="2"/>
      <c r="AH450" s="2"/>
      <c r="AI450" s="28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ht="12" customHeight="1" x14ac:dyDescent="0.25">
      <c r="A451" s="2"/>
      <c r="B451" s="2"/>
      <c r="C451" s="2"/>
      <c r="D451" s="2"/>
      <c r="E451" s="2"/>
      <c r="F451" s="2"/>
      <c r="G451" s="26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81"/>
      <c r="AC451" s="2"/>
      <c r="AD451" s="2"/>
      <c r="AE451" s="281"/>
      <c r="AF451" s="2"/>
      <c r="AG451" s="2"/>
      <c r="AH451" s="2"/>
      <c r="AI451" s="28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ht="12" customHeight="1" x14ac:dyDescent="0.25">
      <c r="A452" s="2"/>
      <c r="B452" s="2"/>
      <c r="C452" s="2"/>
      <c r="D452" s="2"/>
      <c r="E452" s="2"/>
      <c r="F452" s="2"/>
      <c r="G452" s="26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81"/>
      <c r="AC452" s="2"/>
      <c r="AD452" s="2"/>
      <c r="AE452" s="281"/>
      <c r="AF452" s="2"/>
      <c r="AG452" s="2"/>
      <c r="AH452" s="2"/>
      <c r="AI452" s="28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ht="12" customHeight="1" x14ac:dyDescent="0.25">
      <c r="A453" s="2"/>
      <c r="B453" s="2"/>
      <c r="C453" s="2"/>
      <c r="D453" s="2"/>
      <c r="E453" s="2"/>
      <c r="F453" s="2"/>
      <c r="G453" s="26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81"/>
      <c r="AC453" s="2"/>
      <c r="AD453" s="2"/>
      <c r="AE453" s="281"/>
      <c r="AF453" s="2"/>
      <c r="AG453" s="2"/>
      <c r="AH453" s="2"/>
      <c r="AI453" s="28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ht="12" customHeight="1" x14ac:dyDescent="0.25">
      <c r="A454" s="2"/>
      <c r="B454" s="2"/>
      <c r="C454" s="2"/>
      <c r="D454" s="2"/>
      <c r="E454" s="2"/>
      <c r="F454" s="2"/>
      <c r="G454" s="26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81"/>
      <c r="AC454" s="2"/>
      <c r="AD454" s="2"/>
      <c r="AE454" s="281"/>
      <c r="AF454" s="2"/>
      <c r="AG454" s="2"/>
      <c r="AH454" s="2"/>
      <c r="AI454" s="28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ht="12" customHeight="1" x14ac:dyDescent="0.25">
      <c r="A455" s="2"/>
      <c r="B455" s="2"/>
      <c r="C455" s="2"/>
      <c r="D455" s="2"/>
      <c r="E455" s="2"/>
      <c r="F455" s="2"/>
      <c r="G455" s="26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81"/>
      <c r="AC455" s="2"/>
      <c r="AD455" s="2"/>
      <c r="AE455" s="281"/>
      <c r="AF455" s="2"/>
      <c r="AG455" s="2"/>
      <c r="AH455" s="2"/>
      <c r="AI455" s="28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ht="12" customHeight="1" x14ac:dyDescent="0.25">
      <c r="A456" s="2"/>
      <c r="B456" s="2"/>
      <c r="C456" s="2"/>
      <c r="D456" s="2"/>
      <c r="E456" s="2"/>
      <c r="F456" s="2"/>
      <c r="G456" s="26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81"/>
      <c r="AC456" s="2"/>
      <c r="AD456" s="2"/>
      <c r="AE456" s="281"/>
      <c r="AF456" s="2"/>
      <c r="AG456" s="2"/>
      <c r="AH456" s="2"/>
      <c r="AI456" s="28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ht="12" customHeight="1" x14ac:dyDescent="0.25">
      <c r="A457" s="2"/>
      <c r="B457" s="2"/>
      <c r="C457" s="2"/>
      <c r="D457" s="2"/>
      <c r="E457" s="2"/>
      <c r="F457" s="2"/>
      <c r="G457" s="26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81"/>
      <c r="AC457" s="2"/>
      <c r="AD457" s="2"/>
      <c r="AE457" s="281"/>
      <c r="AF457" s="2"/>
      <c r="AG457" s="2"/>
      <c r="AH457" s="2"/>
      <c r="AI457" s="28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 ht="12" customHeight="1" x14ac:dyDescent="0.25">
      <c r="A458" s="2"/>
      <c r="B458" s="2"/>
      <c r="C458" s="2"/>
      <c r="D458" s="2"/>
      <c r="E458" s="2"/>
      <c r="F458" s="2"/>
      <c r="G458" s="26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81"/>
      <c r="AC458" s="2"/>
      <c r="AD458" s="2"/>
      <c r="AE458" s="281"/>
      <c r="AF458" s="2"/>
      <c r="AG458" s="2"/>
      <c r="AH458" s="2"/>
      <c r="AI458" s="28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 ht="12" customHeight="1" x14ac:dyDescent="0.25">
      <c r="A459" s="2"/>
      <c r="B459" s="2"/>
      <c r="C459" s="2"/>
      <c r="D459" s="2"/>
      <c r="E459" s="2"/>
      <c r="F459" s="2"/>
      <c r="G459" s="26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81"/>
      <c r="AC459" s="2"/>
      <c r="AD459" s="2"/>
      <c r="AE459" s="281"/>
      <c r="AF459" s="2"/>
      <c r="AG459" s="2"/>
      <c r="AH459" s="2"/>
      <c r="AI459" s="28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ht="12" customHeight="1" x14ac:dyDescent="0.25">
      <c r="A460" s="2"/>
      <c r="B460" s="2"/>
      <c r="C460" s="2"/>
      <c r="D460" s="2"/>
      <c r="E460" s="2"/>
      <c r="F460" s="2"/>
      <c r="G460" s="26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81"/>
      <c r="AC460" s="2"/>
      <c r="AD460" s="2"/>
      <c r="AE460" s="281"/>
      <c r="AF460" s="2"/>
      <c r="AG460" s="2"/>
      <c r="AH460" s="2"/>
      <c r="AI460" s="28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ht="12" customHeight="1" x14ac:dyDescent="0.25">
      <c r="A461" s="2"/>
      <c r="B461" s="2"/>
      <c r="C461" s="2"/>
      <c r="D461" s="2"/>
      <c r="E461" s="2"/>
      <c r="F461" s="2"/>
      <c r="G461" s="26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81"/>
      <c r="AC461" s="2"/>
      <c r="AD461" s="2"/>
      <c r="AE461" s="281"/>
      <c r="AF461" s="2"/>
      <c r="AG461" s="2"/>
      <c r="AH461" s="2"/>
      <c r="AI461" s="28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ht="12" customHeight="1" x14ac:dyDescent="0.25">
      <c r="A462" s="2"/>
      <c r="B462" s="2"/>
      <c r="C462" s="2"/>
      <c r="D462" s="2"/>
      <c r="E462" s="2"/>
      <c r="F462" s="2"/>
      <c r="G462" s="26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81"/>
      <c r="AC462" s="2"/>
      <c r="AD462" s="2"/>
      <c r="AE462" s="281"/>
      <c r="AF462" s="2"/>
      <c r="AG462" s="2"/>
      <c r="AH462" s="2"/>
      <c r="AI462" s="28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ht="12" customHeight="1" x14ac:dyDescent="0.25">
      <c r="A463" s="2"/>
      <c r="B463" s="2"/>
      <c r="C463" s="2"/>
      <c r="D463" s="2"/>
      <c r="E463" s="2"/>
      <c r="F463" s="2"/>
      <c r="G463" s="26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81"/>
      <c r="AC463" s="2"/>
      <c r="AD463" s="2"/>
      <c r="AE463" s="281"/>
      <c r="AF463" s="2"/>
      <c r="AG463" s="2"/>
      <c r="AH463" s="2"/>
      <c r="AI463" s="28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 ht="12" customHeight="1" x14ac:dyDescent="0.25">
      <c r="A464" s="2"/>
      <c r="B464" s="2"/>
      <c r="C464" s="2"/>
      <c r="D464" s="2"/>
      <c r="E464" s="2"/>
      <c r="F464" s="2"/>
      <c r="G464" s="26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81"/>
      <c r="AC464" s="2"/>
      <c r="AD464" s="2"/>
      <c r="AE464" s="281"/>
      <c r="AF464" s="2"/>
      <c r="AG464" s="2"/>
      <c r="AH464" s="2"/>
      <c r="AI464" s="28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ht="12" customHeight="1" x14ac:dyDescent="0.25">
      <c r="A465" s="2"/>
      <c r="B465" s="2"/>
      <c r="C465" s="2"/>
      <c r="D465" s="2"/>
      <c r="E465" s="2"/>
      <c r="F465" s="2"/>
      <c r="G465" s="26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81"/>
      <c r="AC465" s="2"/>
      <c r="AD465" s="2"/>
      <c r="AE465" s="281"/>
      <c r="AF465" s="2"/>
      <c r="AG465" s="2"/>
      <c r="AH465" s="2"/>
      <c r="AI465" s="28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ht="12" customHeight="1" x14ac:dyDescent="0.25">
      <c r="A466" s="2"/>
      <c r="B466" s="2"/>
      <c r="C466" s="2"/>
      <c r="D466" s="2"/>
      <c r="E466" s="2"/>
      <c r="F466" s="2"/>
      <c r="G466" s="26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81"/>
      <c r="AC466" s="2"/>
      <c r="AD466" s="2"/>
      <c r="AE466" s="281"/>
      <c r="AF466" s="2"/>
      <c r="AG466" s="2"/>
      <c r="AH466" s="2"/>
      <c r="AI466" s="28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ht="12" customHeight="1" x14ac:dyDescent="0.25">
      <c r="A467" s="2"/>
      <c r="B467" s="2"/>
      <c r="C467" s="2"/>
      <c r="D467" s="2"/>
      <c r="E467" s="2"/>
      <c r="F467" s="2"/>
      <c r="G467" s="26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81"/>
      <c r="AC467" s="2"/>
      <c r="AD467" s="2"/>
      <c r="AE467" s="281"/>
      <c r="AF467" s="2"/>
      <c r="AG467" s="2"/>
      <c r="AH467" s="2"/>
      <c r="AI467" s="28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ht="12" customHeight="1" x14ac:dyDescent="0.25">
      <c r="A468" s="2"/>
      <c r="B468" s="2"/>
      <c r="C468" s="2"/>
      <c r="D468" s="2"/>
      <c r="E468" s="2"/>
      <c r="F468" s="2"/>
      <c r="G468" s="26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81"/>
      <c r="AC468" s="2"/>
      <c r="AD468" s="2"/>
      <c r="AE468" s="281"/>
      <c r="AF468" s="2"/>
      <c r="AG468" s="2"/>
      <c r="AH468" s="2"/>
      <c r="AI468" s="28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ht="12" customHeight="1" x14ac:dyDescent="0.25">
      <c r="A469" s="2"/>
      <c r="B469" s="2"/>
      <c r="C469" s="2"/>
      <c r="D469" s="2"/>
      <c r="E469" s="2"/>
      <c r="F469" s="2"/>
      <c r="G469" s="26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81"/>
      <c r="AC469" s="2"/>
      <c r="AD469" s="2"/>
      <c r="AE469" s="281"/>
      <c r="AF469" s="2"/>
      <c r="AG469" s="2"/>
      <c r="AH469" s="2"/>
      <c r="AI469" s="28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ht="12" customHeight="1" x14ac:dyDescent="0.25">
      <c r="A470" s="2"/>
      <c r="B470" s="2"/>
      <c r="C470" s="2"/>
      <c r="D470" s="2"/>
      <c r="E470" s="2"/>
      <c r="F470" s="2"/>
      <c r="G470" s="26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81"/>
      <c r="AC470" s="2"/>
      <c r="AD470" s="2"/>
      <c r="AE470" s="281"/>
      <c r="AF470" s="2"/>
      <c r="AG470" s="2"/>
      <c r="AH470" s="2"/>
      <c r="AI470" s="28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ht="12" customHeight="1" x14ac:dyDescent="0.25">
      <c r="A471" s="2"/>
      <c r="B471" s="2"/>
      <c r="C471" s="2"/>
      <c r="D471" s="2"/>
      <c r="E471" s="2"/>
      <c r="F471" s="2"/>
      <c r="G471" s="26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81"/>
      <c r="AC471" s="2"/>
      <c r="AD471" s="2"/>
      <c r="AE471" s="281"/>
      <c r="AF471" s="2"/>
      <c r="AG471" s="2"/>
      <c r="AH471" s="2"/>
      <c r="AI471" s="28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ht="12" customHeight="1" x14ac:dyDescent="0.25">
      <c r="A472" s="2"/>
      <c r="B472" s="2"/>
      <c r="C472" s="2"/>
      <c r="D472" s="2"/>
      <c r="E472" s="2"/>
      <c r="F472" s="2"/>
      <c r="G472" s="26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81"/>
      <c r="AC472" s="2"/>
      <c r="AD472" s="2"/>
      <c r="AE472" s="281"/>
      <c r="AF472" s="2"/>
      <c r="AG472" s="2"/>
      <c r="AH472" s="2"/>
      <c r="AI472" s="28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ht="12" customHeight="1" x14ac:dyDescent="0.25">
      <c r="A473" s="2"/>
      <c r="B473" s="2"/>
      <c r="C473" s="2"/>
      <c r="D473" s="2"/>
      <c r="E473" s="2"/>
      <c r="F473" s="2"/>
      <c r="G473" s="26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81"/>
      <c r="AC473" s="2"/>
      <c r="AD473" s="2"/>
      <c r="AE473" s="281"/>
      <c r="AF473" s="2"/>
      <c r="AG473" s="2"/>
      <c r="AH473" s="2"/>
      <c r="AI473" s="28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ht="12" customHeight="1" x14ac:dyDescent="0.25">
      <c r="A474" s="2"/>
      <c r="B474" s="2"/>
      <c r="C474" s="2"/>
      <c r="D474" s="2"/>
      <c r="E474" s="2"/>
      <c r="F474" s="2"/>
      <c r="G474" s="26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81"/>
      <c r="AC474" s="2"/>
      <c r="AD474" s="2"/>
      <c r="AE474" s="281"/>
      <c r="AF474" s="2"/>
      <c r="AG474" s="2"/>
      <c r="AH474" s="2"/>
      <c r="AI474" s="28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 ht="12" customHeight="1" x14ac:dyDescent="0.25">
      <c r="A475" s="2"/>
      <c r="B475" s="2"/>
      <c r="C475" s="2"/>
      <c r="D475" s="2"/>
      <c r="E475" s="2"/>
      <c r="F475" s="2"/>
      <c r="G475" s="26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81"/>
      <c r="AC475" s="2"/>
      <c r="AD475" s="2"/>
      <c r="AE475" s="281"/>
      <c r="AF475" s="2"/>
      <c r="AG475" s="2"/>
      <c r="AH475" s="2"/>
      <c r="AI475" s="28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ht="12" customHeight="1" x14ac:dyDescent="0.25">
      <c r="A476" s="2"/>
      <c r="B476" s="2"/>
      <c r="C476" s="2"/>
      <c r="D476" s="2"/>
      <c r="E476" s="2"/>
      <c r="F476" s="2"/>
      <c r="G476" s="26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81"/>
      <c r="AC476" s="2"/>
      <c r="AD476" s="2"/>
      <c r="AE476" s="281"/>
      <c r="AF476" s="2"/>
      <c r="AG476" s="2"/>
      <c r="AH476" s="2"/>
      <c r="AI476" s="28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ht="12" customHeight="1" x14ac:dyDescent="0.25">
      <c r="A477" s="2"/>
      <c r="B477" s="2"/>
      <c r="C477" s="2"/>
      <c r="D477" s="2"/>
      <c r="E477" s="2"/>
      <c r="F477" s="2"/>
      <c r="G477" s="26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81"/>
      <c r="AC477" s="2"/>
      <c r="AD477" s="2"/>
      <c r="AE477" s="281"/>
      <c r="AF477" s="2"/>
      <c r="AG477" s="2"/>
      <c r="AH477" s="2"/>
      <c r="AI477" s="28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ht="12" customHeight="1" x14ac:dyDescent="0.25">
      <c r="A478" s="2"/>
      <c r="B478" s="2"/>
      <c r="C478" s="2"/>
      <c r="D478" s="2"/>
      <c r="E478" s="2"/>
      <c r="F478" s="2"/>
      <c r="G478" s="26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81"/>
      <c r="AC478" s="2"/>
      <c r="AD478" s="2"/>
      <c r="AE478" s="281"/>
      <c r="AF478" s="2"/>
      <c r="AG478" s="2"/>
      <c r="AH478" s="2"/>
      <c r="AI478" s="28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ht="12" customHeight="1" x14ac:dyDescent="0.25">
      <c r="A479" s="2"/>
      <c r="B479" s="2"/>
      <c r="C479" s="2"/>
      <c r="D479" s="2"/>
      <c r="E479" s="2"/>
      <c r="F479" s="2"/>
      <c r="G479" s="26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81"/>
      <c r="AC479" s="2"/>
      <c r="AD479" s="2"/>
      <c r="AE479" s="281"/>
      <c r="AF479" s="2"/>
      <c r="AG479" s="2"/>
      <c r="AH479" s="2"/>
      <c r="AI479" s="28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ht="12" customHeight="1" x14ac:dyDescent="0.25">
      <c r="A480" s="2"/>
      <c r="B480" s="2"/>
      <c r="C480" s="2"/>
      <c r="D480" s="2"/>
      <c r="E480" s="2"/>
      <c r="F480" s="2"/>
      <c r="G480" s="26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81"/>
      <c r="AC480" s="2"/>
      <c r="AD480" s="2"/>
      <c r="AE480" s="281"/>
      <c r="AF480" s="2"/>
      <c r="AG480" s="2"/>
      <c r="AH480" s="2"/>
      <c r="AI480" s="28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ht="12" customHeight="1" x14ac:dyDescent="0.25">
      <c r="A481" s="2"/>
      <c r="B481" s="2"/>
      <c r="C481" s="2"/>
      <c r="D481" s="2"/>
      <c r="E481" s="2"/>
      <c r="F481" s="2"/>
      <c r="G481" s="26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81"/>
      <c r="AC481" s="2"/>
      <c r="AD481" s="2"/>
      <c r="AE481" s="281"/>
      <c r="AF481" s="2"/>
      <c r="AG481" s="2"/>
      <c r="AH481" s="2"/>
      <c r="AI481" s="28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ht="12" customHeight="1" x14ac:dyDescent="0.25">
      <c r="A482" s="2"/>
      <c r="B482" s="2"/>
      <c r="C482" s="2"/>
      <c r="D482" s="2"/>
      <c r="E482" s="2"/>
      <c r="F482" s="2"/>
      <c r="G482" s="26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81"/>
      <c r="AC482" s="2"/>
      <c r="AD482" s="2"/>
      <c r="AE482" s="281"/>
      <c r="AF482" s="2"/>
      <c r="AG482" s="2"/>
      <c r="AH482" s="2"/>
      <c r="AI482" s="28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ht="12" customHeight="1" x14ac:dyDescent="0.25">
      <c r="A483" s="2"/>
      <c r="B483" s="2"/>
      <c r="C483" s="2"/>
      <c r="D483" s="2"/>
      <c r="E483" s="2"/>
      <c r="F483" s="2"/>
      <c r="G483" s="26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81"/>
      <c r="AC483" s="2"/>
      <c r="AD483" s="2"/>
      <c r="AE483" s="281"/>
      <c r="AF483" s="2"/>
      <c r="AG483" s="2"/>
      <c r="AH483" s="2"/>
      <c r="AI483" s="28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ht="12" customHeight="1" x14ac:dyDescent="0.25">
      <c r="A484" s="2"/>
      <c r="B484" s="2"/>
      <c r="C484" s="2"/>
      <c r="D484" s="2"/>
      <c r="E484" s="2"/>
      <c r="F484" s="2"/>
      <c r="G484" s="26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81"/>
      <c r="AC484" s="2"/>
      <c r="AD484" s="2"/>
      <c r="AE484" s="281"/>
      <c r="AF484" s="2"/>
      <c r="AG484" s="2"/>
      <c r="AH484" s="2"/>
      <c r="AI484" s="28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 ht="12" customHeight="1" x14ac:dyDescent="0.25">
      <c r="A485" s="2"/>
      <c r="B485" s="2"/>
      <c r="C485" s="2"/>
      <c r="D485" s="2"/>
      <c r="E485" s="2"/>
      <c r="F485" s="2"/>
      <c r="G485" s="26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81"/>
      <c r="AC485" s="2"/>
      <c r="AD485" s="2"/>
      <c r="AE485" s="281"/>
      <c r="AF485" s="2"/>
      <c r="AG485" s="2"/>
      <c r="AH485" s="2"/>
      <c r="AI485" s="28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 ht="12" customHeight="1" x14ac:dyDescent="0.25">
      <c r="A486" s="2"/>
      <c r="B486" s="2"/>
      <c r="C486" s="2"/>
      <c r="D486" s="2"/>
      <c r="E486" s="2"/>
      <c r="F486" s="2"/>
      <c r="G486" s="26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81"/>
      <c r="AC486" s="2"/>
      <c r="AD486" s="2"/>
      <c r="AE486" s="281"/>
      <c r="AF486" s="2"/>
      <c r="AG486" s="2"/>
      <c r="AH486" s="2"/>
      <c r="AI486" s="28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 ht="12" customHeight="1" x14ac:dyDescent="0.25">
      <c r="A487" s="2"/>
      <c r="B487" s="2"/>
      <c r="C487" s="2"/>
      <c r="D487" s="2"/>
      <c r="E487" s="2"/>
      <c r="F487" s="2"/>
      <c r="G487" s="26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81"/>
      <c r="AC487" s="2"/>
      <c r="AD487" s="2"/>
      <c r="AE487" s="281"/>
      <c r="AF487" s="2"/>
      <c r="AG487" s="2"/>
      <c r="AH487" s="2"/>
      <c r="AI487" s="28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 ht="12" customHeight="1" x14ac:dyDescent="0.25">
      <c r="A488" s="2"/>
      <c r="B488" s="2"/>
      <c r="C488" s="2"/>
      <c r="D488" s="2"/>
      <c r="E488" s="2"/>
      <c r="F488" s="2"/>
      <c r="G488" s="26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81"/>
      <c r="AC488" s="2"/>
      <c r="AD488" s="2"/>
      <c r="AE488" s="281"/>
      <c r="AF488" s="2"/>
      <c r="AG488" s="2"/>
      <c r="AH488" s="2"/>
      <c r="AI488" s="28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 ht="12" customHeight="1" x14ac:dyDescent="0.25">
      <c r="A489" s="2"/>
      <c r="B489" s="2"/>
      <c r="C489" s="2"/>
      <c r="D489" s="2"/>
      <c r="E489" s="2"/>
      <c r="F489" s="2"/>
      <c r="G489" s="26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81"/>
      <c r="AC489" s="2"/>
      <c r="AD489" s="2"/>
      <c r="AE489" s="281"/>
      <c r="AF489" s="2"/>
      <c r="AG489" s="2"/>
      <c r="AH489" s="2"/>
      <c r="AI489" s="28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 ht="12" customHeight="1" x14ac:dyDescent="0.25">
      <c r="A490" s="2"/>
      <c r="B490" s="2"/>
      <c r="C490" s="2"/>
      <c r="D490" s="2"/>
      <c r="E490" s="2"/>
      <c r="F490" s="2"/>
      <c r="G490" s="26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81"/>
      <c r="AC490" s="2"/>
      <c r="AD490" s="2"/>
      <c r="AE490" s="281"/>
      <c r="AF490" s="2"/>
      <c r="AG490" s="2"/>
      <c r="AH490" s="2"/>
      <c r="AI490" s="28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 ht="12" customHeight="1" x14ac:dyDescent="0.25">
      <c r="A491" s="2"/>
      <c r="B491" s="2"/>
      <c r="C491" s="2"/>
      <c r="D491" s="2"/>
      <c r="E491" s="2"/>
      <c r="F491" s="2"/>
      <c r="G491" s="26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81"/>
      <c r="AC491" s="2"/>
      <c r="AD491" s="2"/>
      <c r="AE491" s="281"/>
      <c r="AF491" s="2"/>
      <c r="AG491" s="2"/>
      <c r="AH491" s="2"/>
      <c r="AI491" s="28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 ht="12" customHeight="1" x14ac:dyDescent="0.25">
      <c r="A492" s="2"/>
      <c r="B492" s="2"/>
      <c r="C492" s="2"/>
      <c r="D492" s="2"/>
      <c r="E492" s="2"/>
      <c r="F492" s="2"/>
      <c r="G492" s="26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81"/>
      <c r="AC492" s="2"/>
      <c r="AD492" s="2"/>
      <c r="AE492" s="281"/>
      <c r="AF492" s="2"/>
      <c r="AG492" s="2"/>
      <c r="AH492" s="2"/>
      <c r="AI492" s="28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 ht="12" customHeight="1" x14ac:dyDescent="0.25">
      <c r="A493" s="2"/>
      <c r="B493" s="2"/>
      <c r="C493" s="2"/>
      <c r="D493" s="2"/>
      <c r="E493" s="2"/>
      <c r="F493" s="2"/>
      <c r="G493" s="26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81"/>
      <c r="AC493" s="2"/>
      <c r="AD493" s="2"/>
      <c r="AE493" s="281"/>
      <c r="AF493" s="2"/>
      <c r="AG493" s="2"/>
      <c r="AH493" s="2"/>
      <c r="AI493" s="28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 ht="12" customHeight="1" x14ac:dyDescent="0.25">
      <c r="A494" s="2"/>
      <c r="B494" s="2"/>
      <c r="C494" s="2"/>
      <c r="D494" s="2"/>
      <c r="E494" s="2"/>
      <c r="F494" s="2"/>
      <c r="G494" s="26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81"/>
      <c r="AC494" s="2"/>
      <c r="AD494" s="2"/>
      <c r="AE494" s="281"/>
      <c r="AF494" s="2"/>
      <c r="AG494" s="2"/>
      <c r="AH494" s="2"/>
      <c r="AI494" s="28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 ht="12" customHeight="1" x14ac:dyDescent="0.25">
      <c r="A495" s="2"/>
      <c r="B495" s="2"/>
      <c r="C495" s="2"/>
      <c r="D495" s="2"/>
      <c r="E495" s="2"/>
      <c r="F495" s="2"/>
      <c r="G495" s="26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81"/>
      <c r="AC495" s="2"/>
      <c r="AD495" s="2"/>
      <c r="AE495" s="281"/>
      <c r="AF495" s="2"/>
      <c r="AG495" s="2"/>
      <c r="AH495" s="2"/>
      <c r="AI495" s="28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 ht="12" customHeight="1" x14ac:dyDescent="0.25">
      <c r="A496" s="2"/>
      <c r="B496" s="2"/>
      <c r="C496" s="2"/>
      <c r="D496" s="2"/>
      <c r="E496" s="2"/>
      <c r="F496" s="2"/>
      <c r="G496" s="26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81"/>
      <c r="AC496" s="2"/>
      <c r="AD496" s="2"/>
      <c r="AE496" s="281"/>
      <c r="AF496" s="2"/>
      <c r="AG496" s="2"/>
      <c r="AH496" s="2"/>
      <c r="AI496" s="28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 ht="12" customHeight="1" x14ac:dyDescent="0.25">
      <c r="A497" s="2"/>
      <c r="B497" s="2"/>
      <c r="C497" s="2"/>
      <c r="D497" s="2"/>
      <c r="E497" s="2"/>
      <c r="F497" s="2"/>
      <c r="G497" s="26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81"/>
      <c r="AC497" s="2"/>
      <c r="AD497" s="2"/>
      <c r="AE497" s="281"/>
      <c r="AF497" s="2"/>
      <c r="AG497" s="2"/>
      <c r="AH497" s="2"/>
      <c r="AI497" s="28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 ht="12" customHeight="1" x14ac:dyDescent="0.25">
      <c r="A498" s="2"/>
      <c r="B498" s="2"/>
      <c r="C498" s="2"/>
      <c r="D498" s="2"/>
      <c r="E498" s="2"/>
      <c r="F498" s="2"/>
      <c r="G498" s="26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81"/>
      <c r="AC498" s="2"/>
      <c r="AD498" s="2"/>
      <c r="AE498" s="281"/>
      <c r="AF498" s="2"/>
      <c r="AG498" s="2"/>
      <c r="AH498" s="2"/>
      <c r="AI498" s="28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 ht="12" customHeight="1" x14ac:dyDescent="0.25">
      <c r="A499" s="2"/>
      <c r="B499" s="2"/>
      <c r="C499" s="2"/>
      <c r="D499" s="2"/>
      <c r="E499" s="2"/>
      <c r="F499" s="2"/>
      <c r="G499" s="26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81"/>
      <c r="AC499" s="2"/>
      <c r="AD499" s="2"/>
      <c r="AE499" s="281"/>
      <c r="AF499" s="2"/>
      <c r="AG499" s="2"/>
      <c r="AH499" s="2"/>
      <c r="AI499" s="28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 ht="12" customHeight="1" x14ac:dyDescent="0.25">
      <c r="A500" s="2"/>
      <c r="B500" s="2"/>
      <c r="C500" s="2"/>
      <c r="D500" s="2"/>
      <c r="E500" s="2"/>
      <c r="F500" s="2"/>
      <c r="G500" s="26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81"/>
      <c r="AC500" s="2"/>
      <c r="AD500" s="2"/>
      <c r="AE500" s="281"/>
      <c r="AF500" s="2"/>
      <c r="AG500" s="2"/>
      <c r="AH500" s="2"/>
      <c r="AI500" s="28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 ht="12" customHeight="1" x14ac:dyDescent="0.25">
      <c r="A501" s="2"/>
      <c r="B501" s="2"/>
      <c r="C501" s="2"/>
      <c r="D501" s="2"/>
      <c r="E501" s="2"/>
      <c r="F501" s="2"/>
      <c r="G501" s="26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81"/>
      <c r="AC501" s="2"/>
      <c r="AD501" s="2"/>
      <c r="AE501" s="281"/>
      <c r="AF501" s="2"/>
      <c r="AG501" s="2"/>
      <c r="AH501" s="2"/>
      <c r="AI501" s="28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 ht="12" customHeight="1" x14ac:dyDescent="0.25">
      <c r="A502" s="2"/>
      <c r="B502" s="2"/>
      <c r="C502" s="2"/>
      <c r="D502" s="2"/>
      <c r="E502" s="2"/>
      <c r="F502" s="2"/>
      <c r="G502" s="26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81"/>
      <c r="AC502" s="2"/>
      <c r="AD502" s="2"/>
      <c r="AE502" s="281"/>
      <c r="AF502" s="2"/>
      <c r="AG502" s="2"/>
      <c r="AH502" s="2"/>
      <c r="AI502" s="28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 ht="12" customHeight="1" x14ac:dyDescent="0.25">
      <c r="A503" s="2"/>
      <c r="B503" s="2"/>
      <c r="C503" s="2"/>
      <c r="D503" s="2"/>
      <c r="E503" s="2"/>
      <c r="F503" s="2"/>
      <c r="G503" s="26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81"/>
      <c r="AC503" s="2"/>
      <c r="AD503" s="2"/>
      <c r="AE503" s="281"/>
      <c r="AF503" s="2"/>
      <c r="AG503" s="2"/>
      <c r="AH503" s="2"/>
      <c r="AI503" s="28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 ht="12" customHeight="1" x14ac:dyDescent="0.25">
      <c r="A504" s="2"/>
      <c r="B504" s="2"/>
      <c r="C504" s="2"/>
      <c r="D504" s="2"/>
      <c r="E504" s="2"/>
      <c r="F504" s="2"/>
      <c r="G504" s="26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81"/>
      <c r="AC504" s="2"/>
      <c r="AD504" s="2"/>
      <c r="AE504" s="281"/>
      <c r="AF504" s="2"/>
      <c r="AG504" s="2"/>
      <c r="AH504" s="2"/>
      <c r="AI504" s="28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 ht="12" customHeight="1" x14ac:dyDescent="0.25">
      <c r="A505" s="2"/>
      <c r="B505" s="2"/>
      <c r="C505" s="2"/>
      <c r="D505" s="2"/>
      <c r="E505" s="2"/>
      <c r="F505" s="2"/>
      <c r="G505" s="26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81"/>
      <c r="AC505" s="2"/>
      <c r="AD505" s="2"/>
      <c r="AE505" s="281"/>
      <c r="AF505" s="2"/>
      <c r="AG505" s="2"/>
      <c r="AH505" s="2"/>
      <c r="AI505" s="28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 ht="12" customHeight="1" x14ac:dyDescent="0.25">
      <c r="A506" s="2"/>
      <c r="B506" s="2"/>
      <c r="C506" s="2"/>
      <c r="D506" s="2"/>
      <c r="E506" s="2"/>
      <c r="F506" s="2"/>
      <c r="G506" s="26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81"/>
      <c r="AC506" s="2"/>
      <c r="AD506" s="2"/>
      <c r="AE506" s="281"/>
      <c r="AF506" s="2"/>
      <c r="AG506" s="2"/>
      <c r="AH506" s="2"/>
      <c r="AI506" s="28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 ht="12" customHeight="1" x14ac:dyDescent="0.25">
      <c r="A507" s="2"/>
      <c r="B507" s="2"/>
      <c r="C507" s="2"/>
      <c r="D507" s="2"/>
      <c r="E507" s="2"/>
      <c r="F507" s="2"/>
      <c r="G507" s="26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81"/>
      <c r="AC507" s="2"/>
      <c r="AD507" s="2"/>
      <c r="AE507" s="281"/>
      <c r="AF507" s="2"/>
      <c r="AG507" s="2"/>
      <c r="AH507" s="2"/>
      <c r="AI507" s="28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 ht="12" customHeight="1" x14ac:dyDescent="0.25">
      <c r="A508" s="2"/>
      <c r="B508" s="2"/>
      <c r="C508" s="2"/>
      <c r="D508" s="2"/>
      <c r="E508" s="2"/>
      <c r="F508" s="2"/>
      <c r="G508" s="26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81"/>
      <c r="AC508" s="2"/>
      <c r="AD508" s="2"/>
      <c r="AE508" s="281"/>
      <c r="AF508" s="2"/>
      <c r="AG508" s="2"/>
      <c r="AH508" s="2"/>
      <c r="AI508" s="28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 ht="12" customHeight="1" x14ac:dyDescent="0.25">
      <c r="A509" s="2"/>
      <c r="B509" s="2"/>
      <c r="C509" s="2"/>
      <c r="D509" s="2"/>
      <c r="E509" s="2"/>
      <c r="F509" s="2"/>
      <c r="G509" s="26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81"/>
      <c r="AC509" s="2"/>
      <c r="AD509" s="2"/>
      <c r="AE509" s="281"/>
      <c r="AF509" s="2"/>
      <c r="AG509" s="2"/>
      <c r="AH509" s="2"/>
      <c r="AI509" s="28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 ht="12" customHeight="1" x14ac:dyDescent="0.25">
      <c r="A510" s="2"/>
      <c r="B510" s="2"/>
      <c r="C510" s="2"/>
      <c r="D510" s="2"/>
      <c r="E510" s="2"/>
      <c r="F510" s="2"/>
      <c r="G510" s="26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81"/>
      <c r="AC510" s="2"/>
      <c r="AD510" s="2"/>
      <c r="AE510" s="281"/>
      <c r="AF510" s="2"/>
      <c r="AG510" s="2"/>
      <c r="AH510" s="2"/>
      <c r="AI510" s="28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 ht="12" customHeight="1" x14ac:dyDescent="0.25">
      <c r="A511" s="2"/>
      <c r="B511" s="2"/>
      <c r="C511" s="2"/>
      <c r="D511" s="2"/>
      <c r="E511" s="2"/>
      <c r="F511" s="2"/>
      <c r="G511" s="26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81"/>
      <c r="AC511" s="2"/>
      <c r="AD511" s="2"/>
      <c r="AE511" s="281"/>
      <c r="AF511" s="2"/>
      <c r="AG511" s="2"/>
      <c r="AH511" s="2"/>
      <c r="AI511" s="28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 ht="12" customHeight="1" x14ac:dyDescent="0.25">
      <c r="A512" s="2"/>
      <c r="B512" s="2"/>
      <c r="C512" s="2"/>
      <c r="D512" s="2"/>
      <c r="E512" s="2"/>
      <c r="F512" s="2"/>
      <c r="G512" s="26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81"/>
      <c r="AC512" s="2"/>
      <c r="AD512" s="2"/>
      <c r="AE512" s="281"/>
      <c r="AF512" s="2"/>
      <c r="AG512" s="2"/>
      <c r="AH512" s="2"/>
      <c r="AI512" s="28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 ht="12" customHeight="1" x14ac:dyDescent="0.25">
      <c r="A513" s="2"/>
      <c r="B513" s="2"/>
      <c r="C513" s="2"/>
      <c r="D513" s="2"/>
      <c r="E513" s="2"/>
      <c r="F513" s="2"/>
      <c r="G513" s="26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81"/>
      <c r="AC513" s="2"/>
      <c r="AD513" s="2"/>
      <c r="AE513" s="281"/>
      <c r="AF513" s="2"/>
      <c r="AG513" s="2"/>
      <c r="AH513" s="2"/>
      <c r="AI513" s="28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 ht="12" customHeight="1" x14ac:dyDescent="0.25">
      <c r="A514" s="2"/>
      <c r="B514" s="2"/>
      <c r="C514" s="2"/>
      <c r="D514" s="2"/>
      <c r="E514" s="2"/>
      <c r="F514" s="2"/>
      <c r="G514" s="26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81"/>
      <c r="AC514" s="2"/>
      <c r="AD514" s="2"/>
      <c r="AE514" s="281"/>
      <c r="AF514" s="2"/>
      <c r="AG514" s="2"/>
      <c r="AH514" s="2"/>
      <c r="AI514" s="28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 ht="12" customHeight="1" x14ac:dyDescent="0.25">
      <c r="A515" s="2"/>
      <c r="B515" s="2"/>
      <c r="C515" s="2"/>
      <c r="D515" s="2"/>
      <c r="E515" s="2"/>
      <c r="F515" s="2"/>
      <c r="G515" s="26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81"/>
      <c r="AC515" s="2"/>
      <c r="AD515" s="2"/>
      <c r="AE515" s="281"/>
      <c r="AF515" s="2"/>
      <c r="AG515" s="2"/>
      <c r="AH515" s="2"/>
      <c r="AI515" s="28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 ht="12" customHeight="1" x14ac:dyDescent="0.25">
      <c r="A516" s="2"/>
      <c r="B516" s="2"/>
      <c r="C516" s="2"/>
      <c r="D516" s="2"/>
      <c r="E516" s="2"/>
      <c r="F516" s="2"/>
      <c r="G516" s="26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81"/>
      <c r="AC516" s="2"/>
      <c r="AD516" s="2"/>
      <c r="AE516" s="281"/>
      <c r="AF516" s="2"/>
      <c r="AG516" s="2"/>
      <c r="AH516" s="2"/>
      <c r="AI516" s="28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 ht="12" customHeight="1" x14ac:dyDescent="0.25">
      <c r="A517" s="2"/>
      <c r="B517" s="2"/>
      <c r="C517" s="2"/>
      <c r="D517" s="2"/>
      <c r="E517" s="2"/>
      <c r="F517" s="2"/>
      <c r="G517" s="26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81"/>
      <c r="AC517" s="2"/>
      <c r="AD517" s="2"/>
      <c r="AE517" s="281"/>
      <c r="AF517" s="2"/>
      <c r="AG517" s="2"/>
      <c r="AH517" s="2"/>
      <c r="AI517" s="28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 ht="12" customHeight="1" x14ac:dyDescent="0.25">
      <c r="A518" s="2"/>
      <c r="B518" s="2"/>
      <c r="C518" s="2"/>
      <c r="D518" s="2"/>
      <c r="E518" s="2"/>
      <c r="F518" s="2"/>
      <c r="G518" s="26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81"/>
      <c r="AC518" s="2"/>
      <c r="AD518" s="2"/>
      <c r="AE518" s="281"/>
      <c r="AF518" s="2"/>
      <c r="AG518" s="2"/>
      <c r="AH518" s="2"/>
      <c r="AI518" s="28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 ht="12" customHeight="1" x14ac:dyDescent="0.25">
      <c r="A519" s="2"/>
      <c r="B519" s="2"/>
      <c r="C519" s="2"/>
      <c r="D519" s="2"/>
      <c r="E519" s="2"/>
      <c r="F519" s="2"/>
      <c r="G519" s="26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81"/>
      <c r="AC519" s="2"/>
      <c r="AD519" s="2"/>
      <c r="AE519" s="281"/>
      <c r="AF519" s="2"/>
      <c r="AG519" s="2"/>
      <c r="AH519" s="2"/>
      <c r="AI519" s="28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 ht="12" customHeight="1" x14ac:dyDescent="0.25">
      <c r="A520" s="2"/>
      <c r="B520" s="2"/>
      <c r="C520" s="2"/>
      <c r="D520" s="2"/>
      <c r="E520" s="2"/>
      <c r="F520" s="2"/>
      <c r="G520" s="26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81"/>
      <c r="AC520" s="2"/>
      <c r="AD520" s="2"/>
      <c r="AE520" s="281"/>
      <c r="AF520" s="2"/>
      <c r="AG520" s="2"/>
      <c r="AH520" s="2"/>
      <c r="AI520" s="28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 ht="12" customHeight="1" x14ac:dyDescent="0.25">
      <c r="A521" s="2"/>
      <c r="B521" s="2"/>
      <c r="C521" s="2"/>
      <c r="D521" s="2"/>
      <c r="E521" s="2"/>
      <c r="F521" s="2"/>
      <c r="G521" s="26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81"/>
      <c r="AC521" s="2"/>
      <c r="AD521" s="2"/>
      <c r="AE521" s="281"/>
      <c r="AF521" s="2"/>
      <c r="AG521" s="2"/>
      <c r="AH521" s="2"/>
      <c r="AI521" s="28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 ht="12" customHeight="1" x14ac:dyDescent="0.25">
      <c r="A522" s="2"/>
      <c r="B522" s="2"/>
      <c r="C522" s="2"/>
      <c r="D522" s="2"/>
      <c r="E522" s="2"/>
      <c r="F522" s="2"/>
      <c r="G522" s="26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81"/>
      <c r="AC522" s="2"/>
      <c r="AD522" s="2"/>
      <c r="AE522" s="281"/>
      <c r="AF522" s="2"/>
      <c r="AG522" s="2"/>
      <c r="AH522" s="2"/>
      <c r="AI522" s="28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 ht="12" customHeight="1" x14ac:dyDescent="0.25">
      <c r="A523" s="2"/>
      <c r="B523" s="2"/>
      <c r="C523" s="2"/>
      <c r="D523" s="2"/>
      <c r="E523" s="2"/>
      <c r="F523" s="2"/>
      <c r="G523" s="26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81"/>
      <c r="AC523" s="2"/>
      <c r="AD523" s="2"/>
      <c r="AE523" s="281"/>
      <c r="AF523" s="2"/>
      <c r="AG523" s="2"/>
      <c r="AH523" s="2"/>
      <c r="AI523" s="28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 ht="12" customHeight="1" x14ac:dyDescent="0.25">
      <c r="A524" s="2"/>
      <c r="B524" s="2"/>
      <c r="C524" s="2"/>
      <c r="D524" s="2"/>
      <c r="E524" s="2"/>
      <c r="F524" s="2"/>
      <c r="G524" s="26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81"/>
      <c r="AC524" s="2"/>
      <c r="AD524" s="2"/>
      <c r="AE524" s="281"/>
      <c r="AF524" s="2"/>
      <c r="AG524" s="2"/>
      <c r="AH524" s="2"/>
      <c r="AI524" s="28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 ht="12" customHeight="1" x14ac:dyDescent="0.25">
      <c r="A525" s="2"/>
      <c r="B525" s="2"/>
      <c r="C525" s="2"/>
      <c r="D525" s="2"/>
      <c r="E525" s="2"/>
      <c r="F525" s="2"/>
      <c r="G525" s="26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81"/>
      <c r="AC525" s="2"/>
      <c r="AD525" s="2"/>
      <c r="AE525" s="281"/>
      <c r="AF525" s="2"/>
      <c r="AG525" s="2"/>
      <c r="AH525" s="2"/>
      <c r="AI525" s="28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 ht="12" customHeight="1" x14ac:dyDescent="0.25">
      <c r="A526" s="2"/>
      <c r="B526" s="2"/>
      <c r="C526" s="2"/>
      <c r="D526" s="2"/>
      <c r="E526" s="2"/>
      <c r="F526" s="2"/>
      <c r="G526" s="26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81"/>
      <c r="AC526" s="2"/>
      <c r="AD526" s="2"/>
      <c r="AE526" s="281"/>
      <c r="AF526" s="2"/>
      <c r="AG526" s="2"/>
      <c r="AH526" s="2"/>
      <c r="AI526" s="28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 ht="12" customHeight="1" x14ac:dyDescent="0.25">
      <c r="A527" s="2"/>
      <c r="B527" s="2"/>
      <c r="C527" s="2"/>
      <c r="D527" s="2"/>
      <c r="E527" s="2"/>
      <c r="F527" s="2"/>
      <c r="G527" s="26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81"/>
      <c r="AC527" s="2"/>
      <c r="AD527" s="2"/>
      <c r="AE527" s="281"/>
      <c r="AF527" s="2"/>
      <c r="AG527" s="2"/>
      <c r="AH527" s="2"/>
      <c r="AI527" s="28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 ht="12" customHeight="1" x14ac:dyDescent="0.25">
      <c r="A528" s="2"/>
      <c r="B528" s="2"/>
      <c r="C528" s="2"/>
      <c r="D528" s="2"/>
      <c r="E528" s="2"/>
      <c r="F528" s="2"/>
      <c r="G528" s="26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81"/>
      <c r="AC528" s="2"/>
      <c r="AD528" s="2"/>
      <c r="AE528" s="281"/>
      <c r="AF528" s="2"/>
      <c r="AG528" s="2"/>
      <c r="AH528" s="2"/>
      <c r="AI528" s="28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 ht="12" customHeight="1" x14ac:dyDescent="0.25">
      <c r="A529" s="2"/>
      <c r="B529" s="2"/>
      <c r="C529" s="2"/>
      <c r="D529" s="2"/>
      <c r="E529" s="2"/>
      <c r="F529" s="2"/>
      <c r="G529" s="26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81"/>
      <c r="AC529" s="2"/>
      <c r="AD529" s="2"/>
      <c r="AE529" s="281"/>
      <c r="AF529" s="2"/>
      <c r="AG529" s="2"/>
      <c r="AH529" s="2"/>
      <c r="AI529" s="28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 ht="12" customHeight="1" x14ac:dyDescent="0.25">
      <c r="A530" s="2"/>
      <c r="B530" s="2"/>
      <c r="C530" s="2"/>
      <c r="D530" s="2"/>
      <c r="E530" s="2"/>
      <c r="F530" s="2"/>
      <c r="G530" s="26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81"/>
      <c r="AC530" s="2"/>
      <c r="AD530" s="2"/>
      <c r="AE530" s="281"/>
      <c r="AF530" s="2"/>
      <c r="AG530" s="2"/>
      <c r="AH530" s="2"/>
      <c r="AI530" s="28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 ht="12" customHeight="1" x14ac:dyDescent="0.25">
      <c r="A531" s="2"/>
      <c r="B531" s="2"/>
      <c r="C531" s="2"/>
      <c r="D531" s="2"/>
      <c r="E531" s="2"/>
      <c r="F531" s="2"/>
      <c r="G531" s="26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81"/>
      <c r="AC531" s="2"/>
      <c r="AD531" s="2"/>
      <c r="AE531" s="281"/>
      <c r="AF531" s="2"/>
      <c r="AG531" s="2"/>
      <c r="AH531" s="2"/>
      <c r="AI531" s="28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 ht="12" customHeight="1" x14ac:dyDescent="0.25">
      <c r="A532" s="2"/>
      <c r="B532" s="2"/>
      <c r="C532" s="2"/>
      <c r="D532" s="2"/>
      <c r="E532" s="2"/>
      <c r="F532" s="2"/>
      <c r="G532" s="26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81"/>
      <c r="AC532" s="2"/>
      <c r="AD532" s="2"/>
      <c r="AE532" s="281"/>
      <c r="AF532" s="2"/>
      <c r="AG532" s="2"/>
      <c r="AH532" s="2"/>
      <c r="AI532" s="28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 ht="12" customHeight="1" x14ac:dyDescent="0.25">
      <c r="A533" s="2"/>
      <c r="B533" s="2"/>
      <c r="C533" s="2"/>
      <c r="D533" s="2"/>
      <c r="E533" s="2"/>
      <c r="F533" s="2"/>
      <c r="G533" s="26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81"/>
      <c r="AC533" s="2"/>
      <c r="AD533" s="2"/>
      <c r="AE533" s="281"/>
      <c r="AF533" s="2"/>
      <c r="AG533" s="2"/>
      <c r="AH533" s="2"/>
      <c r="AI533" s="28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 ht="12" customHeight="1" x14ac:dyDescent="0.25">
      <c r="A534" s="2"/>
      <c r="B534" s="2"/>
      <c r="C534" s="2"/>
      <c r="D534" s="2"/>
      <c r="E534" s="2"/>
      <c r="F534" s="2"/>
      <c r="G534" s="26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81"/>
      <c r="AC534" s="2"/>
      <c r="AD534" s="2"/>
      <c r="AE534" s="281"/>
      <c r="AF534" s="2"/>
      <c r="AG534" s="2"/>
      <c r="AH534" s="2"/>
      <c r="AI534" s="28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 ht="12" customHeight="1" x14ac:dyDescent="0.25">
      <c r="A535" s="2"/>
      <c r="B535" s="2"/>
      <c r="C535" s="2"/>
      <c r="D535" s="2"/>
      <c r="E535" s="2"/>
      <c r="F535" s="2"/>
      <c r="G535" s="26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81"/>
      <c r="AC535" s="2"/>
      <c r="AD535" s="2"/>
      <c r="AE535" s="281"/>
      <c r="AF535" s="2"/>
      <c r="AG535" s="2"/>
      <c r="AH535" s="2"/>
      <c r="AI535" s="28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 ht="12" customHeight="1" x14ac:dyDescent="0.25">
      <c r="A536" s="2"/>
      <c r="B536" s="2"/>
      <c r="C536" s="2"/>
      <c r="D536" s="2"/>
      <c r="E536" s="2"/>
      <c r="F536" s="2"/>
      <c r="G536" s="26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81"/>
      <c r="AC536" s="2"/>
      <c r="AD536" s="2"/>
      <c r="AE536" s="281"/>
      <c r="AF536" s="2"/>
      <c r="AG536" s="2"/>
      <c r="AH536" s="2"/>
      <c r="AI536" s="28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 ht="12" customHeight="1" x14ac:dyDescent="0.25">
      <c r="A537" s="2"/>
      <c r="B537" s="2"/>
      <c r="C537" s="2"/>
      <c r="D537" s="2"/>
      <c r="E537" s="2"/>
      <c r="F537" s="2"/>
      <c r="G537" s="26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81"/>
      <c r="AC537" s="2"/>
      <c r="AD537" s="2"/>
      <c r="AE537" s="281"/>
      <c r="AF537" s="2"/>
      <c r="AG537" s="2"/>
      <c r="AH537" s="2"/>
      <c r="AI537" s="28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 ht="12" customHeight="1" x14ac:dyDescent="0.25">
      <c r="A538" s="2"/>
      <c r="B538" s="2"/>
      <c r="C538" s="2"/>
      <c r="D538" s="2"/>
      <c r="E538" s="2"/>
      <c r="F538" s="2"/>
      <c r="G538" s="26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81"/>
      <c r="AC538" s="2"/>
      <c r="AD538" s="2"/>
      <c r="AE538" s="281"/>
      <c r="AF538" s="2"/>
      <c r="AG538" s="2"/>
      <c r="AH538" s="2"/>
      <c r="AI538" s="28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 ht="12" customHeight="1" x14ac:dyDescent="0.25">
      <c r="A539" s="2"/>
      <c r="B539" s="2"/>
      <c r="C539" s="2"/>
      <c r="D539" s="2"/>
      <c r="E539" s="2"/>
      <c r="F539" s="2"/>
      <c r="G539" s="26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81"/>
      <c r="AC539" s="2"/>
      <c r="AD539" s="2"/>
      <c r="AE539" s="281"/>
      <c r="AF539" s="2"/>
      <c r="AG539" s="2"/>
      <c r="AH539" s="2"/>
      <c r="AI539" s="28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 ht="12" customHeight="1" x14ac:dyDescent="0.25">
      <c r="A540" s="2"/>
      <c r="B540" s="2"/>
      <c r="C540" s="2"/>
      <c r="D540" s="2"/>
      <c r="E540" s="2"/>
      <c r="F540" s="2"/>
      <c r="G540" s="26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81"/>
      <c r="AC540" s="2"/>
      <c r="AD540" s="2"/>
      <c r="AE540" s="281"/>
      <c r="AF540" s="2"/>
      <c r="AG540" s="2"/>
      <c r="AH540" s="2"/>
      <c r="AI540" s="28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 ht="12" customHeight="1" x14ac:dyDescent="0.25">
      <c r="A541" s="2"/>
      <c r="B541" s="2"/>
      <c r="C541" s="2"/>
      <c r="D541" s="2"/>
      <c r="E541" s="2"/>
      <c r="F541" s="2"/>
      <c r="G541" s="26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81"/>
      <c r="AC541" s="2"/>
      <c r="AD541" s="2"/>
      <c r="AE541" s="281"/>
      <c r="AF541" s="2"/>
      <c r="AG541" s="2"/>
      <c r="AH541" s="2"/>
      <c r="AI541" s="28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 ht="12" customHeight="1" x14ac:dyDescent="0.25">
      <c r="A542" s="2"/>
      <c r="B542" s="2"/>
      <c r="C542" s="2"/>
      <c r="D542" s="2"/>
      <c r="E542" s="2"/>
      <c r="F542" s="2"/>
      <c r="G542" s="26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81"/>
      <c r="AC542" s="2"/>
      <c r="AD542" s="2"/>
      <c r="AE542" s="281"/>
      <c r="AF542" s="2"/>
      <c r="AG542" s="2"/>
      <c r="AH542" s="2"/>
      <c r="AI542" s="28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 ht="12" customHeight="1" x14ac:dyDescent="0.25">
      <c r="A543" s="2"/>
      <c r="B543" s="2"/>
      <c r="C543" s="2"/>
      <c r="D543" s="2"/>
      <c r="E543" s="2"/>
      <c r="F543" s="2"/>
      <c r="G543" s="26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81"/>
      <c r="AC543" s="2"/>
      <c r="AD543" s="2"/>
      <c r="AE543" s="281"/>
      <c r="AF543" s="2"/>
      <c r="AG543" s="2"/>
      <c r="AH543" s="2"/>
      <c r="AI543" s="28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 ht="12" customHeight="1" x14ac:dyDescent="0.25">
      <c r="A544" s="2"/>
      <c r="B544" s="2"/>
      <c r="C544" s="2"/>
      <c r="D544" s="2"/>
      <c r="E544" s="2"/>
      <c r="F544" s="2"/>
      <c r="G544" s="26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81"/>
      <c r="AC544" s="2"/>
      <c r="AD544" s="2"/>
      <c r="AE544" s="281"/>
      <c r="AF544" s="2"/>
      <c r="AG544" s="2"/>
      <c r="AH544" s="2"/>
      <c r="AI544" s="28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 ht="12" customHeight="1" x14ac:dyDescent="0.25">
      <c r="A545" s="2"/>
      <c r="B545" s="2"/>
      <c r="C545" s="2"/>
      <c r="D545" s="2"/>
      <c r="E545" s="2"/>
      <c r="F545" s="2"/>
      <c r="G545" s="26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81"/>
      <c r="AC545" s="2"/>
      <c r="AD545" s="2"/>
      <c r="AE545" s="281"/>
      <c r="AF545" s="2"/>
      <c r="AG545" s="2"/>
      <c r="AH545" s="2"/>
      <c r="AI545" s="28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 ht="12" customHeight="1" x14ac:dyDescent="0.25">
      <c r="A546" s="2"/>
      <c r="B546" s="2"/>
      <c r="C546" s="2"/>
      <c r="D546" s="2"/>
      <c r="E546" s="2"/>
      <c r="F546" s="2"/>
      <c r="G546" s="26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81"/>
      <c r="AC546" s="2"/>
      <c r="AD546" s="2"/>
      <c r="AE546" s="281"/>
      <c r="AF546" s="2"/>
      <c r="AG546" s="2"/>
      <c r="AH546" s="2"/>
      <c r="AI546" s="28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 ht="12" customHeight="1" x14ac:dyDescent="0.25">
      <c r="A547" s="2"/>
      <c r="B547" s="2"/>
      <c r="C547" s="2"/>
      <c r="D547" s="2"/>
      <c r="E547" s="2"/>
      <c r="F547" s="2"/>
      <c r="G547" s="26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81"/>
      <c r="AC547" s="2"/>
      <c r="AD547" s="2"/>
      <c r="AE547" s="281"/>
      <c r="AF547" s="2"/>
      <c r="AG547" s="2"/>
      <c r="AH547" s="2"/>
      <c r="AI547" s="28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 ht="12" customHeight="1" x14ac:dyDescent="0.25">
      <c r="A548" s="2"/>
      <c r="B548" s="2"/>
      <c r="C548" s="2"/>
      <c r="D548" s="2"/>
      <c r="E548" s="2"/>
      <c r="F548" s="2"/>
      <c r="G548" s="26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81"/>
      <c r="AC548" s="2"/>
      <c r="AD548" s="2"/>
      <c r="AE548" s="281"/>
      <c r="AF548" s="2"/>
      <c r="AG548" s="2"/>
      <c r="AH548" s="2"/>
      <c r="AI548" s="28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 ht="12" customHeight="1" x14ac:dyDescent="0.25">
      <c r="A549" s="2"/>
      <c r="B549" s="2"/>
      <c r="C549" s="2"/>
      <c r="D549" s="2"/>
      <c r="E549" s="2"/>
      <c r="F549" s="2"/>
      <c r="G549" s="26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81"/>
      <c r="AC549" s="2"/>
      <c r="AD549" s="2"/>
      <c r="AE549" s="281"/>
      <c r="AF549" s="2"/>
      <c r="AG549" s="2"/>
      <c r="AH549" s="2"/>
      <c r="AI549" s="28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 ht="12" customHeight="1" x14ac:dyDescent="0.25">
      <c r="A550" s="2"/>
      <c r="B550" s="2"/>
      <c r="C550" s="2"/>
      <c r="D550" s="2"/>
      <c r="E550" s="2"/>
      <c r="F550" s="2"/>
      <c r="G550" s="26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81"/>
      <c r="AC550" s="2"/>
      <c r="AD550" s="2"/>
      <c r="AE550" s="281"/>
      <c r="AF550" s="2"/>
      <c r="AG550" s="2"/>
      <c r="AH550" s="2"/>
      <c r="AI550" s="28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 ht="12" customHeight="1" x14ac:dyDescent="0.25">
      <c r="A551" s="2"/>
      <c r="B551" s="2"/>
      <c r="C551" s="2"/>
      <c r="D551" s="2"/>
      <c r="E551" s="2"/>
      <c r="F551" s="2"/>
      <c r="G551" s="26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81"/>
      <c r="AC551" s="2"/>
      <c r="AD551" s="2"/>
      <c r="AE551" s="281"/>
      <c r="AF551" s="2"/>
      <c r="AG551" s="2"/>
      <c r="AH551" s="2"/>
      <c r="AI551" s="28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 ht="12" customHeight="1" x14ac:dyDescent="0.25">
      <c r="A552" s="2"/>
      <c r="B552" s="2"/>
      <c r="C552" s="2"/>
      <c r="D552" s="2"/>
      <c r="E552" s="2"/>
      <c r="F552" s="2"/>
      <c r="G552" s="26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81"/>
      <c r="AC552" s="2"/>
      <c r="AD552" s="2"/>
      <c r="AE552" s="281"/>
      <c r="AF552" s="2"/>
      <c r="AG552" s="2"/>
      <c r="AH552" s="2"/>
      <c r="AI552" s="28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 ht="12" customHeight="1" x14ac:dyDescent="0.25">
      <c r="A553" s="2"/>
      <c r="B553" s="2"/>
      <c r="C553" s="2"/>
      <c r="D553" s="2"/>
      <c r="E553" s="2"/>
      <c r="F553" s="2"/>
      <c r="G553" s="26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81"/>
      <c r="AC553" s="2"/>
      <c r="AD553" s="2"/>
      <c r="AE553" s="281"/>
      <c r="AF553" s="2"/>
      <c r="AG553" s="2"/>
      <c r="AH553" s="2"/>
      <c r="AI553" s="28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 ht="12" customHeight="1" x14ac:dyDescent="0.25">
      <c r="A554" s="2"/>
      <c r="B554" s="2"/>
      <c r="C554" s="2"/>
      <c r="D554" s="2"/>
      <c r="E554" s="2"/>
      <c r="F554" s="2"/>
      <c r="G554" s="26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81"/>
      <c r="AC554" s="2"/>
      <c r="AD554" s="2"/>
      <c r="AE554" s="281"/>
      <c r="AF554" s="2"/>
      <c r="AG554" s="2"/>
      <c r="AH554" s="2"/>
      <c r="AI554" s="28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 ht="12" customHeight="1" x14ac:dyDescent="0.25">
      <c r="A555" s="2"/>
      <c r="B555" s="2"/>
      <c r="C555" s="2"/>
      <c r="D555" s="2"/>
      <c r="E555" s="2"/>
      <c r="F555" s="2"/>
      <c r="G555" s="26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81"/>
      <c r="AC555" s="2"/>
      <c r="AD555" s="2"/>
      <c r="AE555" s="281"/>
      <c r="AF555" s="2"/>
      <c r="AG555" s="2"/>
      <c r="AH555" s="2"/>
      <c r="AI555" s="28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 ht="12" customHeight="1" x14ac:dyDescent="0.25">
      <c r="A556" s="2"/>
      <c r="B556" s="2"/>
      <c r="C556" s="2"/>
      <c r="D556" s="2"/>
      <c r="E556" s="2"/>
      <c r="F556" s="2"/>
      <c r="G556" s="26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81"/>
      <c r="AC556" s="2"/>
      <c r="AD556" s="2"/>
      <c r="AE556" s="281"/>
      <c r="AF556" s="2"/>
      <c r="AG556" s="2"/>
      <c r="AH556" s="2"/>
      <c r="AI556" s="28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 ht="12" customHeight="1" x14ac:dyDescent="0.25">
      <c r="A557" s="2"/>
      <c r="B557" s="2"/>
      <c r="C557" s="2"/>
      <c r="D557" s="2"/>
      <c r="E557" s="2"/>
      <c r="F557" s="2"/>
      <c r="G557" s="26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81"/>
      <c r="AC557" s="2"/>
      <c r="AD557" s="2"/>
      <c r="AE557" s="281"/>
      <c r="AF557" s="2"/>
      <c r="AG557" s="2"/>
      <c r="AH557" s="2"/>
      <c r="AI557" s="28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 ht="12" customHeight="1" x14ac:dyDescent="0.25">
      <c r="A558" s="2"/>
      <c r="B558" s="2"/>
      <c r="C558" s="2"/>
      <c r="D558" s="2"/>
      <c r="E558" s="2"/>
      <c r="F558" s="2"/>
      <c r="G558" s="26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81"/>
      <c r="AC558" s="2"/>
      <c r="AD558" s="2"/>
      <c r="AE558" s="281"/>
      <c r="AF558" s="2"/>
      <c r="AG558" s="2"/>
      <c r="AH558" s="2"/>
      <c r="AI558" s="28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 ht="12" customHeight="1" x14ac:dyDescent="0.25">
      <c r="A559" s="2"/>
      <c r="B559" s="2"/>
      <c r="C559" s="2"/>
      <c r="D559" s="2"/>
      <c r="E559" s="2"/>
      <c r="F559" s="2"/>
      <c r="G559" s="26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81"/>
      <c r="AC559" s="2"/>
      <c r="AD559" s="2"/>
      <c r="AE559" s="281"/>
      <c r="AF559" s="2"/>
      <c r="AG559" s="2"/>
      <c r="AH559" s="2"/>
      <c r="AI559" s="28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 ht="12" customHeight="1" x14ac:dyDescent="0.25">
      <c r="A560" s="2"/>
      <c r="B560" s="2"/>
      <c r="C560" s="2"/>
      <c r="D560" s="2"/>
      <c r="E560" s="2"/>
      <c r="F560" s="2"/>
      <c r="G560" s="26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81"/>
      <c r="AC560" s="2"/>
      <c r="AD560" s="2"/>
      <c r="AE560" s="281"/>
      <c r="AF560" s="2"/>
      <c r="AG560" s="2"/>
      <c r="AH560" s="2"/>
      <c r="AI560" s="28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2" customHeight="1" x14ac:dyDescent="0.25">
      <c r="A561" s="2"/>
      <c r="B561" s="2"/>
      <c r="C561" s="2"/>
      <c r="D561" s="2"/>
      <c r="E561" s="2"/>
      <c r="F561" s="2"/>
      <c r="G561" s="26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81"/>
      <c r="AC561" s="2"/>
      <c r="AD561" s="2"/>
      <c r="AE561" s="281"/>
      <c r="AF561" s="2"/>
      <c r="AG561" s="2"/>
      <c r="AH561" s="2"/>
      <c r="AI561" s="28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2" customHeight="1" x14ac:dyDescent="0.25">
      <c r="A562" s="2"/>
      <c r="B562" s="2"/>
      <c r="C562" s="2"/>
      <c r="D562" s="2"/>
      <c r="E562" s="2"/>
      <c r="F562" s="2"/>
      <c r="G562" s="26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81"/>
      <c r="AC562" s="2"/>
      <c r="AD562" s="2"/>
      <c r="AE562" s="281"/>
      <c r="AF562" s="2"/>
      <c r="AG562" s="2"/>
      <c r="AH562" s="2"/>
      <c r="AI562" s="28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2" customHeight="1" x14ac:dyDescent="0.25">
      <c r="A563" s="2"/>
      <c r="B563" s="2"/>
      <c r="C563" s="2"/>
      <c r="D563" s="2"/>
      <c r="E563" s="2"/>
      <c r="F563" s="2"/>
      <c r="G563" s="26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81"/>
      <c r="AC563" s="2"/>
      <c r="AD563" s="2"/>
      <c r="AE563" s="281"/>
      <c r="AF563" s="2"/>
      <c r="AG563" s="2"/>
      <c r="AH563" s="2"/>
      <c r="AI563" s="28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2" customHeight="1" x14ac:dyDescent="0.25">
      <c r="A564" s="2"/>
      <c r="B564" s="2"/>
      <c r="C564" s="2"/>
      <c r="D564" s="2"/>
      <c r="E564" s="2"/>
      <c r="F564" s="2"/>
      <c r="G564" s="26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81"/>
      <c r="AC564" s="2"/>
      <c r="AD564" s="2"/>
      <c r="AE564" s="281"/>
      <c r="AF564" s="2"/>
      <c r="AG564" s="2"/>
      <c r="AH564" s="2"/>
      <c r="AI564" s="28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2" customHeight="1" x14ac:dyDescent="0.25">
      <c r="A565" s="2"/>
      <c r="B565" s="2"/>
      <c r="C565" s="2"/>
      <c r="D565" s="2"/>
      <c r="E565" s="2"/>
      <c r="F565" s="2"/>
      <c r="G565" s="26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81"/>
      <c r="AC565" s="2"/>
      <c r="AD565" s="2"/>
      <c r="AE565" s="281"/>
      <c r="AF565" s="2"/>
      <c r="AG565" s="2"/>
      <c r="AH565" s="2"/>
      <c r="AI565" s="28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2" customHeight="1" x14ac:dyDescent="0.25">
      <c r="A566" s="2"/>
      <c r="B566" s="2"/>
      <c r="C566" s="2"/>
      <c r="D566" s="2"/>
      <c r="E566" s="2"/>
      <c r="F566" s="2"/>
      <c r="G566" s="26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81"/>
      <c r="AC566" s="2"/>
      <c r="AD566" s="2"/>
      <c r="AE566" s="281"/>
      <c r="AF566" s="2"/>
      <c r="AG566" s="2"/>
      <c r="AH566" s="2"/>
      <c r="AI566" s="28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2" customHeight="1" x14ac:dyDescent="0.25">
      <c r="A567" s="2"/>
      <c r="B567" s="2"/>
      <c r="C567" s="2"/>
      <c r="D567" s="2"/>
      <c r="E567" s="2"/>
      <c r="F567" s="2"/>
      <c r="G567" s="26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81"/>
      <c r="AC567" s="2"/>
      <c r="AD567" s="2"/>
      <c r="AE567" s="281"/>
      <c r="AF567" s="2"/>
      <c r="AG567" s="2"/>
      <c r="AH567" s="2"/>
      <c r="AI567" s="28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2" customHeight="1" x14ac:dyDescent="0.25">
      <c r="A568" s="2"/>
      <c r="B568" s="2"/>
      <c r="C568" s="2"/>
      <c r="D568" s="2"/>
      <c r="E568" s="2"/>
      <c r="F568" s="2"/>
      <c r="G568" s="26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81"/>
      <c r="AC568" s="2"/>
      <c r="AD568" s="2"/>
      <c r="AE568" s="281"/>
      <c r="AF568" s="2"/>
      <c r="AG568" s="2"/>
      <c r="AH568" s="2"/>
      <c r="AI568" s="28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2" customHeight="1" x14ac:dyDescent="0.25">
      <c r="A569" s="2"/>
      <c r="B569" s="2"/>
      <c r="C569" s="2"/>
      <c r="D569" s="2"/>
      <c r="E569" s="2"/>
      <c r="F569" s="2"/>
      <c r="G569" s="26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81"/>
      <c r="AC569" s="2"/>
      <c r="AD569" s="2"/>
      <c r="AE569" s="281"/>
      <c r="AF569" s="2"/>
      <c r="AG569" s="2"/>
      <c r="AH569" s="2"/>
      <c r="AI569" s="28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2" customHeight="1" x14ac:dyDescent="0.25">
      <c r="A570" s="2"/>
      <c r="B570" s="2"/>
      <c r="C570" s="2"/>
      <c r="D570" s="2"/>
      <c r="E570" s="2"/>
      <c r="F570" s="2"/>
      <c r="G570" s="26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81"/>
      <c r="AC570" s="2"/>
      <c r="AD570" s="2"/>
      <c r="AE570" s="281"/>
      <c r="AF570" s="2"/>
      <c r="AG570" s="2"/>
      <c r="AH570" s="2"/>
      <c r="AI570" s="28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 ht="12" customHeight="1" x14ac:dyDescent="0.25">
      <c r="A571" s="2"/>
      <c r="B571" s="2"/>
      <c r="C571" s="2"/>
      <c r="D571" s="2"/>
      <c r="E571" s="2"/>
      <c r="F571" s="2"/>
      <c r="G571" s="26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81"/>
      <c r="AC571" s="2"/>
      <c r="AD571" s="2"/>
      <c r="AE571" s="281"/>
      <c r="AF571" s="2"/>
      <c r="AG571" s="2"/>
      <c r="AH571" s="2"/>
      <c r="AI571" s="28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 ht="12" customHeight="1" x14ac:dyDescent="0.25">
      <c r="A572" s="2"/>
      <c r="B572" s="2"/>
      <c r="C572" s="2"/>
      <c r="D572" s="2"/>
      <c r="E572" s="2"/>
      <c r="F572" s="2"/>
      <c r="G572" s="26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81"/>
      <c r="AC572" s="2"/>
      <c r="AD572" s="2"/>
      <c r="AE572" s="281"/>
      <c r="AF572" s="2"/>
      <c r="AG572" s="2"/>
      <c r="AH572" s="2"/>
      <c r="AI572" s="28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 ht="12" customHeight="1" x14ac:dyDescent="0.25">
      <c r="A573" s="2"/>
      <c r="B573" s="2"/>
      <c r="C573" s="2"/>
      <c r="D573" s="2"/>
      <c r="E573" s="2"/>
      <c r="F573" s="2"/>
      <c r="G573" s="26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81"/>
      <c r="AC573" s="2"/>
      <c r="AD573" s="2"/>
      <c r="AE573" s="281"/>
      <c r="AF573" s="2"/>
      <c r="AG573" s="2"/>
      <c r="AH573" s="2"/>
      <c r="AI573" s="28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 ht="12" customHeight="1" x14ac:dyDescent="0.25">
      <c r="A574" s="2"/>
      <c r="B574" s="2"/>
      <c r="C574" s="2"/>
      <c r="D574" s="2"/>
      <c r="E574" s="2"/>
      <c r="F574" s="2"/>
      <c r="G574" s="26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81"/>
      <c r="AC574" s="2"/>
      <c r="AD574" s="2"/>
      <c r="AE574" s="281"/>
      <c r="AF574" s="2"/>
      <c r="AG574" s="2"/>
      <c r="AH574" s="2"/>
      <c r="AI574" s="28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 ht="12" customHeight="1" x14ac:dyDescent="0.25">
      <c r="A575" s="2"/>
      <c r="B575" s="2"/>
      <c r="C575" s="2"/>
      <c r="D575" s="2"/>
      <c r="E575" s="2"/>
      <c r="F575" s="2"/>
      <c r="G575" s="26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81"/>
      <c r="AC575" s="2"/>
      <c r="AD575" s="2"/>
      <c r="AE575" s="281"/>
      <c r="AF575" s="2"/>
      <c r="AG575" s="2"/>
      <c r="AH575" s="2"/>
      <c r="AI575" s="28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 ht="12" customHeight="1" x14ac:dyDescent="0.25">
      <c r="A576" s="2"/>
      <c r="B576" s="2"/>
      <c r="C576" s="2"/>
      <c r="D576" s="2"/>
      <c r="E576" s="2"/>
      <c r="F576" s="2"/>
      <c r="G576" s="26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81"/>
      <c r="AC576" s="2"/>
      <c r="AD576" s="2"/>
      <c r="AE576" s="281"/>
      <c r="AF576" s="2"/>
      <c r="AG576" s="2"/>
      <c r="AH576" s="2"/>
      <c r="AI576" s="28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 ht="12" customHeight="1" x14ac:dyDescent="0.25">
      <c r="A577" s="2"/>
      <c r="B577" s="2"/>
      <c r="C577" s="2"/>
      <c r="D577" s="2"/>
      <c r="E577" s="2"/>
      <c r="F577" s="2"/>
      <c r="G577" s="26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81"/>
      <c r="AC577" s="2"/>
      <c r="AD577" s="2"/>
      <c r="AE577" s="281"/>
      <c r="AF577" s="2"/>
      <c r="AG577" s="2"/>
      <c r="AH577" s="2"/>
      <c r="AI577" s="28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 ht="12" customHeight="1" x14ac:dyDescent="0.25">
      <c r="A578" s="2"/>
      <c r="B578" s="2"/>
      <c r="C578" s="2"/>
      <c r="D578" s="2"/>
      <c r="E578" s="2"/>
      <c r="F578" s="2"/>
      <c r="G578" s="26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81"/>
      <c r="AC578" s="2"/>
      <c r="AD578" s="2"/>
      <c r="AE578" s="281"/>
      <c r="AF578" s="2"/>
      <c r="AG578" s="2"/>
      <c r="AH578" s="2"/>
      <c r="AI578" s="28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 ht="12" customHeight="1" x14ac:dyDescent="0.25">
      <c r="A579" s="2"/>
      <c r="B579" s="2"/>
      <c r="C579" s="2"/>
      <c r="D579" s="2"/>
      <c r="E579" s="2"/>
      <c r="F579" s="2"/>
      <c r="G579" s="26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81"/>
      <c r="AC579" s="2"/>
      <c r="AD579" s="2"/>
      <c r="AE579" s="281"/>
      <c r="AF579" s="2"/>
      <c r="AG579" s="2"/>
      <c r="AH579" s="2"/>
      <c r="AI579" s="28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 ht="12" customHeight="1" x14ac:dyDescent="0.25">
      <c r="A580" s="2"/>
      <c r="B580" s="2"/>
      <c r="C580" s="2"/>
      <c r="D580" s="2"/>
      <c r="E580" s="2"/>
      <c r="F580" s="2"/>
      <c r="G580" s="26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81"/>
      <c r="AC580" s="2"/>
      <c r="AD580" s="2"/>
      <c r="AE580" s="281"/>
      <c r="AF580" s="2"/>
      <c r="AG580" s="2"/>
      <c r="AH580" s="2"/>
      <c r="AI580" s="28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 ht="12" customHeight="1" x14ac:dyDescent="0.25">
      <c r="A581" s="2"/>
      <c r="B581" s="2"/>
      <c r="C581" s="2"/>
      <c r="D581" s="2"/>
      <c r="E581" s="2"/>
      <c r="F581" s="2"/>
      <c r="G581" s="26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81"/>
      <c r="AC581" s="2"/>
      <c r="AD581" s="2"/>
      <c r="AE581" s="281"/>
      <c r="AF581" s="2"/>
      <c r="AG581" s="2"/>
      <c r="AH581" s="2"/>
      <c r="AI581" s="28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 ht="12" customHeight="1" x14ac:dyDescent="0.25">
      <c r="A582" s="2"/>
      <c r="B582" s="2"/>
      <c r="C582" s="2"/>
      <c r="D582" s="2"/>
      <c r="E582" s="2"/>
      <c r="F582" s="2"/>
      <c r="G582" s="26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81"/>
      <c r="AC582" s="2"/>
      <c r="AD582" s="2"/>
      <c r="AE582" s="281"/>
      <c r="AF582" s="2"/>
      <c r="AG582" s="2"/>
      <c r="AH582" s="2"/>
      <c r="AI582" s="28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 ht="12" customHeight="1" x14ac:dyDescent="0.25">
      <c r="A583" s="2"/>
      <c r="B583" s="2"/>
      <c r="C583" s="2"/>
      <c r="D583" s="2"/>
      <c r="E583" s="2"/>
      <c r="F583" s="2"/>
      <c r="G583" s="26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81"/>
      <c r="AC583" s="2"/>
      <c r="AD583" s="2"/>
      <c r="AE583" s="281"/>
      <c r="AF583" s="2"/>
      <c r="AG583" s="2"/>
      <c r="AH583" s="2"/>
      <c r="AI583" s="28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 ht="12" customHeight="1" x14ac:dyDescent="0.25">
      <c r="A584" s="2"/>
      <c r="B584" s="2"/>
      <c r="C584" s="2"/>
      <c r="D584" s="2"/>
      <c r="E584" s="2"/>
      <c r="F584" s="2"/>
      <c r="G584" s="26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81"/>
      <c r="AC584" s="2"/>
      <c r="AD584" s="2"/>
      <c r="AE584" s="281"/>
      <c r="AF584" s="2"/>
      <c r="AG584" s="2"/>
      <c r="AH584" s="2"/>
      <c r="AI584" s="28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 ht="12" customHeight="1" x14ac:dyDescent="0.25">
      <c r="A585" s="2"/>
      <c r="B585" s="2"/>
      <c r="C585" s="2"/>
      <c r="D585" s="2"/>
      <c r="E585" s="2"/>
      <c r="F585" s="2"/>
      <c r="G585" s="26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81"/>
      <c r="AC585" s="2"/>
      <c r="AD585" s="2"/>
      <c r="AE585" s="281"/>
      <c r="AF585" s="2"/>
      <c r="AG585" s="2"/>
      <c r="AH585" s="2"/>
      <c r="AI585" s="28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 ht="12" customHeight="1" x14ac:dyDescent="0.25">
      <c r="A586" s="2"/>
      <c r="B586" s="2"/>
      <c r="C586" s="2"/>
      <c r="D586" s="2"/>
      <c r="E586" s="2"/>
      <c r="F586" s="2"/>
      <c r="G586" s="26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81"/>
      <c r="AC586" s="2"/>
      <c r="AD586" s="2"/>
      <c r="AE586" s="281"/>
      <c r="AF586" s="2"/>
      <c r="AG586" s="2"/>
      <c r="AH586" s="2"/>
      <c r="AI586" s="28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 ht="12" customHeight="1" x14ac:dyDescent="0.25">
      <c r="A587" s="2"/>
      <c r="B587" s="2"/>
      <c r="C587" s="2"/>
      <c r="D587" s="2"/>
      <c r="E587" s="2"/>
      <c r="F587" s="2"/>
      <c r="G587" s="26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81"/>
      <c r="AC587" s="2"/>
      <c r="AD587" s="2"/>
      <c r="AE587" s="281"/>
      <c r="AF587" s="2"/>
      <c r="AG587" s="2"/>
      <c r="AH587" s="2"/>
      <c r="AI587" s="28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 ht="12" customHeight="1" x14ac:dyDescent="0.25">
      <c r="A588" s="2"/>
      <c r="B588" s="2"/>
      <c r="C588" s="2"/>
      <c r="D588" s="2"/>
      <c r="E588" s="2"/>
      <c r="F588" s="2"/>
      <c r="G588" s="26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81"/>
      <c r="AC588" s="2"/>
      <c r="AD588" s="2"/>
      <c r="AE588" s="281"/>
      <c r="AF588" s="2"/>
      <c r="AG588" s="2"/>
      <c r="AH588" s="2"/>
      <c r="AI588" s="28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 ht="12" customHeight="1" x14ac:dyDescent="0.25">
      <c r="A589" s="2"/>
      <c r="B589" s="2"/>
      <c r="C589" s="2"/>
      <c r="D589" s="2"/>
      <c r="E589" s="2"/>
      <c r="F589" s="2"/>
      <c r="G589" s="26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81"/>
      <c r="AC589" s="2"/>
      <c r="AD589" s="2"/>
      <c r="AE589" s="281"/>
      <c r="AF589" s="2"/>
      <c r="AG589" s="2"/>
      <c r="AH589" s="2"/>
      <c r="AI589" s="28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 ht="12" customHeight="1" x14ac:dyDescent="0.25">
      <c r="A590" s="2"/>
      <c r="B590" s="2"/>
      <c r="C590" s="2"/>
      <c r="D590" s="2"/>
      <c r="E590" s="2"/>
      <c r="F590" s="2"/>
      <c r="G590" s="26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81"/>
      <c r="AC590" s="2"/>
      <c r="AD590" s="2"/>
      <c r="AE590" s="281"/>
      <c r="AF590" s="2"/>
      <c r="AG590" s="2"/>
      <c r="AH590" s="2"/>
      <c r="AI590" s="28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 ht="12" customHeight="1" x14ac:dyDescent="0.25">
      <c r="A591" s="2"/>
      <c r="B591" s="2"/>
      <c r="C591" s="2"/>
      <c r="D591" s="2"/>
      <c r="E591" s="2"/>
      <c r="F591" s="2"/>
      <c r="G591" s="26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81"/>
      <c r="AC591" s="2"/>
      <c r="AD591" s="2"/>
      <c r="AE591" s="281"/>
      <c r="AF591" s="2"/>
      <c r="AG591" s="2"/>
      <c r="AH591" s="2"/>
      <c r="AI591" s="28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 ht="12" customHeight="1" x14ac:dyDescent="0.25">
      <c r="A592" s="2"/>
      <c r="B592" s="2"/>
      <c r="C592" s="2"/>
      <c r="D592" s="2"/>
      <c r="E592" s="2"/>
      <c r="F592" s="2"/>
      <c r="G592" s="26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81"/>
      <c r="AC592" s="2"/>
      <c r="AD592" s="2"/>
      <c r="AE592" s="281"/>
      <c r="AF592" s="2"/>
      <c r="AG592" s="2"/>
      <c r="AH592" s="2"/>
      <c r="AI592" s="28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 ht="12" customHeight="1" x14ac:dyDescent="0.25">
      <c r="A593" s="2"/>
      <c r="B593" s="2"/>
      <c r="C593" s="2"/>
      <c r="D593" s="2"/>
      <c r="E593" s="2"/>
      <c r="F593" s="2"/>
      <c r="G593" s="26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81"/>
      <c r="AC593" s="2"/>
      <c r="AD593" s="2"/>
      <c r="AE593" s="281"/>
      <c r="AF593" s="2"/>
      <c r="AG593" s="2"/>
      <c r="AH593" s="2"/>
      <c r="AI593" s="28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 ht="12" customHeight="1" x14ac:dyDescent="0.25">
      <c r="A594" s="2"/>
      <c r="B594" s="2"/>
      <c r="C594" s="2"/>
      <c r="D594" s="2"/>
      <c r="E594" s="2"/>
      <c r="F594" s="2"/>
      <c r="G594" s="26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81"/>
      <c r="AC594" s="2"/>
      <c r="AD594" s="2"/>
      <c r="AE594" s="281"/>
      <c r="AF594" s="2"/>
      <c r="AG594" s="2"/>
      <c r="AH594" s="2"/>
      <c r="AI594" s="28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 ht="12" customHeight="1" x14ac:dyDescent="0.25">
      <c r="A595" s="2"/>
      <c r="B595" s="2"/>
      <c r="C595" s="2"/>
      <c r="D595" s="2"/>
      <c r="E595" s="2"/>
      <c r="F595" s="2"/>
      <c r="G595" s="26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81"/>
      <c r="AC595" s="2"/>
      <c r="AD595" s="2"/>
      <c r="AE595" s="281"/>
      <c r="AF595" s="2"/>
      <c r="AG595" s="2"/>
      <c r="AH595" s="2"/>
      <c r="AI595" s="28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 ht="12" customHeight="1" x14ac:dyDescent="0.25">
      <c r="A596" s="2"/>
      <c r="B596" s="2"/>
      <c r="C596" s="2"/>
      <c r="D596" s="2"/>
      <c r="E596" s="2"/>
      <c r="F596" s="2"/>
      <c r="G596" s="26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81"/>
      <c r="AC596" s="2"/>
      <c r="AD596" s="2"/>
      <c r="AE596" s="281"/>
      <c r="AF596" s="2"/>
      <c r="AG596" s="2"/>
      <c r="AH596" s="2"/>
      <c r="AI596" s="28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 ht="12" customHeight="1" x14ac:dyDescent="0.25">
      <c r="A597" s="2"/>
      <c r="B597" s="2"/>
      <c r="C597" s="2"/>
      <c r="D597" s="2"/>
      <c r="E597" s="2"/>
      <c r="F597" s="2"/>
      <c r="G597" s="26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81"/>
      <c r="AC597" s="2"/>
      <c r="AD597" s="2"/>
      <c r="AE597" s="281"/>
      <c r="AF597" s="2"/>
      <c r="AG597" s="2"/>
      <c r="AH597" s="2"/>
      <c r="AI597" s="28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 ht="12" customHeight="1" x14ac:dyDescent="0.25">
      <c r="A598" s="2"/>
      <c r="B598" s="2"/>
      <c r="C598" s="2"/>
      <c r="D598" s="2"/>
      <c r="E598" s="2"/>
      <c r="F598" s="2"/>
      <c r="G598" s="26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81"/>
      <c r="AC598" s="2"/>
      <c r="AD598" s="2"/>
      <c r="AE598" s="281"/>
      <c r="AF598" s="2"/>
      <c r="AG598" s="2"/>
      <c r="AH598" s="2"/>
      <c r="AI598" s="28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 ht="12" customHeight="1" x14ac:dyDescent="0.25">
      <c r="A599" s="2"/>
      <c r="B599" s="2"/>
      <c r="C599" s="2"/>
      <c r="D599" s="2"/>
      <c r="E599" s="2"/>
      <c r="F599" s="2"/>
      <c r="G599" s="26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81"/>
      <c r="AC599" s="2"/>
      <c r="AD599" s="2"/>
      <c r="AE599" s="281"/>
      <c r="AF599" s="2"/>
      <c r="AG599" s="2"/>
      <c r="AH599" s="2"/>
      <c r="AI599" s="28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 ht="12" customHeight="1" x14ac:dyDescent="0.25">
      <c r="A600" s="2"/>
      <c r="B600" s="2"/>
      <c r="C600" s="2"/>
      <c r="D600" s="2"/>
      <c r="E600" s="2"/>
      <c r="F600" s="2"/>
      <c r="G600" s="26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81"/>
      <c r="AC600" s="2"/>
      <c r="AD600" s="2"/>
      <c r="AE600" s="281"/>
      <c r="AF600" s="2"/>
      <c r="AG600" s="2"/>
      <c r="AH600" s="2"/>
      <c r="AI600" s="28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 ht="12" customHeight="1" x14ac:dyDescent="0.25">
      <c r="A601" s="2"/>
      <c r="B601" s="2"/>
      <c r="C601" s="2"/>
      <c r="D601" s="2"/>
      <c r="E601" s="2"/>
      <c r="F601" s="2"/>
      <c r="G601" s="26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81"/>
      <c r="AC601" s="2"/>
      <c r="AD601" s="2"/>
      <c r="AE601" s="281"/>
      <c r="AF601" s="2"/>
      <c r="AG601" s="2"/>
      <c r="AH601" s="2"/>
      <c r="AI601" s="28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 ht="12" customHeight="1" x14ac:dyDescent="0.25">
      <c r="A602" s="2"/>
      <c r="B602" s="2"/>
      <c r="C602" s="2"/>
      <c r="D602" s="2"/>
      <c r="E602" s="2"/>
      <c r="F602" s="2"/>
      <c r="G602" s="26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81"/>
      <c r="AC602" s="2"/>
      <c r="AD602" s="2"/>
      <c r="AE602" s="281"/>
      <c r="AF602" s="2"/>
      <c r="AG602" s="2"/>
      <c r="AH602" s="2"/>
      <c r="AI602" s="28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 ht="12" customHeight="1" x14ac:dyDescent="0.25">
      <c r="A603" s="2"/>
      <c r="B603" s="2"/>
      <c r="C603" s="2"/>
      <c r="D603" s="2"/>
      <c r="E603" s="2"/>
      <c r="F603" s="2"/>
      <c r="G603" s="26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81"/>
      <c r="AC603" s="2"/>
      <c r="AD603" s="2"/>
      <c r="AE603" s="281"/>
      <c r="AF603" s="2"/>
      <c r="AG603" s="2"/>
      <c r="AH603" s="2"/>
      <c r="AI603" s="28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 ht="12" customHeight="1" x14ac:dyDescent="0.25">
      <c r="A604" s="2"/>
      <c r="B604" s="2"/>
      <c r="C604" s="2"/>
      <c r="D604" s="2"/>
      <c r="E604" s="2"/>
      <c r="F604" s="2"/>
      <c r="G604" s="26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81"/>
      <c r="AC604" s="2"/>
      <c r="AD604" s="2"/>
      <c r="AE604" s="281"/>
      <c r="AF604" s="2"/>
      <c r="AG604" s="2"/>
      <c r="AH604" s="2"/>
      <c r="AI604" s="28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 ht="12" customHeight="1" x14ac:dyDescent="0.25">
      <c r="A605" s="2"/>
      <c r="B605" s="2"/>
      <c r="C605" s="2"/>
      <c r="D605" s="2"/>
      <c r="E605" s="2"/>
      <c r="F605" s="2"/>
      <c r="G605" s="26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81"/>
      <c r="AC605" s="2"/>
      <c r="AD605" s="2"/>
      <c r="AE605" s="281"/>
      <c r="AF605" s="2"/>
      <c r="AG605" s="2"/>
      <c r="AH605" s="2"/>
      <c r="AI605" s="28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 ht="12" customHeight="1" x14ac:dyDescent="0.25">
      <c r="A606" s="2"/>
      <c r="B606" s="2"/>
      <c r="C606" s="2"/>
      <c r="D606" s="2"/>
      <c r="E606" s="2"/>
      <c r="F606" s="2"/>
      <c r="G606" s="26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81"/>
      <c r="AC606" s="2"/>
      <c r="AD606" s="2"/>
      <c r="AE606" s="281"/>
      <c r="AF606" s="2"/>
      <c r="AG606" s="2"/>
      <c r="AH606" s="2"/>
      <c r="AI606" s="28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 ht="12" customHeight="1" x14ac:dyDescent="0.25">
      <c r="A607" s="2"/>
      <c r="B607" s="2"/>
      <c r="C607" s="2"/>
      <c r="D607" s="2"/>
      <c r="E607" s="2"/>
      <c r="F607" s="2"/>
      <c r="G607" s="26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81"/>
      <c r="AC607" s="2"/>
      <c r="AD607" s="2"/>
      <c r="AE607" s="281"/>
      <c r="AF607" s="2"/>
      <c r="AG607" s="2"/>
      <c r="AH607" s="2"/>
      <c r="AI607" s="28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 ht="12" customHeight="1" x14ac:dyDescent="0.25">
      <c r="A608" s="2"/>
      <c r="B608" s="2"/>
      <c r="C608" s="2"/>
      <c r="D608" s="2"/>
      <c r="E608" s="2"/>
      <c r="F608" s="2"/>
      <c r="G608" s="26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81"/>
      <c r="AC608" s="2"/>
      <c r="AD608" s="2"/>
      <c r="AE608" s="281"/>
      <c r="AF608" s="2"/>
      <c r="AG608" s="2"/>
      <c r="AH608" s="2"/>
      <c r="AI608" s="28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 ht="12" customHeight="1" x14ac:dyDescent="0.25">
      <c r="A609" s="2"/>
      <c r="B609" s="2"/>
      <c r="C609" s="2"/>
      <c r="D609" s="2"/>
      <c r="E609" s="2"/>
      <c r="F609" s="2"/>
      <c r="G609" s="26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81"/>
      <c r="AC609" s="2"/>
      <c r="AD609" s="2"/>
      <c r="AE609" s="281"/>
      <c r="AF609" s="2"/>
      <c r="AG609" s="2"/>
      <c r="AH609" s="2"/>
      <c r="AI609" s="28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 ht="12" customHeight="1" x14ac:dyDescent="0.25">
      <c r="A610" s="2"/>
      <c r="B610" s="2"/>
      <c r="C610" s="2"/>
      <c r="D610" s="2"/>
      <c r="E610" s="2"/>
      <c r="F610" s="2"/>
      <c r="G610" s="26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81"/>
      <c r="AC610" s="2"/>
      <c r="AD610" s="2"/>
      <c r="AE610" s="281"/>
      <c r="AF610" s="2"/>
      <c r="AG610" s="2"/>
      <c r="AH610" s="2"/>
      <c r="AI610" s="28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 ht="12" customHeight="1" x14ac:dyDescent="0.25">
      <c r="A611" s="2"/>
      <c r="B611" s="2"/>
      <c r="C611" s="2"/>
      <c r="D611" s="2"/>
      <c r="E611" s="2"/>
      <c r="F611" s="2"/>
      <c r="G611" s="26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81"/>
      <c r="AC611" s="2"/>
      <c r="AD611" s="2"/>
      <c r="AE611" s="281"/>
      <c r="AF611" s="2"/>
      <c r="AG611" s="2"/>
      <c r="AH611" s="2"/>
      <c r="AI611" s="28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 ht="12" customHeight="1" x14ac:dyDescent="0.25">
      <c r="A612" s="2"/>
      <c r="B612" s="2"/>
      <c r="C612" s="2"/>
      <c r="D612" s="2"/>
      <c r="E612" s="2"/>
      <c r="F612" s="2"/>
      <c r="G612" s="26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81"/>
      <c r="AC612" s="2"/>
      <c r="AD612" s="2"/>
      <c r="AE612" s="281"/>
      <c r="AF612" s="2"/>
      <c r="AG612" s="2"/>
      <c r="AH612" s="2"/>
      <c r="AI612" s="28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 ht="12" customHeight="1" x14ac:dyDescent="0.25">
      <c r="A613" s="2"/>
      <c r="B613" s="2"/>
      <c r="C613" s="2"/>
      <c r="D613" s="2"/>
      <c r="E613" s="2"/>
      <c r="F613" s="2"/>
      <c r="G613" s="26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81"/>
      <c r="AC613" s="2"/>
      <c r="AD613" s="2"/>
      <c r="AE613" s="281"/>
      <c r="AF613" s="2"/>
      <c r="AG613" s="2"/>
      <c r="AH613" s="2"/>
      <c r="AI613" s="28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 ht="12" customHeight="1" x14ac:dyDescent="0.25">
      <c r="A614" s="2"/>
      <c r="B614" s="2"/>
      <c r="C614" s="2"/>
      <c r="D614" s="2"/>
      <c r="E614" s="2"/>
      <c r="F614" s="2"/>
      <c r="G614" s="26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81"/>
      <c r="AC614" s="2"/>
      <c r="AD614" s="2"/>
      <c r="AE614" s="281"/>
      <c r="AF614" s="2"/>
      <c r="AG614" s="2"/>
      <c r="AH614" s="2"/>
      <c r="AI614" s="28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 ht="12" customHeight="1" x14ac:dyDescent="0.25">
      <c r="A615" s="2"/>
      <c r="B615" s="2"/>
      <c r="C615" s="2"/>
      <c r="D615" s="2"/>
      <c r="E615" s="2"/>
      <c r="F615" s="2"/>
      <c r="G615" s="26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81"/>
      <c r="AC615" s="2"/>
      <c r="AD615" s="2"/>
      <c r="AE615" s="281"/>
      <c r="AF615" s="2"/>
      <c r="AG615" s="2"/>
      <c r="AH615" s="2"/>
      <c r="AI615" s="28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 ht="12" customHeight="1" x14ac:dyDescent="0.25">
      <c r="A616" s="2"/>
      <c r="B616" s="2"/>
      <c r="C616" s="2"/>
      <c r="D616" s="2"/>
      <c r="E616" s="2"/>
      <c r="F616" s="2"/>
      <c r="G616" s="26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81"/>
      <c r="AC616" s="2"/>
      <c r="AD616" s="2"/>
      <c r="AE616" s="281"/>
      <c r="AF616" s="2"/>
      <c r="AG616" s="2"/>
      <c r="AH616" s="2"/>
      <c r="AI616" s="28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 ht="12" customHeight="1" x14ac:dyDescent="0.25">
      <c r="A617" s="2"/>
      <c r="B617" s="2"/>
      <c r="C617" s="2"/>
      <c r="D617" s="2"/>
      <c r="E617" s="2"/>
      <c r="F617" s="2"/>
      <c r="G617" s="26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81"/>
      <c r="AC617" s="2"/>
      <c r="AD617" s="2"/>
      <c r="AE617" s="281"/>
      <c r="AF617" s="2"/>
      <c r="AG617" s="2"/>
      <c r="AH617" s="2"/>
      <c r="AI617" s="28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 ht="12" customHeight="1" x14ac:dyDescent="0.25">
      <c r="A618" s="2"/>
      <c r="B618" s="2"/>
      <c r="C618" s="2"/>
      <c r="D618" s="2"/>
      <c r="E618" s="2"/>
      <c r="F618" s="2"/>
      <c r="G618" s="26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81"/>
      <c r="AC618" s="2"/>
      <c r="AD618" s="2"/>
      <c r="AE618" s="281"/>
      <c r="AF618" s="2"/>
      <c r="AG618" s="2"/>
      <c r="AH618" s="2"/>
      <c r="AI618" s="28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 ht="12" customHeight="1" x14ac:dyDescent="0.25">
      <c r="A619" s="2"/>
      <c r="B619" s="2"/>
      <c r="C619" s="2"/>
      <c r="D619" s="2"/>
      <c r="E619" s="2"/>
      <c r="F619" s="2"/>
      <c r="G619" s="26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81"/>
      <c r="AC619" s="2"/>
      <c r="AD619" s="2"/>
      <c r="AE619" s="281"/>
      <c r="AF619" s="2"/>
      <c r="AG619" s="2"/>
      <c r="AH619" s="2"/>
      <c r="AI619" s="28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 ht="12" customHeight="1" x14ac:dyDescent="0.25">
      <c r="A620" s="2"/>
      <c r="B620" s="2"/>
      <c r="C620" s="2"/>
      <c r="D620" s="2"/>
      <c r="E620" s="2"/>
      <c r="F620" s="2"/>
      <c r="G620" s="26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81"/>
      <c r="AC620" s="2"/>
      <c r="AD620" s="2"/>
      <c r="AE620" s="281"/>
      <c r="AF620" s="2"/>
      <c r="AG620" s="2"/>
      <c r="AH620" s="2"/>
      <c r="AI620" s="28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 ht="12" customHeight="1" x14ac:dyDescent="0.25">
      <c r="A621" s="2"/>
      <c r="B621" s="2"/>
      <c r="C621" s="2"/>
      <c r="D621" s="2"/>
      <c r="E621" s="2"/>
      <c r="F621" s="2"/>
      <c r="G621" s="26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81"/>
      <c r="AC621" s="2"/>
      <c r="AD621" s="2"/>
      <c r="AE621" s="281"/>
      <c r="AF621" s="2"/>
      <c r="AG621" s="2"/>
      <c r="AH621" s="2"/>
      <c r="AI621" s="28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 ht="12" customHeight="1" x14ac:dyDescent="0.25">
      <c r="A622" s="2"/>
      <c r="B622" s="2"/>
      <c r="C622" s="2"/>
      <c r="D622" s="2"/>
      <c r="E622" s="2"/>
      <c r="F622" s="2"/>
      <c r="G622" s="26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81"/>
      <c r="AC622" s="2"/>
      <c r="AD622" s="2"/>
      <c r="AE622" s="281"/>
      <c r="AF622" s="2"/>
      <c r="AG622" s="2"/>
      <c r="AH622" s="2"/>
      <c r="AI622" s="28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 ht="12" customHeight="1" x14ac:dyDescent="0.25">
      <c r="A623" s="2"/>
      <c r="B623" s="2"/>
      <c r="C623" s="2"/>
      <c r="D623" s="2"/>
      <c r="E623" s="2"/>
      <c r="F623" s="2"/>
      <c r="G623" s="26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81"/>
      <c r="AC623" s="2"/>
      <c r="AD623" s="2"/>
      <c r="AE623" s="281"/>
      <c r="AF623" s="2"/>
      <c r="AG623" s="2"/>
      <c r="AH623" s="2"/>
      <c r="AI623" s="28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 ht="12" customHeight="1" x14ac:dyDescent="0.25">
      <c r="A624" s="2"/>
      <c r="B624" s="2"/>
      <c r="C624" s="2"/>
      <c r="D624" s="2"/>
      <c r="E624" s="2"/>
      <c r="F624" s="2"/>
      <c r="G624" s="26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81"/>
      <c r="AC624" s="2"/>
      <c r="AD624" s="2"/>
      <c r="AE624" s="281"/>
      <c r="AF624" s="2"/>
      <c r="AG624" s="2"/>
      <c r="AH624" s="2"/>
      <c r="AI624" s="28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 ht="12" customHeight="1" x14ac:dyDescent="0.25">
      <c r="A625" s="2"/>
      <c r="B625" s="2"/>
      <c r="C625" s="2"/>
      <c r="D625" s="2"/>
      <c r="E625" s="2"/>
      <c r="F625" s="2"/>
      <c r="G625" s="26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81"/>
      <c r="AC625" s="2"/>
      <c r="AD625" s="2"/>
      <c r="AE625" s="281"/>
      <c r="AF625" s="2"/>
      <c r="AG625" s="2"/>
      <c r="AH625" s="2"/>
      <c r="AI625" s="28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 ht="12" customHeight="1" x14ac:dyDescent="0.25">
      <c r="A626" s="2"/>
      <c r="B626" s="2"/>
      <c r="C626" s="2"/>
      <c r="D626" s="2"/>
      <c r="E626" s="2"/>
      <c r="F626" s="2"/>
      <c r="G626" s="26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81"/>
      <c r="AC626" s="2"/>
      <c r="AD626" s="2"/>
      <c r="AE626" s="281"/>
      <c r="AF626" s="2"/>
      <c r="AG626" s="2"/>
      <c r="AH626" s="2"/>
      <c r="AI626" s="28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 ht="12" customHeight="1" x14ac:dyDescent="0.25">
      <c r="A627" s="2"/>
      <c r="B627" s="2"/>
      <c r="C627" s="2"/>
      <c r="D627" s="2"/>
      <c r="E627" s="2"/>
      <c r="F627" s="2"/>
      <c r="G627" s="26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81"/>
      <c r="AC627" s="2"/>
      <c r="AD627" s="2"/>
      <c r="AE627" s="281"/>
      <c r="AF627" s="2"/>
      <c r="AG627" s="2"/>
      <c r="AH627" s="2"/>
      <c r="AI627" s="28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 ht="12" customHeight="1" x14ac:dyDescent="0.25">
      <c r="A628" s="2"/>
      <c r="B628" s="2"/>
      <c r="C628" s="2"/>
      <c r="D628" s="2"/>
      <c r="E628" s="2"/>
      <c r="F628" s="2"/>
      <c r="G628" s="26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81"/>
      <c r="AC628" s="2"/>
      <c r="AD628" s="2"/>
      <c r="AE628" s="281"/>
      <c r="AF628" s="2"/>
      <c r="AG628" s="2"/>
      <c r="AH628" s="2"/>
      <c r="AI628" s="28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 ht="12" customHeight="1" x14ac:dyDescent="0.25">
      <c r="A629" s="2"/>
      <c r="B629" s="2"/>
      <c r="C629" s="2"/>
      <c r="D629" s="2"/>
      <c r="E629" s="2"/>
      <c r="F629" s="2"/>
      <c r="G629" s="26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81"/>
      <c r="AC629" s="2"/>
      <c r="AD629" s="2"/>
      <c r="AE629" s="281"/>
      <c r="AF629" s="2"/>
      <c r="AG629" s="2"/>
      <c r="AH629" s="2"/>
      <c r="AI629" s="28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 ht="12" customHeight="1" x14ac:dyDescent="0.25">
      <c r="A630" s="2"/>
      <c r="B630" s="2"/>
      <c r="C630" s="2"/>
      <c r="D630" s="2"/>
      <c r="E630" s="2"/>
      <c r="F630" s="2"/>
      <c r="G630" s="26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81"/>
      <c r="AC630" s="2"/>
      <c r="AD630" s="2"/>
      <c r="AE630" s="281"/>
      <c r="AF630" s="2"/>
      <c r="AG630" s="2"/>
      <c r="AH630" s="2"/>
      <c r="AI630" s="28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 ht="12" customHeight="1" x14ac:dyDescent="0.25">
      <c r="A631" s="2"/>
      <c r="B631" s="2"/>
      <c r="C631" s="2"/>
      <c r="D631" s="2"/>
      <c r="E631" s="2"/>
      <c r="F631" s="2"/>
      <c r="G631" s="26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81"/>
      <c r="AC631" s="2"/>
      <c r="AD631" s="2"/>
      <c r="AE631" s="281"/>
      <c r="AF631" s="2"/>
      <c r="AG631" s="2"/>
      <c r="AH631" s="2"/>
      <c r="AI631" s="28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 ht="12" customHeight="1" x14ac:dyDescent="0.25">
      <c r="A632" s="2"/>
      <c r="B632" s="2"/>
      <c r="C632" s="2"/>
      <c r="D632" s="2"/>
      <c r="E632" s="2"/>
      <c r="F632" s="2"/>
      <c r="G632" s="26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81"/>
      <c r="AC632" s="2"/>
      <c r="AD632" s="2"/>
      <c r="AE632" s="281"/>
      <c r="AF632" s="2"/>
      <c r="AG632" s="2"/>
      <c r="AH632" s="2"/>
      <c r="AI632" s="28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 ht="12" customHeight="1" x14ac:dyDescent="0.25">
      <c r="A633" s="2"/>
      <c r="B633" s="2"/>
      <c r="C633" s="2"/>
      <c r="D633" s="2"/>
      <c r="E633" s="2"/>
      <c r="F633" s="2"/>
      <c r="G633" s="26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81"/>
      <c r="AC633" s="2"/>
      <c r="AD633" s="2"/>
      <c r="AE633" s="281"/>
      <c r="AF633" s="2"/>
      <c r="AG633" s="2"/>
      <c r="AH633" s="2"/>
      <c r="AI633" s="28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 ht="12" customHeight="1" x14ac:dyDescent="0.25">
      <c r="A634" s="2"/>
      <c r="B634" s="2"/>
      <c r="C634" s="2"/>
      <c r="D634" s="2"/>
      <c r="E634" s="2"/>
      <c r="F634" s="2"/>
      <c r="G634" s="26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81"/>
      <c r="AC634" s="2"/>
      <c r="AD634" s="2"/>
      <c r="AE634" s="281"/>
      <c r="AF634" s="2"/>
      <c r="AG634" s="2"/>
      <c r="AH634" s="2"/>
      <c r="AI634" s="28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 ht="12" customHeight="1" x14ac:dyDescent="0.25">
      <c r="A635" s="2"/>
      <c r="B635" s="2"/>
      <c r="C635" s="2"/>
      <c r="D635" s="2"/>
      <c r="E635" s="2"/>
      <c r="F635" s="2"/>
      <c r="G635" s="26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81"/>
      <c r="AC635" s="2"/>
      <c r="AD635" s="2"/>
      <c r="AE635" s="281"/>
      <c r="AF635" s="2"/>
      <c r="AG635" s="2"/>
      <c r="AH635" s="2"/>
      <c r="AI635" s="28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 ht="12" customHeight="1" x14ac:dyDescent="0.25">
      <c r="A636" s="2"/>
      <c r="B636" s="2"/>
      <c r="C636" s="2"/>
      <c r="D636" s="2"/>
      <c r="E636" s="2"/>
      <c r="F636" s="2"/>
      <c r="G636" s="26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81"/>
      <c r="AC636" s="2"/>
      <c r="AD636" s="2"/>
      <c r="AE636" s="281"/>
      <c r="AF636" s="2"/>
      <c r="AG636" s="2"/>
      <c r="AH636" s="2"/>
      <c r="AI636" s="28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 ht="12" customHeight="1" x14ac:dyDescent="0.25">
      <c r="A637" s="2"/>
      <c r="B637" s="2"/>
      <c r="C637" s="2"/>
      <c r="D637" s="2"/>
      <c r="E637" s="2"/>
      <c r="F637" s="2"/>
      <c r="G637" s="26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81"/>
      <c r="AC637" s="2"/>
      <c r="AD637" s="2"/>
      <c r="AE637" s="281"/>
      <c r="AF637" s="2"/>
      <c r="AG637" s="2"/>
      <c r="AH637" s="2"/>
      <c r="AI637" s="28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 ht="12" customHeight="1" x14ac:dyDescent="0.25">
      <c r="A638" s="2"/>
      <c r="B638" s="2"/>
      <c r="C638" s="2"/>
      <c r="D638" s="2"/>
      <c r="E638" s="2"/>
      <c r="F638" s="2"/>
      <c r="G638" s="26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81"/>
      <c r="AC638" s="2"/>
      <c r="AD638" s="2"/>
      <c r="AE638" s="281"/>
      <c r="AF638" s="2"/>
      <c r="AG638" s="2"/>
      <c r="AH638" s="2"/>
      <c r="AI638" s="28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 ht="12" customHeight="1" x14ac:dyDescent="0.25">
      <c r="A639" s="2"/>
      <c r="B639" s="2"/>
      <c r="C639" s="2"/>
      <c r="D639" s="2"/>
      <c r="E639" s="2"/>
      <c r="F639" s="2"/>
      <c r="G639" s="26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81"/>
      <c r="AC639" s="2"/>
      <c r="AD639" s="2"/>
      <c r="AE639" s="281"/>
      <c r="AF639" s="2"/>
      <c r="AG639" s="2"/>
      <c r="AH639" s="2"/>
      <c r="AI639" s="28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 ht="12" customHeight="1" x14ac:dyDescent="0.25">
      <c r="A640" s="2"/>
      <c r="B640" s="2"/>
      <c r="C640" s="2"/>
      <c r="D640" s="2"/>
      <c r="E640" s="2"/>
      <c r="F640" s="2"/>
      <c r="G640" s="26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81"/>
      <c r="AC640" s="2"/>
      <c r="AD640" s="2"/>
      <c r="AE640" s="281"/>
      <c r="AF640" s="2"/>
      <c r="AG640" s="2"/>
      <c r="AH640" s="2"/>
      <c r="AI640" s="28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 ht="12" customHeight="1" x14ac:dyDescent="0.25">
      <c r="A641" s="2"/>
      <c r="B641" s="2"/>
      <c r="C641" s="2"/>
      <c r="D641" s="2"/>
      <c r="E641" s="2"/>
      <c r="F641" s="2"/>
      <c r="G641" s="26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81"/>
      <c r="AC641" s="2"/>
      <c r="AD641" s="2"/>
      <c r="AE641" s="281"/>
      <c r="AF641" s="2"/>
      <c r="AG641" s="2"/>
      <c r="AH641" s="2"/>
      <c r="AI641" s="28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 ht="12" customHeight="1" x14ac:dyDescent="0.25">
      <c r="A642" s="2"/>
      <c r="B642" s="2"/>
      <c r="C642" s="2"/>
      <c r="D642" s="2"/>
      <c r="E642" s="2"/>
      <c r="F642" s="2"/>
      <c r="G642" s="26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81"/>
      <c r="AC642" s="2"/>
      <c r="AD642" s="2"/>
      <c r="AE642" s="281"/>
      <c r="AF642" s="2"/>
      <c r="AG642" s="2"/>
      <c r="AH642" s="2"/>
      <c r="AI642" s="28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 ht="12" customHeight="1" x14ac:dyDescent="0.25">
      <c r="A643" s="2"/>
      <c r="B643" s="2"/>
      <c r="C643" s="2"/>
      <c r="D643" s="2"/>
      <c r="E643" s="2"/>
      <c r="F643" s="2"/>
      <c r="G643" s="26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81"/>
      <c r="AC643" s="2"/>
      <c r="AD643" s="2"/>
      <c r="AE643" s="281"/>
      <c r="AF643" s="2"/>
      <c r="AG643" s="2"/>
      <c r="AH643" s="2"/>
      <c r="AI643" s="28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 ht="12" customHeight="1" x14ac:dyDescent="0.25">
      <c r="A644" s="2"/>
      <c r="B644" s="2"/>
      <c r="C644" s="2"/>
      <c r="D644" s="2"/>
      <c r="E644" s="2"/>
      <c r="F644" s="2"/>
      <c r="G644" s="26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81"/>
      <c r="AC644" s="2"/>
      <c r="AD644" s="2"/>
      <c r="AE644" s="281"/>
      <c r="AF644" s="2"/>
      <c r="AG644" s="2"/>
      <c r="AH644" s="2"/>
      <c r="AI644" s="28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 ht="12" customHeight="1" x14ac:dyDescent="0.25">
      <c r="A645" s="2"/>
      <c r="B645" s="2"/>
      <c r="C645" s="2"/>
      <c r="D645" s="2"/>
      <c r="E645" s="2"/>
      <c r="F645" s="2"/>
      <c r="G645" s="26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81"/>
      <c r="AC645" s="2"/>
      <c r="AD645" s="2"/>
      <c r="AE645" s="281"/>
      <c r="AF645" s="2"/>
      <c r="AG645" s="2"/>
      <c r="AH645" s="2"/>
      <c r="AI645" s="28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 ht="12" customHeight="1" x14ac:dyDescent="0.25">
      <c r="A646" s="2"/>
      <c r="B646" s="2"/>
      <c r="C646" s="2"/>
      <c r="D646" s="2"/>
      <c r="E646" s="2"/>
      <c r="F646" s="2"/>
      <c r="G646" s="26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81"/>
      <c r="AC646" s="2"/>
      <c r="AD646" s="2"/>
      <c r="AE646" s="281"/>
      <c r="AF646" s="2"/>
      <c r="AG646" s="2"/>
      <c r="AH646" s="2"/>
      <c r="AI646" s="28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 ht="12" customHeight="1" x14ac:dyDescent="0.25">
      <c r="A647" s="2"/>
      <c r="B647" s="2"/>
      <c r="C647" s="2"/>
      <c r="D647" s="2"/>
      <c r="E647" s="2"/>
      <c r="F647" s="2"/>
      <c r="G647" s="26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81"/>
      <c r="AC647" s="2"/>
      <c r="AD647" s="2"/>
      <c r="AE647" s="281"/>
      <c r="AF647" s="2"/>
      <c r="AG647" s="2"/>
      <c r="AH647" s="2"/>
      <c r="AI647" s="28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 ht="12" customHeight="1" x14ac:dyDescent="0.25">
      <c r="A648" s="2"/>
      <c r="B648" s="2"/>
      <c r="C648" s="2"/>
      <c r="D648" s="2"/>
      <c r="E648" s="2"/>
      <c r="F648" s="2"/>
      <c r="G648" s="26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81"/>
      <c r="AC648" s="2"/>
      <c r="AD648" s="2"/>
      <c r="AE648" s="281"/>
      <c r="AF648" s="2"/>
      <c r="AG648" s="2"/>
      <c r="AH648" s="2"/>
      <c r="AI648" s="28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 ht="12" customHeight="1" x14ac:dyDescent="0.25">
      <c r="A649" s="2"/>
      <c r="B649" s="2"/>
      <c r="C649" s="2"/>
      <c r="D649" s="2"/>
      <c r="E649" s="2"/>
      <c r="F649" s="2"/>
      <c r="G649" s="26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81"/>
      <c r="AC649" s="2"/>
      <c r="AD649" s="2"/>
      <c r="AE649" s="281"/>
      <c r="AF649" s="2"/>
      <c r="AG649" s="2"/>
      <c r="AH649" s="2"/>
      <c r="AI649" s="28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 ht="12" customHeight="1" x14ac:dyDescent="0.25">
      <c r="A650" s="2"/>
      <c r="B650" s="2"/>
      <c r="C650" s="2"/>
      <c r="D650" s="2"/>
      <c r="E650" s="2"/>
      <c r="F650" s="2"/>
      <c r="G650" s="26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81"/>
      <c r="AC650" s="2"/>
      <c r="AD650" s="2"/>
      <c r="AE650" s="281"/>
      <c r="AF650" s="2"/>
      <c r="AG650" s="2"/>
      <c r="AH650" s="2"/>
      <c r="AI650" s="28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 ht="12" customHeight="1" x14ac:dyDescent="0.25">
      <c r="A651" s="2"/>
      <c r="B651" s="2"/>
      <c r="C651" s="2"/>
      <c r="D651" s="2"/>
      <c r="E651" s="2"/>
      <c r="F651" s="2"/>
      <c r="G651" s="26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81"/>
      <c r="AC651" s="2"/>
      <c r="AD651" s="2"/>
      <c r="AE651" s="281"/>
      <c r="AF651" s="2"/>
      <c r="AG651" s="2"/>
      <c r="AH651" s="2"/>
      <c r="AI651" s="28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 ht="12" customHeight="1" x14ac:dyDescent="0.25">
      <c r="A652" s="2"/>
      <c r="B652" s="2"/>
      <c r="C652" s="2"/>
      <c r="D652" s="2"/>
      <c r="E652" s="2"/>
      <c r="F652" s="2"/>
      <c r="G652" s="26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81"/>
      <c r="AC652" s="2"/>
      <c r="AD652" s="2"/>
      <c r="AE652" s="281"/>
      <c r="AF652" s="2"/>
      <c r="AG652" s="2"/>
      <c r="AH652" s="2"/>
      <c r="AI652" s="28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 ht="12" customHeight="1" x14ac:dyDescent="0.25">
      <c r="A653" s="2"/>
      <c r="B653" s="2"/>
      <c r="C653" s="2"/>
      <c r="D653" s="2"/>
      <c r="E653" s="2"/>
      <c r="F653" s="2"/>
      <c r="G653" s="26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81"/>
      <c r="AC653" s="2"/>
      <c r="AD653" s="2"/>
      <c r="AE653" s="281"/>
      <c r="AF653" s="2"/>
      <c r="AG653" s="2"/>
      <c r="AH653" s="2"/>
      <c r="AI653" s="28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 ht="12" customHeight="1" x14ac:dyDescent="0.25">
      <c r="A654" s="2"/>
      <c r="B654" s="2"/>
      <c r="C654" s="2"/>
      <c r="D654" s="2"/>
      <c r="E654" s="2"/>
      <c r="F654" s="2"/>
      <c r="G654" s="26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81"/>
      <c r="AC654" s="2"/>
      <c r="AD654" s="2"/>
      <c r="AE654" s="281"/>
      <c r="AF654" s="2"/>
      <c r="AG654" s="2"/>
      <c r="AH654" s="2"/>
      <c r="AI654" s="28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 ht="12" customHeight="1" x14ac:dyDescent="0.25">
      <c r="A655" s="2"/>
      <c r="B655" s="2"/>
      <c r="C655" s="2"/>
      <c r="D655" s="2"/>
      <c r="E655" s="2"/>
      <c r="F655" s="2"/>
      <c r="G655" s="26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81"/>
      <c r="AC655" s="2"/>
      <c r="AD655" s="2"/>
      <c r="AE655" s="281"/>
      <c r="AF655" s="2"/>
      <c r="AG655" s="2"/>
      <c r="AH655" s="2"/>
      <c r="AI655" s="28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 ht="12" customHeight="1" x14ac:dyDescent="0.25">
      <c r="A656" s="2"/>
      <c r="B656" s="2"/>
      <c r="C656" s="2"/>
      <c r="D656" s="2"/>
      <c r="E656" s="2"/>
      <c r="F656" s="2"/>
      <c r="G656" s="26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81"/>
      <c r="AC656" s="2"/>
      <c r="AD656" s="2"/>
      <c r="AE656" s="281"/>
      <c r="AF656" s="2"/>
      <c r="AG656" s="2"/>
      <c r="AH656" s="2"/>
      <c r="AI656" s="28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 ht="12" customHeight="1" x14ac:dyDescent="0.25">
      <c r="A657" s="2"/>
      <c r="B657" s="2"/>
      <c r="C657" s="2"/>
      <c r="D657" s="2"/>
      <c r="E657" s="2"/>
      <c r="F657" s="2"/>
      <c r="G657" s="26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81"/>
      <c r="AC657" s="2"/>
      <c r="AD657" s="2"/>
      <c r="AE657" s="281"/>
      <c r="AF657" s="2"/>
      <c r="AG657" s="2"/>
      <c r="AH657" s="2"/>
      <c r="AI657" s="28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 ht="12" customHeight="1" x14ac:dyDescent="0.25">
      <c r="A658" s="2"/>
      <c r="B658" s="2"/>
      <c r="C658" s="2"/>
      <c r="D658" s="2"/>
      <c r="E658" s="2"/>
      <c r="F658" s="2"/>
      <c r="G658" s="26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81"/>
      <c r="AC658" s="2"/>
      <c r="AD658" s="2"/>
      <c r="AE658" s="281"/>
      <c r="AF658" s="2"/>
      <c r="AG658" s="2"/>
      <c r="AH658" s="2"/>
      <c r="AI658" s="28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 ht="12" customHeight="1" x14ac:dyDescent="0.25">
      <c r="A659" s="2"/>
      <c r="B659" s="2"/>
      <c r="C659" s="2"/>
      <c r="D659" s="2"/>
      <c r="E659" s="2"/>
      <c r="F659" s="2"/>
      <c r="G659" s="26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81"/>
      <c r="AC659" s="2"/>
      <c r="AD659" s="2"/>
      <c r="AE659" s="281"/>
      <c r="AF659" s="2"/>
      <c r="AG659" s="2"/>
      <c r="AH659" s="2"/>
      <c r="AI659" s="28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 ht="12" customHeight="1" x14ac:dyDescent="0.25">
      <c r="A660" s="2"/>
      <c r="B660" s="2"/>
      <c r="C660" s="2"/>
      <c r="D660" s="2"/>
      <c r="E660" s="2"/>
      <c r="F660" s="2"/>
      <c r="G660" s="26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81"/>
      <c r="AC660" s="2"/>
      <c r="AD660" s="2"/>
      <c r="AE660" s="281"/>
      <c r="AF660" s="2"/>
      <c r="AG660" s="2"/>
      <c r="AH660" s="2"/>
      <c r="AI660" s="28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 ht="12" customHeight="1" x14ac:dyDescent="0.25">
      <c r="A661" s="2"/>
      <c r="B661" s="2"/>
      <c r="C661" s="2"/>
      <c r="D661" s="2"/>
      <c r="E661" s="2"/>
      <c r="F661" s="2"/>
      <c r="G661" s="26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81"/>
      <c r="AC661" s="2"/>
      <c r="AD661" s="2"/>
      <c r="AE661" s="281"/>
      <c r="AF661" s="2"/>
      <c r="AG661" s="2"/>
      <c r="AH661" s="2"/>
      <c r="AI661" s="28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 ht="12" customHeight="1" x14ac:dyDescent="0.25">
      <c r="A662" s="2"/>
      <c r="B662" s="2"/>
      <c r="C662" s="2"/>
      <c r="D662" s="2"/>
      <c r="E662" s="2"/>
      <c r="F662" s="2"/>
      <c r="G662" s="26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81"/>
      <c r="AC662" s="2"/>
      <c r="AD662" s="2"/>
      <c r="AE662" s="281"/>
      <c r="AF662" s="2"/>
      <c r="AG662" s="2"/>
      <c r="AH662" s="2"/>
      <c r="AI662" s="28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 ht="12" customHeight="1" x14ac:dyDescent="0.25">
      <c r="A663" s="2"/>
      <c r="B663" s="2"/>
      <c r="C663" s="2"/>
      <c r="D663" s="2"/>
      <c r="E663" s="2"/>
      <c r="F663" s="2"/>
      <c r="G663" s="26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81"/>
      <c r="AC663" s="2"/>
      <c r="AD663" s="2"/>
      <c r="AE663" s="281"/>
      <c r="AF663" s="2"/>
      <c r="AG663" s="2"/>
      <c r="AH663" s="2"/>
      <c r="AI663" s="28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 ht="12" customHeight="1" x14ac:dyDescent="0.25">
      <c r="A664" s="2"/>
      <c r="B664" s="2"/>
      <c r="C664" s="2"/>
      <c r="D664" s="2"/>
      <c r="E664" s="2"/>
      <c r="F664" s="2"/>
      <c r="G664" s="26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81"/>
      <c r="AC664" s="2"/>
      <c r="AD664" s="2"/>
      <c r="AE664" s="281"/>
      <c r="AF664" s="2"/>
      <c r="AG664" s="2"/>
      <c r="AH664" s="2"/>
      <c r="AI664" s="28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 ht="12" customHeight="1" x14ac:dyDescent="0.25">
      <c r="A665" s="2"/>
      <c r="B665" s="2"/>
      <c r="C665" s="2"/>
      <c r="D665" s="2"/>
      <c r="E665" s="2"/>
      <c r="F665" s="2"/>
      <c r="G665" s="26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81"/>
      <c r="AC665" s="2"/>
      <c r="AD665" s="2"/>
      <c r="AE665" s="281"/>
      <c r="AF665" s="2"/>
      <c r="AG665" s="2"/>
      <c r="AH665" s="2"/>
      <c r="AI665" s="28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 ht="12" customHeight="1" x14ac:dyDescent="0.25">
      <c r="A666" s="2"/>
      <c r="B666" s="2"/>
      <c r="C666" s="2"/>
      <c r="D666" s="2"/>
      <c r="E666" s="2"/>
      <c r="F666" s="2"/>
      <c r="G666" s="26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81"/>
      <c r="AC666" s="2"/>
      <c r="AD666" s="2"/>
      <c r="AE666" s="281"/>
      <c r="AF666" s="2"/>
      <c r="AG666" s="2"/>
      <c r="AH666" s="2"/>
      <c r="AI666" s="28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 ht="12" customHeight="1" x14ac:dyDescent="0.25">
      <c r="A667" s="2"/>
      <c r="B667" s="2"/>
      <c r="C667" s="2"/>
      <c r="D667" s="2"/>
      <c r="E667" s="2"/>
      <c r="F667" s="2"/>
      <c r="G667" s="26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81"/>
      <c r="AC667" s="2"/>
      <c r="AD667" s="2"/>
      <c r="AE667" s="281"/>
      <c r="AF667" s="2"/>
      <c r="AG667" s="2"/>
      <c r="AH667" s="2"/>
      <c r="AI667" s="28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 ht="12" customHeight="1" x14ac:dyDescent="0.25">
      <c r="A668" s="2"/>
      <c r="B668" s="2"/>
      <c r="C668" s="2"/>
      <c r="D668" s="2"/>
      <c r="E668" s="2"/>
      <c r="F668" s="2"/>
      <c r="G668" s="26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81"/>
      <c r="AC668" s="2"/>
      <c r="AD668" s="2"/>
      <c r="AE668" s="281"/>
      <c r="AF668" s="2"/>
      <c r="AG668" s="2"/>
      <c r="AH668" s="2"/>
      <c r="AI668" s="28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 ht="12" customHeight="1" x14ac:dyDescent="0.25">
      <c r="A669" s="2"/>
      <c r="B669" s="2"/>
      <c r="C669" s="2"/>
      <c r="D669" s="2"/>
      <c r="E669" s="2"/>
      <c r="F669" s="2"/>
      <c r="G669" s="26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81"/>
      <c r="AC669" s="2"/>
      <c r="AD669" s="2"/>
      <c r="AE669" s="281"/>
      <c r="AF669" s="2"/>
      <c r="AG669" s="2"/>
      <c r="AH669" s="2"/>
      <c r="AI669" s="28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 ht="12" customHeight="1" x14ac:dyDescent="0.25">
      <c r="A670" s="2"/>
      <c r="B670" s="2"/>
      <c r="C670" s="2"/>
      <c r="D670" s="2"/>
      <c r="E670" s="2"/>
      <c r="F670" s="2"/>
      <c r="G670" s="26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81"/>
      <c r="AC670" s="2"/>
      <c r="AD670" s="2"/>
      <c r="AE670" s="281"/>
      <c r="AF670" s="2"/>
      <c r="AG670" s="2"/>
      <c r="AH670" s="2"/>
      <c r="AI670" s="28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 ht="12" customHeight="1" x14ac:dyDescent="0.25">
      <c r="A671" s="2"/>
      <c r="B671" s="2"/>
      <c r="C671" s="2"/>
      <c r="D671" s="2"/>
      <c r="E671" s="2"/>
      <c r="F671" s="2"/>
      <c r="G671" s="26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81"/>
      <c r="AC671" s="2"/>
      <c r="AD671" s="2"/>
      <c r="AE671" s="281"/>
      <c r="AF671" s="2"/>
      <c r="AG671" s="2"/>
      <c r="AH671" s="2"/>
      <c r="AI671" s="28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 ht="12" customHeight="1" x14ac:dyDescent="0.25">
      <c r="A672" s="2"/>
      <c r="B672" s="2"/>
      <c r="C672" s="2"/>
      <c r="D672" s="2"/>
      <c r="E672" s="2"/>
      <c r="F672" s="2"/>
      <c r="G672" s="26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81"/>
      <c r="AC672" s="2"/>
      <c r="AD672" s="2"/>
      <c r="AE672" s="281"/>
      <c r="AF672" s="2"/>
      <c r="AG672" s="2"/>
      <c r="AH672" s="2"/>
      <c r="AI672" s="28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 ht="12" customHeight="1" x14ac:dyDescent="0.25">
      <c r="A673" s="2"/>
      <c r="B673" s="2"/>
      <c r="C673" s="2"/>
      <c r="D673" s="2"/>
      <c r="E673" s="2"/>
      <c r="F673" s="2"/>
      <c r="G673" s="26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81"/>
      <c r="AC673" s="2"/>
      <c r="AD673" s="2"/>
      <c r="AE673" s="281"/>
      <c r="AF673" s="2"/>
      <c r="AG673" s="2"/>
      <c r="AH673" s="2"/>
      <c r="AI673" s="28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 ht="12" customHeight="1" x14ac:dyDescent="0.25">
      <c r="A674" s="2"/>
      <c r="B674" s="2"/>
      <c r="C674" s="2"/>
      <c r="D674" s="2"/>
      <c r="E674" s="2"/>
      <c r="F674" s="2"/>
      <c r="G674" s="26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81"/>
      <c r="AC674" s="2"/>
      <c r="AD674" s="2"/>
      <c r="AE674" s="281"/>
      <c r="AF674" s="2"/>
      <c r="AG674" s="2"/>
      <c r="AH674" s="2"/>
      <c r="AI674" s="28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 ht="12" customHeight="1" x14ac:dyDescent="0.25">
      <c r="A675" s="2"/>
      <c r="B675" s="2"/>
      <c r="C675" s="2"/>
      <c r="D675" s="2"/>
      <c r="E675" s="2"/>
      <c r="F675" s="2"/>
      <c r="G675" s="26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81"/>
      <c r="AC675" s="2"/>
      <c r="AD675" s="2"/>
      <c r="AE675" s="281"/>
      <c r="AF675" s="2"/>
      <c r="AG675" s="2"/>
      <c r="AH675" s="2"/>
      <c r="AI675" s="28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 ht="12" customHeight="1" x14ac:dyDescent="0.25">
      <c r="A676" s="2"/>
      <c r="B676" s="2"/>
      <c r="C676" s="2"/>
      <c r="D676" s="2"/>
      <c r="E676" s="2"/>
      <c r="F676" s="2"/>
      <c r="G676" s="26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81"/>
      <c r="AC676" s="2"/>
      <c r="AD676" s="2"/>
      <c r="AE676" s="281"/>
      <c r="AF676" s="2"/>
      <c r="AG676" s="2"/>
      <c r="AH676" s="2"/>
      <c r="AI676" s="28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 ht="12" customHeight="1" x14ac:dyDescent="0.25">
      <c r="A677" s="2"/>
      <c r="B677" s="2"/>
      <c r="C677" s="2"/>
      <c r="D677" s="2"/>
      <c r="E677" s="2"/>
      <c r="F677" s="2"/>
      <c r="G677" s="26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81"/>
      <c r="AC677" s="2"/>
      <c r="AD677" s="2"/>
      <c r="AE677" s="281"/>
      <c r="AF677" s="2"/>
      <c r="AG677" s="2"/>
      <c r="AH677" s="2"/>
      <c r="AI677" s="28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 ht="12" customHeight="1" x14ac:dyDescent="0.25">
      <c r="A678" s="2"/>
      <c r="B678" s="2"/>
      <c r="C678" s="2"/>
      <c r="D678" s="2"/>
      <c r="E678" s="2"/>
      <c r="F678" s="2"/>
      <c r="G678" s="26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81"/>
      <c r="AC678" s="2"/>
      <c r="AD678" s="2"/>
      <c r="AE678" s="281"/>
      <c r="AF678" s="2"/>
      <c r="AG678" s="2"/>
      <c r="AH678" s="2"/>
      <c r="AI678" s="28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 ht="12" customHeight="1" x14ac:dyDescent="0.25">
      <c r="A679" s="2"/>
      <c r="B679" s="2"/>
      <c r="C679" s="2"/>
      <c r="D679" s="2"/>
      <c r="E679" s="2"/>
      <c r="F679" s="2"/>
      <c r="G679" s="26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81"/>
      <c r="AC679" s="2"/>
      <c r="AD679" s="2"/>
      <c r="AE679" s="281"/>
      <c r="AF679" s="2"/>
      <c r="AG679" s="2"/>
      <c r="AH679" s="2"/>
      <c r="AI679" s="28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 ht="12" customHeight="1" x14ac:dyDescent="0.25">
      <c r="A680" s="2"/>
      <c r="B680" s="2"/>
      <c r="C680" s="2"/>
      <c r="D680" s="2"/>
      <c r="E680" s="2"/>
      <c r="F680" s="2"/>
      <c r="G680" s="26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81"/>
      <c r="AC680" s="2"/>
      <c r="AD680" s="2"/>
      <c r="AE680" s="281"/>
      <c r="AF680" s="2"/>
      <c r="AG680" s="2"/>
      <c r="AH680" s="2"/>
      <c r="AI680" s="28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 ht="12" customHeight="1" x14ac:dyDescent="0.25">
      <c r="A681" s="2"/>
      <c r="B681" s="2"/>
      <c r="C681" s="2"/>
      <c r="D681" s="2"/>
      <c r="E681" s="2"/>
      <c r="F681" s="2"/>
      <c r="G681" s="26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81"/>
      <c r="AC681" s="2"/>
      <c r="AD681" s="2"/>
      <c r="AE681" s="281"/>
      <c r="AF681" s="2"/>
      <c r="AG681" s="2"/>
      <c r="AH681" s="2"/>
      <c r="AI681" s="28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 ht="12" customHeight="1" x14ac:dyDescent="0.25">
      <c r="A682" s="2"/>
      <c r="B682" s="2"/>
      <c r="C682" s="2"/>
      <c r="D682" s="2"/>
      <c r="E682" s="2"/>
      <c r="F682" s="2"/>
      <c r="G682" s="26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81"/>
      <c r="AC682" s="2"/>
      <c r="AD682" s="2"/>
      <c r="AE682" s="281"/>
      <c r="AF682" s="2"/>
      <c r="AG682" s="2"/>
      <c r="AH682" s="2"/>
      <c r="AI682" s="28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 ht="12" customHeight="1" x14ac:dyDescent="0.25">
      <c r="A683" s="2"/>
      <c r="B683" s="2"/>
      <c r="C683" s="2"/>
      <c r="D683" s="2"/>
      <c r="E683" s="2"/>
      <c r="F683" s="2"/>
      <c r="G683" s="26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81"/>
      <c r="AC683" s="2"/>
      <c r="AD683" s="2"/>
      <c r="AE683" s="281"/>
      <c r="AF683" s="2"/>
      <c r="AG683" s="2"/>
      <c r="AH683" s="2"/>
      <c r="AI683" s="28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 ht="12" customHeight="1" x14ac:dyDescent="0.25">
      <c r="A684" s="2"/>
      <c r="B684" s="2"/>
      <c r="C684" s="2"/>
      <c r="D684" s="2"/>
      <c r="E684" s="2"/>
      <c r="F684" s="2"/>
      <c r="G684" s="26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81"/>
      <c r="AC684" s="2"/>
      <c r="AD684" s="2"/>
      <c r="AE684" s="281"/>
      <c r="AF684" s="2"/>
      <c r="AG684" s="2"/>
      <c r="AH684" s="2"/>
      <c r="AI684" s="28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 ht="12" customHeight="1" x14ac:dyDescent="0.25">
      <c r="A685" s="2"/>
      <c r="B685" s="2"/>
      <c r="C685" s="2"/>
      <c r="D685" s="2"/>
      <c r="E685" s="2"/>
      <c r="F685" s="2"/>
      <c r="G685" s="26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81"/>
      <c r="AC685" s="2"/>
      <c r="AD685" s="2"/>
      <c r="AE685" s="281"/>
      <c r="AF685" s="2"/>
      <c r="AG685" s="2"/>
      <c r="AH685" s="2"/>
      <c r="AI685" s="28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 ht="12" customHeight="1" x14ac:dyDescent="0.25">
      <c r="A686" s="2"/>
      <c r="B686" s="2"/>
      <c r="C686" s="2"/>
      <c r="D686" s="2"/>
      <c r="E686" s="2"/>
      <c r="F686" s="2"/>
      <c r="G686" s="26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81"/>
      <c r="AC686" s="2"/>
      <c r="AD686" s="2"/>
      <c r="AE686" s="281"/>
      <c r="AF686" s="2"/>
      <c r="AG686" s="2"/>
      <c r="AH686" s="2"/>
      <c r="AI686" s="28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 ht="12" customHeight="1" x14ac:dyDescent="0.25">
      <c r="A687" s="2"/>
      <c r="B687" s="2"/>
      <c r="C687" s="2"/>
      <c r="D687" s="2"/>
      <c r="E687" s="2"/>
      <c r="F687" s="2"/>
      <c r="G687" s="26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81"/>
      <c r="AC687" s="2"/>
      <c r="AD687" s="2"/>
      <c r="AE687" s="281"/>
      <c r="AF687" s="2"/>
      <c r="AG687" s="2"/>
      <c r="AH687" s="2"/>
      <c r="AI687" s="28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 ht="12" customHeight="1" x14ac:dyDescent="0.25">
      <c r="A688" s="2"/>
      <c r="B688" s="2"/>
      <c r="C688" s="2"/>
      <c r="D688" s="2"/>
      <c r="E688" s="2"/>
      <c r="F688" s="2"/>
      <c r="G688" s="26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81"/>
      <c r="AC688" s="2"/>
      <c r="AD688" s="2"/>
      <c r="AE688" s="281"/>
      <c r="AF688" s="2"/>
      <c r="AG688" s="2"/>
      <c r="AH688" s="2"/>
      <c r="AI688" s="28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 ht="12" customHeight="1" x14ac:dyDescent="0.25">
      <c r="A689" s="2"/>
      <c r="B689" s="2"/>
      <c r="C689" s="2"/>
      <c r="D689" s="2"/>
      <c r="E689" s="2"/>
      <c r="F689" s="2"/>
      <c r="G689" s="26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81"/>
      <c r="AC689" s="2"/>
      <c r="AD689" s="2"/>
      <c r="AE689" s="281"/>
      <c r="AF689" s="2"/>
      <c r="AG689" s="2"/>
      <c r="AH689" s="2"/>
      <c r="AI689" s="28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 ht="12" customHeight="1" x14ac:dyDescent="0.25">
      <c r="A690" s="2"/>
      <c r="B690" s="2"/>
      <c r="C690" s="2"/>
      <c r="D690" s="2"/>
      <c r="E690" s="2"/>
      <c r="F690" s="2"/>
      <c r="G690" s="26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81"/>
      <c r="AC690" s="2"/>
      <c r="AD690" s="2"/>
      <c r="AE690" s="281"/>
      <c r="AF690" s="2"/>
      <c r="AG690" s="2"/>
      <c r="AH690" s="2"/>
      <c r="AI690" s="28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 ht="12" customHeight="1" x14ac:dyDescent="0.25">
      <c r="A691" s="2"/>
      <c r="B691" s="2"/>
      <c r="C691" s="2"/>
      <c r="D691" s="2"/>
      <c r="E691" s="2"/>
      <c r="F691" s="2"/>
      <c r="G691" s="26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81"/>
      <c r="AC691" s="2"/>
      <c r="AD691" s="2"/>
      <c r="AE691" s="281"/>
      <c r="AF691" s="2"/>
      <c r="AG691" s="2"/>
      <c r="AH691" s="2"/>
      <c r="AI691" s="28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 ht="12" customHeight="1" x14ac:dyDescent="0.25">
      <c r="A692" s="2"/>
      <c r="B692" s="2"/>
      <c r="C692" s="2"/>
      <c r="D692" s="2"/>
      <c r="E692" s="2"/>
      <c r="F692" s="2"/>
      <c r="G692" s="26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81"/>
      <c r="AC692" s="2"/>
      <c r="AD692" s="2"/>
      <c r="AE692" s="281"/>
      <c r="AF692" s="2"/>
      <c r="AG692" s="2"/>
      <c r="AH692" s="2"/>
      <c r="AI692" s="28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 ht="12" customHeight="1" x14ac:dyDescent="0.25">
      <c r="A693" s="2"/>
      <c r="B693" s="2"/>
      <c r="C693" s="2"/>
      <c r="D693" s="2"/>
      <c r="E693" s="2"/>
      <c r="F693" s="2"/>
      <c r="G693" s="26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81"/>
      <c r="AC693" s="2"/>
      <c r="AD693" s="2"/>
      <c r="AE693" s="281"/>
      <c r="AF693" s="2"/>
      <c r="AG693" s="2"/>
      <c r="AH693" s="2"/>
      <c r="AI693" s="28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 ht="12" customHeight="1" x14ac:dyDescent="0.25">
      <c r="A694" s="2"/>
      <c r="B694" s="2"/>
      <c r="C694" s="2"/>
      <c r="D694" s="2"/>
      <c r="E694" s="2"/>
      <c r="F694" s="2"/>
      <c r="G694" s="26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81"/>
      <c r="AC694" s="2"/>
      <c r="AD694" s="2"/>
      <c r="AE694" s="281"/>
      <c r="AF694" s="2"/>
      <c r="AG694" s="2"/>
      <c r="AH694" s="2"/>
      <c r="AI694" s="28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 ht="12" customHeight="1" x14ac:dyDescent="0.25">
      <c r="A695" s="2"/>
      <c r="B695" s="2"/>
      <c r="C695" s="2"/>
      <c r="D695" s="2"/>
      <c r="E695" s="2"/>
      <c r="F695" s="2"/>
      <c r="G695" s="26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81"/>
      <c r="AC695" s="2"/>
      <c r="AD695" s="2"/>
      <c r="AE695" s="281"/>
      <c r="AF695" s="2"/>
      <c r="AG695" s="2"/>
      <c r="AH695" s="2"/>
      <c r="AI695" s="28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 ht="12" customHeight="1" x14ac:dyDescent="0.25">
      <c r="A696" s="2"/>
      <c r="B696" s="2"/>
      <c r="C696" s="2"/>
      <c r="D696" s="2"/>
      <c r="E696" s="2"/>
      <c r="F696" s="2"/>
      <c r="G696" s="26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81"/>
      <c r="AC696" s="2"/>
      <c r="AD696" s="2"/>
      <c r="AE696" s="281"/>
      <c r="AF696" s="2"/>
      <c r="AG696" s="2"/>
      <c r="AH696" s="2"/>
      <c r="AI696" s="28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 ht="12" customHeight="1" x14ac:dyDescent="0.25">
      <c r="A697" s="2"/>
      <c r="B697" s="2"/>
      <c r="C697" s="2"/>
      <c r="D697" s="2"/>
      <c r="E697" s="2"/>
      <c r="F697" s="2"/>
      <c r="G697" s="26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81"/>
      <c r="AC697" s="2"/>
      <c r="AD697" s="2"/>
      <c r="AE697" s="281"/>
      <c r="AF697" s="2"/>
      <c r="AG697" s="2"/>
      <c r="AH697" s="2"/>
      <c r="AI697" s="28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 ht="12" customHeight="1" x14ac:dyDescent="0.25">
      <c r="A698" s="2"/>
      <c r="B698" s="2"/>
      <c r="C698" s="2"/>
      <c r="D698" s="2"/>
      <c r="E698" s="2"/>
      <c r="F698" s="2"/>
      <c r="G698" s="26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81"/>
      <c r="AC698" s="2"/>
      <c r="AD698" s="2"/>
      <c r="AE698" s="281"/>
      <c r="AF698" s="2"/>
      <c r="AG698" s="2"/>
      <c r="AH698" s="2"/>
      <c r="AI698" s="28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 ht="12" customHeight="1" x14ac:dyDescent="0.25">
      <c r="A699" s="2"/>
      <c r="B699" s="2"/>
      <c r="C699" s="2"/>
      <c r="D699" s="2"/>
      <c r="E699" s="2"/>
      <c r="F699" s="2"/>
      <c r="G699" s="26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81"/>
      <c r="AC699" s="2"/>
      <c r="AD699" s="2"/>
      <c r="AE699" s="281"/>
      <c r="AF699" s="2"/>
      <c r="AG699" s="2"/>
      <c r="AH699" s="2"/>
      <c r="AI699" s="28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 ht="12" customHeight="1" x14ac:dyDescent="0.25">
      <c r="A700" s="2"/>
      <c r="B700" s="2"/>
      <c r="C700" s="2"/>
      <c r="D700" s="2"/>
      <c r="E700" s="2"/>
      <c r="F700" s="2"/>
      <c r="G700" s="26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81"/>
      <c r="AC700" s="2"/>
      <c r="AD700" s="2"/>
      <c r="AE700" s="281"/>
      <c r="AF700" s="2"/>
      <c r="AG700" s="2"/>
      <c r="AH700" s="2"/>
      <c r="AI700" s="28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 ht="12" customHeight="1" x14ac:dyDescent="0.25">
      <c r="A701" s="2"/>
      <c r="B701" s="2"/>
      <c r="C701" s="2"/>
      <c r="D701" s="2"/>
      <c r="E701" s="2"/>
      <c r="F701" s="2"/>
      <c r="G701" s="26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81"/>
      <c r="AC701" s="2"/>
      <c r="AD701" s="2"/>
      <c r="AE701" s="281"/>
      <c r="AF701" s="2"/>
      <c r="AG701" s="2"/>
      <c r="AH701" s="2"/>
      <c r="AI701" s="28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 ht="12" customHeight="1" x14ac:dyDescent="0.25">
      <c r="A702" s="2"/>
      <c r="B702" s="2"/>
      <c r="C702" s="2"/>
      <c r="D702" s="2"/>
      <c r="E702" s="2"/>
      <c r="F702" s="2"/>
      <c r="G702" s="26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81"/>
      <c r="AC702" s="2"/>
      <c r="AD702" s="2"/>
      <c r="AE702" s="281"/>
      <c r="AF702" s="2"/>
      <c r="AG702" s="2"/>
      <c r="AH702" s="2"/>
      <c r="AI702" s="28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 ht="12" customHeight="1" x14ac:dyDescent="0.25">
      <c r="A703" s="2"/>
      <c r="B703" s="2"/>
      <c r="C703" s="2"/>
      <c r="D703" s="2"/>
      <c r="E703" s="2"/>
      <c r="F703" s="2"/>
      <c r="G703" s="26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81"/>
      <c r="AC703" s="2"/>
      <c r="AD703" s="2"/>
      <c r="AE703" s="281"/>
      <c r="AF703" s="2"/>
      <c r="AG703" s="2"/>
      <c r="AH703" s="2"/>
      <c r="AI703" s="28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 ht="12" customHeight="1" x14ac:dyDescent="0.25">
      <c r="A704" s="2"/>
      <c r="B704" s="2"/>
      <c r="C704" s="2"/>
      <c r="D704" s="2"/>
      <c r="E704" s="2"/>
      <c r="F704" s="2"/>
      <c r="G704" s="26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81"/>
      <c r="AC704" s="2"/>
      <c r="AD704" s="2"/>
      <c r="AE704" s="281"/>
      <c r="AF704" s="2"/>
      <c r="AG704" s="2"/>
      <c r="AH704" s="2"/>
      <c r="AI704" s="28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 ht="12" customHeight="1" x14ac:dyDescent="0.25">
      <c r="A705" s="2"/>
      <c r="B705" s="2"/>
      <c r="C705" s="2"/>
      <c r="D705" s="2"/>
      <c r="E705" s="2"/>
      <c r="F705" s="2"/>
      <c r="G705" s="26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81"/>
      <c r="AC705" s="2"/>
      <c r="AD705" s="2"/>
      <c r="AE705" s="281"/>
      <c r="AF705" s="2"/>
      <c r="AG705" s="2"/>
      <c r="AH705" s="2"/>
      <c r="AI705" s="28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 ht="12" customHeight="1" x14ac:dyDescent="0.25">
      <c r="A706" s="2"/>
      <c r="B706" s="2"/>
      <c r="C706" s="2"/>
      <c r="D706" s="2"/>
      <c r="E706" s="2"/>
      <c r="F706" s="2"/>
      <c r="G706" s="26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81"/>
      <c r="AC706" s="2"/>
      <c r="AD706" s="2"/>
      <c r="AE706" s="281"/>
      <c r="AF706" s="2"/>
      <c r="AG706" s="2"/>
      <c r="AH706" s="2"/>
      <c r="AI706" s="28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 ht="12" customHeight="1" x14ac:dyDescent="0.25">
      <c r="A707" s="2"/>
      <c r="B707" s="2"/>
      <c r="C707" s="2"/>
      <c r="D707" s="2"/>
      <c r="E707" s="2"/>
      <c r="F707" s="2"/>
      <c r="G707" s="26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81"/>
      <c r="AC707" s="2"/>
      <c r="AD707" s="2"/>
      <c r="AE707" s="281"/>
      <c r="AF707" s="2"/>
      <c r="AG707" s="2"/>
      <c r="AH707" s="2"/>
      <c r="AI707" s="28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 ht="12" customHeight="1" x14ac:dyDescent="0.25">
      <c r="A708" s="2"/>
      <c r="B708" s="2"/>
      <c r="C708" s="2"/>
      <c r="D708" s="2"/>
      <c r="E708" s="2"/>
      <c r="F708" s="2"/>
      <c r="G708" s="26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81"/>
      <c r="AC708" s="2"/>
      <c r="AD708" s="2"/>
      <c r="AE708" s="281"/>
      <c r="AF708" s="2"/>
      <c r="AG708" s="2"/>
      <c r="AH708" s="2"/>
      <c r="AI708" s="28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 ht="12" customHeight="1" x14ac:dyDescent="0.25">
      <c r="A709" s="2"/>
      <c r="B709" s="2"/>
      <c r="C709" s="2"/>
      <c r="D709" s="2"/>
      <c r="E709" s="2"/>
      <c r="F709" s="2"/>
      <c r="G709" s="26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81"/>
      <c r="AC709" s="2"/>
      <c r="AD709" s="2"/>
      <c r="AE709" s="281"/>
      <c r="AF709" s="2"/>
      <c r="AG709" s="2"/>
      <c r="AH709" s="2"/>
      <c r="AI709" s="28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 ht="12" customHeight="1" x14ac:dyDescent="0.25">
      <c r="A710" s="2"/>
      <c r="B710" s="2"/>
      <c r="C710" s="2"/>
      <c r="D710" s="2"/>
      <c r="E710" s="2"/>
      <c r="F710" s="2"/>
      <c r="G710" s="26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81"/>
      <c r="AC710" s="2"/>
      <c r="AD710" s="2"/>
      <c r="AE710" s="281"/>
      <c r="AF710" s="2"/>
      <c r="AG710" s="2"/>
      <c r="AH710" s="2"/>
      <c r="AI710" s="28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 ht="12" customHeight="1" x14ac:dyDescent="0.25">
      <c r="A711" s="2"/>
      <c r="B711" s="2"/>
      <c r="C711" s="2"/>
      <c r="D711" s="2"/>
      <c r="E711" s="2"/>
      <c r="F711" s="2"/>
      <c r="G711" s="26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81"/>
      <c r="AC711" s="2"/>
      <c r="AD711" s="2"/>
      <c r="AE711" s="281"/>
      <c r="AF711" s="2"/>
      <c r="AG711" s="2"/>
      <c r="AH711" s="2"/>
      <c r="AI711" s="28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 ht="12" customHeight="1" x14ac:dyDescent="0.25">
      <c r="A712" s="2"/>
      <c r="B712" s="2"/>
      <c r="C712" s="2"/>
      <c r="D712" s="2"/>
      <c r="E712" s="2"/>
      <c r="F712" s="2"/>
      <c r="G712" s="26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81"/>
      <c r="AC712" s="2"/>
      <c r="AD712" s="2"/>
      <c r="AE712" s="281"/>
      <c r="AF712" s="2"/>
      <c r="AG712" s="2"/>
      <c r="AH712" s="2"/>
      <c r="AI712" s="28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 ht="12" customHeight="1" x14ac:dyDescent="0.25">
      <c r="A713" s="2"/>
      <c r="B713" s="2"/>
      <c r="C713" s="2"/>
      <c r="D713" s="2"/>
      <c r="E713" s="2"/>
      <c r="F713" s="2"/>
      <c r="G713" s="26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81"/>
      <c r="AC713" s="2"/>
      <c r="AD713" s="2"/>
      <c r="AE713" s="281"/>
      <c r="AF713" s="2"/>
      <c r="AG713" s="2"/>
      <c r="AH713" s="2"/>
      <c r="AI713" s="28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 ht="12" customHeight="1" x14ac:dyDescent="0.25">
      <c r="A714" s="2"/>
      <c r="B714" s="2"/>
      <c r="C714" s="2"/>
      <c r="D714" s="2"/>
      <c r="E714" s="2"/>
      <c r="F714" s="2"/>
      <c r="G714" s="26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81"/>
      <c r="AC714" s="2"/>
      <c r="AD714" s="2"/>
      <c r="AE714" s="281"/>
      <c r="AF714" s="2"/>
      <c r="AG714" s="2"/>
      <c r="AH714" s="2"/>
      <c r="AI714" s="28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 ht="12" customHeight="1" x14ac:dyDescent="0.25">
      <c r="A715" s="2"/>
      <c r="B715" s="2"/>
      <c r="C715" s="2"/>
      <c r="D715" s="2"/>
      <c r="E715" s="2"/>
      <c r="F715" s="2"/>
      <c r="G715" s="26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81"/>
      <c r="AC715" s="2"/>
      <c r="AD715" s="2"/>
      <c r="AE715" s="281"/>
      <c r="AF715" s="2"/>
      <c r="AG715" s="2"/>
      <c r="AH715" s="2"/>
      <c r="AI715" s="28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 ht="12" customHeight="1" x14ac:dyDescent="0.25">
      <c r="A716" s="2"/>
      <c r="B716" s="2"/>
      <c r="C716" s="2"/>
      <c r="D716" s="2"/>
      <c r="E716" s="2"/>
      <c r="F716" s="2"/>
      <c r="G716" s="26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81"/>
      <c r="AC716" s="2"/>
      <c r="AD716" s="2"/>
      <c r="AE716" s="281"/>
      <c r="AF716" s="2"/>
      <c r="AG716" s="2"/>
      <c r="AH716" s="2"/>
      <c r="AI716" s="28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 ht="12" customHeight="1" x14ac:dyDescent="0.25">
      <c r="A717" s="2"/>
      <c r="B717" s="2"/>
      <c r="C717" s="2"/>
      <c r="D717" s="2"/>
      <c r="E717" s="2"/>
      <c r="F717" s="2"/>
      <c r="G717" s="26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81"/>
      <c r="AC717" s="2"/>
      <c r="AD717" s="2"/>
      <c r="AE717" s="281"/>
      <c r="AF717" s="2"/>
      <c r="AG717" s="2"/>
      <c r="AH717" s="2"/>
      <c r="AI717" s="28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 ht="12" customHeight="1" x14ac:dyDescent="0.25">
      <c r="A718" s="2"/>
      <c r="B718" s="2"/>
      <c r="C718" s="2"/>
      <c r="D718" s="2"/>
      <c r="E718" s="2"/>
      <c r="F718" s="2"/>
      <c r="G718" s="26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81"/>
      <c r="AC718" s="2"/>
      <c r="AD718" s="2"/>
      <c r="AE718" s="281"/>
      <c r="AF718" s="2"/>
      <c r="AG718" s="2"/>
      <c r="AH718" s="2"/>
      <c r="AI718" s="28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 ht="12" customHeight="1" x14ac:dyDescent="0.25">
      <c r="A719" s="2"/>
      <c r="B719" s="2"/>
      <c r="C719" s="2"/>
      <c r="D719" s="2"/>
      <c r="E719" s="2"/>
      <c r="F719" s="2"/>
      <c r="G719" s="26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81"/>
      <c r="AC719" s="2"/>
      <c r="AD719" s="2"/>
      <c r="AE719" s="281"/>
      <c r="AF719" s="2"/>
      <c r="AG719" s="2"/>
      <c r="AH719" s="2"/>
      <c r="AI719" s="28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 ht="12" customHeight="1" x14ac:dyDescent="0.25">
      <c r="A720" s="2"/>
      <c r="B720" s="2"/>
      <c r="C720" s="2"/>
      <c r="D720" s="2"/>
      <c r="E720" s="2"/>
      <c r="F720" s="2"/>
      <c r="G720" s="26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81"/>
      <c r="AC720" s="2"/>
      <c r="AD720" s="2"/>
      <c r="AE720" s="281"/>
      <c r="AF720" s="2"/>
      <c r="AG720" s="2"/>
      <c r="AH720" s="2"/>
      <c r="AI720" s="28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 ht="12" customHeight="1" x14ac:dyDescent="0.25">
      <c r="A721" s="2"/>
      <c r="B721" s="2"/>
      <c r="C721" s="2"/>
      <c r="D721" s="2"/>
      <c r="E721" s="2"/>
      <c r="F721" s="2"/>
      <c r="G721" s="26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81"/>
      <c r="AC721" s="2"/>
      <c r="AD721" s="2"/>
      <c r="AE721" s="281"/>
      <c r="AF721" s="2"/>
      <c r="AG721" s="2"/>
      <c r="AH721" s="2"/>
      <c r="AI721" s="28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 ht="12" customHeight="1" x14ac:dyDescent="0.25">
      <c r="A722" s="2"/>
      <c r="B722" s="2"/>
      <c r="C722" s="2"/>
      <c r="D722" s="2"/>
      <c r="E722" s="2"/>
      <c r="F722" s="2"/>
      <c r="G722" s="26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81"/>
      <c r="AC722" s="2"/>
      <c r="AD722" s="2"/>
      <c r="AE722" s="281"/>
      <c r="AF722" s="2"/>
      <c r="AG722" s="2"/>
      <c r="AH722" s="2"/>
      <c r="AI722" s="28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 ht="12" customHeight="1" x14ac:dyDescent="0.25">
      <c r="A723" s="2"/>
      <c r="B723" s="2"/>
      <c r="C723" s="2"/>
      <c r="D723" s="2"/>
      <c r="E723" s="2"/>
      <c r="F723" s="2"/>
      <c r="G723" s="26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81"/>
      <c r="AC723" s="2"/>
      <c r="AD723" s="2"/>
      <c r="AE723" s="281"/>
      <c r="AF723" s="2"/>
      <c r="AG723" s="2"/>
      <c r="AH723" s="2"/>
      <c r="AI723" s="28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 ht="12" customHeight="1" x14ac:dyDescent="0.25">
      <c r="A724" s="2"/>
      <c r="B724" s="2"/>
      <c r="C724" s="2"/>
      <c r="D724" s="2"/>
      <c r="E724" s="2"/>
      <c r="F724" s="2"/>
      <c r="G724" s="26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81"/>
      <c r="AC724" s="2"/>
      <c r="AD724" s="2"/>
      <c r="AE724" s="281"/>
      <c r="AF724" s="2"/>
      <c r="AG724" s="2"/>
      <c r="AH724" s="2"/>
      <c r="AI724" s="28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 ht="12" customHeight="1" x14ac:dyDescent="0.25">
      <c r="A725" s="2"/>
      <c r="B725" s="2"/>
      <c r="C725" s="2"/>
      <c r="D725" s="2"/>
      <c r="E725" s="2"/>
      <c r="F725" s="2"/>
      <c r="G725" s="26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81"/>
      <c r="AC725" s="2"/>
      <c r="AD725" s="2"/>
      <c r="AE725" s="281"/>
      <c r="AF725" s="2"/>
      <c r="AG725" s="2"/>
      <c r="AH725" s="2"/>
      <c r="AI725" s="28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 ht="12" customHeight="1" x14ac:dyDescent="0.25">
      <c r="A726" s="2"/>
      <c r="B726" s="2"/>
      <c r="C726" s="2"/>
      <c r="D726" s="2"/>
      <c r="E726" s="2"/>
      <c r="F726" s="2"/>
      <c r="G726" s="26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81"/>
      <c r="AC726" s="2"/>
      <c r="AD726" s="2"/>
      <c r="AE726" s="281"/>
      <c r="AF726" s="2"/>
      <c r="AG726" s="2"/>
      <c r="AH726" s="2"/>
      <c r="AI726" s="28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 ht="12" customHeight="1" x14ac:dyDescent="0.25">
      <c r="A727" s="2"/>
      <c r="B727" s="2"/>
      <c r="C727" s="2"/>
      <c r="D727" s="2"/>
      <c r="E727" s="2"/>
      <c r="F727" s="2"/>
      <c r="G727" s="26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81"/>
      <c r="AC727" s="2"/>
      <c r="AD727" s="2"/>
      <c r="AE727" s="281"/>
      <c r="AF727" s="2"/>
      <c r="AG727" s="2"/>
      <c r="AH727" s="2"/>
      <c r="AI727" s="28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 ht="12" customHeight="1" x14ac:dyDescent="0.25">
      <c r="A728" s="2"/>
      <c r="B728" s="2"/>
      <c r="C728" s="2"/>
      <c r="D728" s="2"/>
      <c r="E728" s="2"/>
      <c r="F728" s="2"/>
      <c r="G728" s="26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81"/>
      <c r="AC728" s="2"/>
      <c r="AD728" s="2"/>
      <c r="AE728" s="281"/>
      <c r="AF728" s="2"/>
      <c r="AG728" s="2"/>
      <c r="AH728" s="2"/>
      <c r="AI728" s="28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 ht="12" customHeight="1" x14ac:dyDescent="0.25">
      <c r="A729" s="2"/>
      <c r="B729" s="2"/>
      <c r="C729" s="2"/>
      <c r="D729" s="2"/>
      <c r="E729" s="2"/>
      <c r="F729" s="2"/>
      <c r="G729" s="26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81"/>
      <c r="AC729" s="2"/>
      <c r="AD729" s="2"/>
      <c r="AE729" s="281"/>
      <c r="AF729" s="2"/>
      <c r="AG729" s="2"/>
      <c r="AH729" s="2"/>
      <c r="AI729" s="28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 ht="12" customHeight="1" x14ac:dyDescent="0.25">
      <c r="A730" s="2"/>
      <c r="B730" s="2"/>
      <c r="C730" s="2"/>
      <c r="D730" s="2"/>
      <c r="E730" s="2"/>
      <c r="F730" s="2"/>
      <c r="G730" s="26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81"/>
      <c r="AC730" s="2"/>
      <c r="AD730" s="2"/>
      <c r="AE730" s="281"/>
      <c r="AF730" s="2"/>
      <c r="AG730" s="2"/>
      <c r="AH730" s="2"/>
      <c r="AI730" s="28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 ht="12" customHeight="1" x14ac:dyDescent="0.25">
      <c r="A731" s="2"/>
      <c r="B731" s="2"/>
      <c r="C731" s="2"/>
      <c r="D731" s="2"/>
      <c r="E731" s="2"/>
      <c r="F731" s="2"/>
      <c r="G731" s="26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81"/>
      <c r="AC731" s="2"/>
      <c r="AD731" s="2"/>
      <c r="AE731" s="281"/>
      <c r="AF731" s="2"/>
      <c r="AG731" s="2"/>
      <c r="AH731" s="2"/>
      <c r="AI731" s="28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 ht="12" customHeight="1" x14ac:dyDescent="0.25">
      <c r="A732" s="2"/>
      <c r="B732" s="2"/>
      <c r="C732" s="2"/>
      <c r="D732" s="2"/>
      <c r="E732" s="2"/>
      <c r="F732" s="2"/>
      <c r="G732" s="26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81"/>
      <c r="AC732" s="2"/>
      <c r="AD732" s="2"/>
      <c r="AE732" s="281"/>
      <c r="AF732" s="2"/>
      <c r="AG732" s="2"/>
      <c r="AH732" s="2"/>
      <c r="AI732" s="28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 ht="12" customHeight="1" x14ac:dyDescent="0.25">
      <c r="A733" s="2"/>
      <c r="B733" s="2"/>
      <c r="C733" s="2"/>
      <c r="D733" s="2"/>
      <c r="E733" s="2"/>
      <c r="F733" s="2"/>
      <c r="G733" s="26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81"/>
      <c r="AC733" s="2"/>
      <c r="AD733" s="2"/>
      <c r="AE733" s="281"/>
      <c r="AF733" s="2"/>
      <c r="AG733" s="2"/>
      <c r="AH733" s="2"/>
      <c r="AI733" s="28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 ht="12" customHeight="1" x14ac:dyDescent="0.25">
      <c r="A734" s="2"/>
      <c r="B734" s="2"/>
      <c r="C734" s="2"/>
      <c r="D734" s="2"/>
      <c r="E734" s="2"/>
      <c r="F734" s="2"/>
      <c r="G734" s="26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81"/>
      <c r="AC734" s="2"/>
      <c r="AD734" s="2"/>
      <c r="AE734" s="281"/>
      <c r="AF734" s="2"/>
      <c r="AG734" s="2"/>
      <c r="AH734" s="2"/>
      <c r="AI734" s="28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 ht="12" customHeight="1" x14ac:dyDescent="0.25">
      <c r="A735" s="2"/>
      <c r="B735" s="2"/>
      <c r="C735" s="2"/>
      <c r="D735" s="2"/>
      <c r="E735" s="2"/>
      <c r="F735" s="2"/>
      <c r="G735" s="26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81"/>
      <c r="AC735" s="2"/>
      <c r="AD735" s="2"/>
      <c r="AE735" s="281"/>
      <c r="AF735" s="2"/>
      <c r="AG735" s="2"/>
      <c r="AH735" s="2"/>
      <c r="AI735" s="28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 ht="12" customHeight="1" x14ac:dyDescent="0.25">
      <c r="A736" s="2"/>
      <c r="B736" s="2"/>
      <c r="C736" s="2"/>
      <c r="D736" s="2"/>
      <c r="E736" s="2"/>
      <c r="F736" s="2"/>
      <c r="G736" s="26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81"/>
      <c r="AC736" s="2"/>
      <c r="AD736" s="2"/>
      <c r="AE736" s="281"/>
      <c r="AF736" s="2"/>
      <c r="AG736" s="2"/>
      <c r="AH736" s="2"/>
      <c r="AI736" s="28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 ht="12" customHeight="1" x14ac:dyDescent="0.25">
      <c r="A737" s="2"/>
      <c r="B737" s="2"/>
      <c r="C737" s="2"/>
      <c r="D737" s="2"/>
      <c r="E737" s="2"/>
      <c r="F737" s="2"/>
      <c r="G737" s="26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81"/>
      <c r="AC737" s="2"/>
      <c r="AD737" s="2"/>
      <c r="AE737" s="281"/>
      <c r="AF737" s="2"/>
      <c r="AG737" s="2"/>
      <c r="AH737" s="2"/>
      <c r="AI737" s="28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 ht="12" customHeight="1" x14ac:dyDescent="0.25">
      <c r="A738" s="2"/>
      <c r="B738" s="2"/>
      <c r="C738" s="2"/>
      <c r="D738" s="2"/>
      <c r="E738" s="2"/>
      <c r="F738" s="2"/>
      <c r="G738" s="26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81"/>
      <c r="AC738" s="2"/>
      <c r="AD738" s="2"/>
      <c r="AE738" s="281"/>
      <c r="AF738" s="2"/>
      <c r="AG738" s="2"/>
      <c r="AH738" s="2"/>
      <c r="AI738" s="28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 ht="12" customHeight="1" x14ac:dyDescent="0.25">
      <c r="A739" s="2"/>
      <c r="B739" s="2"/>
      <c r="C739" s="2"/>
      <c r="D739" s="2"/>
      <c r="E739" s="2"/>
      <c r="F739" s="2"/>
      <c r="G739" s="26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81"/>
      <c r="AC739" s="2"/>
      <c r="AD739" s="2"/>
      <c r="AE739" s="281"/>
      <c r="AF739" s="2"/>
      <c r="AG739" s="2"/>
      <c r="AH739" s="2"/>
      <c r="AI739" s="28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 ht="12" customHeight="1" x14ac:dyDescent="0.25">
      <c r="A740" s="2"/>
      <c r="B740" s="2"/>
      <c r="C740" s="2"/>
      <c r="D740" s="2"/>
      <c r="E740" s="2"/>
      <c r="F740" s="2"/>
      <c r="G740" s="26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81"/>
      <c r="AC740" s="2"/>
      <c r="AD740" s="2"/>
      <c r="AE740" s="281"/>
      <c r="AF740" s="2"/>
      <c r="AG740" s="2"/>
      <c r="AH740" s="2"/>
      <c r="AI740" s="28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 ht="12" customHeight="1" x14ac:dyDescent="0.25">
      <c r="A741" s="2"/>
      <c r="B741" s="2"/>
      <c r="C741" s="2"/>
      <c r="D741" s="2"/>
      <c r="E741" s="2"/>
      <c r="F741" s="2"/>
      <c r="G741" s="26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81"/>
      <c r="AC741" s="2"/>
      <c r="AD741" s="2"/>
      <c r="AE741" s="281"/>
      <c r="AF741" s="2"/>
      <c r="AG741" s="2"/>
      <c r="AH741" s="2"/>
      <c r="AI741" s="28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 ht="12" customHeight="1" x14ac:dyDescent="0.25">
      <c r="A742" s="2"/>
      <c r="B742" s="2"/>
      <c r="C742" s="2"/>
      <c r="D742" s="2"/>
      <c r="E742" s="2"/>
      <c r="F742" s="2"/>
      <c r="G742" s="26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81"/>
      <c r="AC742" s="2"/>
      <c r="AD742" s="2"/>
      <c r="AE742" s="281"/>
      <c r="AF742" s="2"/>
      <c r="AG742" s="2"/>
      <c r="AH742" s="2"/>
      <c r="AI742" s="28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 ht="12" customHeight="1" x14ac:dyDescent="0.25">
      <c r="A743" s="2"/>
      <c r="B743" s="2"/>
      <c r="C743" s="2"/>
      <c r="D743" s="2"/>
      <c r="E743" s="2"/>
      <c r="F743" s="2"/>
      <c r="G743" s="26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81"/>
      <c r="AC743" s="2"/>
      <c r="AD743" s="2"/>
      <c r="AE743" s="281"/>
      <c r="AF743" s="2"/>
      <c r="AG743" s="2"/>
      <c r="AH743" s="2"/>
      <c r="AI743" s="28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 ht="12" customHeight="1" x14ac:dyDescent="0.25">
      <c r="A744" s="2"/>
      <c r="B744" s="2"/>
      <c r="C744" s="2"/>
      <c r="D744" s="2"/>
      <c r="E744" s="2"/>
      <c r="F744" s="2"/>
      <c r="G744" s="26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81"/>
      <c r="AC744" s="2"/>
      <c r="AD744" s="2"/>
      <c r="AE744" s="281"/>
      <c r="AF744" s="2"/>
      <c r="AG744" s="2"/>
      <c r="AH744" s="2"/>
      <c r="AI744" s="28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 ht="12" customHeight="1" x14ac:dyDescent="0.25">
      <c r="A745" s="2"/>
      <c r="B745" s="2"/>
      <c r="C745" s="2"/>
      <c r="D745" s="2"/>
      <c r="E745" s="2"/>
      <c r="F745" s="2"/>
      <c r="G745" s="26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81"/>
      <c r="AC745" s="2"/>
      <c r="AD745" s="2"/>
      <c r="AE745" s="281"/>
      <c r="AF745" s="2"/>
      <c r="AG745" s="2"/>
      <c r="AH745" s="2"/>
      <c r="AI745" s="28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 ht="12" customHeight="1" x14ac:dyDescent="0.25">
      <c r="A746" s="2"/>
      <c r="B746" s="2"/>
      <c r="C746" s="2"/>
      <c r="D746" s="2"/>
      <c r="E746" s="2"/>
      <c r="F746" s="2"/>
      <c r="G746" s="26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81"/>
      <c r="AC746" s="2"/>
      <c r="AD746" s="2"/>
      <c r="AE746" s="281"/>
      <c r="AF746" s="2"/>
      <c r="AG746" s="2"/>
      <c r="AH746" s="2"/>
      <c r="AI746" s="28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 ht="12" customHeight="1" x14ac:dyDescent="0.25">
      <c r="A747" s="2"/>
      <c r="B747" s="2"/>
      <c r="C747" s="2"/>
      <c r="D747" s="2"/>
      <c r="E747" s="2"/>
      <c r="F747" s="2"/>
      <c r="G747" s="26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81"/>
      <c r="AC747" s="2"/>
      <c r="AD747" s="2"/>
      <c r="AE747" s="281"/>
      <c r="AF747" s="2"/>
      <c r="AG747" s="2"/>
      <c r="AH747" s="2"/>
      <c r="AI747" s="28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 ht="12" customHeight="1" x14ac:dyDescent="0.25">
      <c r="A748" s="2"/>
      <c r="B748" s="2"/>
      <c r="C748" s="2"/>
      <c r="D748" s="2"/>
      <c r="E748" s="2"/>
      <c r="F748" s="2"/>
      <c r="G748" s="26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81"/>
      <c r="AC748" s="2"/>
      <c r="AD748" s="2"/>
      <c r="AE748" s="281"/>
      <c r="AF748" s="2"/>
      <c r="AG748" s="2"/>
      <c r="AH748" s="2"/>
      <c r="AI748" s="28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 ht="12" customHeight="1" x14ac:dyDescent="0.25">
      <c r="A749" s="2"/>
      <c r="B749" s="2"/>
      <c r="C749" s="2"/>
      <c r="D749" s="2"/>
      <c r="E749" s="2"/>
      <c r="F749" s="2"/>
      <c r="G749" s="26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81"/>
      <c r="AC749" s="2"/>
      <c r="AD749" s="2"/>
      <c r="AE749" s="281"/>
      <c r="AF749" s="2"/>
      <c r="AG749" s="2"/>
      <c r="AH749" s="2"/>
      <c r="AI749" s="28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 ht="12" customHeight="1" x14ac:dyDescent="0.25">
      <c r="A750" s="2"/>
      <c r="B750" s="2"/>
      <c r="C750" s="2"/>
      <c r="D750" s="2"/>
      <c r="E750" s="2"/>
      <c r="F750" s="2"/>
      <c r="G750" s="26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81"/>
      <c r="AC750" s="2"/>
      <c r="AD750" s="2"/>
      <c r="AE750" s="281"/>
      <c r="AF750" s="2"/>
      <c r="AG750" s="2"/>
      <c r="AH750" s="2"/>
      <c r="AI750" s="28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 ht="12" customHeight="1" x14ac:dyDescent="0.25">
      <c r="A751" s="2"/>
      <c r="B751" s="2"/>
      <c r="C751" s="2"/>
      <c r="D751" s="2"/>
      <c r="E751" s="2"/>
      <c r="F751" s="2"/>
      <c r="G751" s="26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81"/>
      <c r="AC751" s="2"/>
      <c r="AD751" s="2"/>
      <c r="AE751" s="281"/>
      <c r="AF751" s="2"/>
      <c r="AG751" s="2"/>
      <c r="AH751" s="2"/>
      <c r="AI751" s="28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 ht="12" customHeight="1" x14ac:dyDescent="0.25">
      <c r="A752" s="2"/>
      <c r="B752" s="2"/>
      <c r="C752" s="2"/>
      <c r="D752" s="2"/>
      <c r="E752" s="2"/>
      <c r="F752" s="2"/>
      <c r="G752" s="26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81"/>
      <c r="AC752" s="2"/>
      <c r="AD752" s="2"/>
      <c r="AE752" s="281"/>
      <c r="AF752" s="2"/>
      <c r="AG752" s="2"/>
      <c r="AH752" s="2"/>
      <c r="AI752" s="28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 ht="12" customHeight="1" x14ac:dyDescent="0.25">
      <c r="A753" s="2"/>
      <c r="B753" s="2"/>
      <c r="C753" s="2"/>
      <c r="D753" s="2"/>
      <c r="E753" s="2"/>
      <c r="F753" s="2"/>
      <c r="G753" s="26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81"/>
      <c r="AC753" s="2"/>
      <c r="AD753" s="2"/>
      <c r="AE753" s="281"/>
      <c r="AF753" s="2"/>
      <c r="AG753" s="2"/>
      <c r="AH753" s="2"/>
      <c r="AI753" s="28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 ht="12" customHeight="1" x14ac:dyDescent="0.25">
      <c r="A754" s="2"/>
      <c r="B754" s="2"/>
      <c r="C754" s="2"/>
      <c r="D754" s="2"/>
      <c r="E754" s="2"/>
      <c r="F754" s="2"/>
      <c r="G754" s="26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81"/>
      <c r="AC754" s="2"/>
      <c r="AD754" s="2"/>
      <c r="AE754" s="281"/>
      <c r="AF754" s="2"/>
      <c r="AG754" s="2"/>
      <c r="AH754" s="2"/>
      <c r="AI754" s="28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 ht="12" customHeight="1" x14ac:dyDescent="0.25">
      <c r="A755" s="2"/>
      <c r="B755" s="2"/>
      <c r="C755" s="2"/>
      <c r="D755" s="2"/>
      <c r="E755" s="2"/>
      <c r="F755" s="2"/>
      <c r="G755" s="26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81"/>
      <c r="AC755" s="2"/>
      <c r="AD755" s="2"/>
      <c r="AE755" s="281"/>
      <c r="AF755" s="2"/>
      <c r="AG755" s="2"/>
      <c r="AH755" s="2"/>
      <c r="AI755" s="28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 ht="12" customHeight="1" x14ac:dyDescent="0.25">
      <c r="A756" s="2"/>
      <c r="B756" s="2"/>
      <c r="C756" s="2"/>
      <c r="D756" s="2"/>
      <c r="E756" s="2"/>
      <c r="F756" s="2"/>
      <c r="G756" s="26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81"/>
      <c r="AC756" s="2"/>
      <c r="AD756" s="2"/>
      <c r="AE756" s="281"/>
      <c r="AF756" s="2"/>
      <c r="AG756" s="2"/>
      <c r="AH756" s="2"/>
      <c r="AI756" s="28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 ht="12" customHeight="1" x14ac:dyDescent="0.25">
      <c r="A757" s="2"/>
      <c r="B757" s="2"/>
      <c r="C757" s="2"/>
      <c r="D757" s="2"/>
      <c r="E757" s="2"/>
      <c r="F757" s="2"/>
      <c r="G757" s="26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81"/>
      <c r="AC757" s="2"/>
      <c r="AD757" s="2"/>
      <c r="AE757" s="281"/>
      <c r="AF757" s="2"/>
      <c r="AG757" s="2"/>
      <c r="AH757" s="2"/>
      <c r="AI757" s="28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 ht="12" customHeight="1" x14ac:dyDescent="0.25">
      <c r="A758" s="2"/>
      <c r="B758" s="2"/>
      <c r="C758" s="2"/>
      <c r="D758" s="2"/>
      <c r="E758" s="2"/>
      <c r="F758" s="2"/>
      <c r="G758" s="26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81"/>
      <c r="AC758" s="2"/>
      <c r="AD758" s="2"/>
      <c r="AE758" s="281"/>
      <c r="AF758" s="2"/>
      <c r="AG758" s="2"/>
      <c r="AH758" s="2"/>
      <c r="AI758" s="28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 ht="12" customHeight="1" x14ac:dyDescent="0.25">
      <c r="A759" s="2"/>
      <c r="B759" s="2"/>
      <c r="C759" s="2"/>
      <c r="D759" s="2"/>
      <c r="E759" s="2"/>
      <c r="F759" s="2"/>
      <c r="G759" s="26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81"/>
      <c r="AC759" s="2"/>
      <c r="AD759" s="2"/>
      <c r="AE759" s="281"/>
      <c r="AF759" s="2"/>
      <c r="AG759" s="2"/>
      <c r="AH759" s="2"/>
      <c r="AI759" s="28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 ht="12" customHeight="1" x14ac:dyDescent="0.25">
      <c r="A760" s="2"/>
      <c r="B760" s="2"/>
      <c r="C760" s="2"/>
      <c r="D760" s="2"/>
      <c r="E760" s="2"/>
      <c r="F760" s="2"/>
      <c r="G760" s="26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81"/>
      <c r="AC760" s="2"/>
      <c r="AD760" s="2"/>
      <c r="AE760" s="281"/>
      <c r="AF760" s="2"/>
      <c r="AG760" s="2"/>
      <c r="AH760" s="2"/>
      <c r="AI760" s="28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 ht="12" customHeight="1" x14ac:dyDescent="0.25">
      <c r="A761" s="2"/>
      <c r="B761" s="2"/>
      <c r="C761" s="2"/>
      <c r="D761" s="2"/>
      <c r="E761" s="2"/>
      <c r="F761" s="2"/>
      <c r="G761" s="26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81"/>
      <c r="AC761" s="2"/>
      <c r="AD761" s="2"/>
      <c r="AE761" s="281"/>
      <c r="AF761" s="2"/>
      <c r="AG761" s="2"/>
      <c r="AH761" s="2"/>
      <c r="AI761" s="28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 ht="12" customHeight="1" x14ac:dyDescent="0.25">
      <c r="A762" s="2"/>
      <c r="B762" s="2"/>
      <c r="C762" s="2"/>
      <c r="D762" s="2"/>
      <c r="E762" s="2"/>
      <c r="F762" s="2"/>
      <c r="G762" s="26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81"/>
      <c r="AC762" s="2"/>
      <c r="AD762" s="2"/>
      <c r="AE762" s="281"/>
      <c r="AF762" s="2"/>
      <c r="AG762" s="2"/>
      <c r="AH762" s="2"/>
      <c r="AI762" s="28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 ht="12" customHeight="1" x14ac:dyDescent="0.25">
      <c r="A763" s="2"/>
      <c r="B763" s="2"/>
      <c r="C763" s="2"/>
      <c r="D763" s="2"/>
      <c r="E763" s="2"/>
      <c r="F763" s="2"/>
      <c r="G763" s="26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81"/>
      <c r="AC763" s="2"/>
      <c r="AD763" s="2"/>
      <c r="AE763" s="281"/>
      <c r="AF763" s="2"/>
      <c r="AG763" s="2"/>
      <c r="AH763" s="2"/>
      <c r="AI763" s="28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 ht="12" customHeight="1" x14ac:dyDescent="0.25">
      <c r="A764" s="2"/>
      <c r="B764" s="2"/>
      <c r="C764" s="2"/>
      <c r="D764" s="2"/>
      <c r="E764" s="2"/>
      <c r="F764" s="2"/>
      <c r="G764" s="26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81"/>
      <c r="AC764" s="2"/>
      <c r="AD764" s="2"/>
      <c r="AE764" s="281"/>
      <c r="AF764" s="2"/>
      <c r="AG764" s="2"/>
      <c r="AH764" s="2"/>
      <c r="AI764" s="28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 ht="12" customHeight="1" x14ac:dyDescent="0.25">
      <c r="A765" s="2"/>
      <c r="B765" s="2"/>
      <c r="C765" s="2"/>
      <c r="D765" s="2"/>
      <c r="E765" s="2"/>
      <c r="F765" s="2"/>
      <c r="G765" s="26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81"/>
      <c r="AC765" s="2"/>
      <c r="AD765" s="2"/>
      <c r="AE765" s="281"/>
      <c r="AF765" s="2"/>
      <c r="AG765" s="2"/>
      <c r="AH765" s="2"/>
      <c r="AI765" s="28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 ht="12" customHeight="1" x14ac:dyDescent="0.25">
      <c r="A766" s="2"/>
      <c r="B766" s="2"/>
      <c r="C766" s="2"/>
      <c r="D766" s="2"/>
      <c r="E766" s="2"/>
      <c r="F766" s="2"/>
      <c r="G766" s="26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81"/>
      <c r="AC766" s="2"/>
      <c r="AD766" s="2"/>
      <c r="AE766" s="281"/>
      <c r="AF766" s="2"/>
      <c r="AG766" s="2"/>
      <c r="AH766" s="2"/>
      <c r="AI766" s="28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 ht="12" customHeight="1" x14ac:dyDescent="0.25">
      <c r="A767" s="2"/>
      <c r="B767" s="2"/>
      <c r="C767" s="2"/>
      <c r="D767" s="2"/>
      <c r="E767" s="2"/>
      <c r="F767" s="2"/>
      <c r="G767" s="26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81"/>
      <c r="AC767" s="2"/>
      <c r="AD767" s="2"/>
      <c r="AE767" s="281"/>
      <c r="AF767" s="2"/>
      <c r="AG767" s="2"/>
      <c r="AH767" s="2"/>
      <c r="AI767" s="28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 ht="12" customHeight="1" x14ac:dyDescent="0.25">
      <c r="A768" s="2"/>
      <c r="B768" s="2"/>
      <c r="C768" s="2"/>
      <c r="D768" s="2"/>
      <c r="E768" s="2"/>
      <c r="F768" s="2"/>
      <c r="G768" s="26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81"/>
      <c r="AC768" s="2"/>
      <c r="AD768" s="2"/>
      <c r="AE768" s="281"/>
      <c r="AF768" s="2"/>
      <c r="AG768" s="2"/>
      <c r="AH768" s="2"/>
      <c r="AI768" s="28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 ht="12" customHeight="1" x14ac:dyDescent="0.25">
      <c r="A769" s="2"/>
      <c r="B769" s="2"/>
      <c r="C769" s="2"/>
      <c r="D769" s="2"/>
      <c r="E769" s="2"/>
      <c r="F769" s="2"/>
      <c r="G769" s="26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81"/>
      <c r="AC769" s="2"/>
      <c r="AD769" s="2"/>
      <c r="AE769" s="281"/>
      <c r="AF769" s="2"/>
      <c r="AG769" s="2"/>
      <c r="AH769" s="2"/>
      <c r="AI769" s="28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 ht="12" customHeight="1" x14ac:dyDescent="0.25">
      <c r="A770" s="2"/>
      <c r="B770" s="2"/>
      <c r="C770" s="2"/>
      <c r="D770" s="2"/>
      <c r="E770" s="2"/>
      <c r="F770" s="2"/>
      <c r="G770" s="26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81"/>
      <c r="AC770" s="2"/>
      <c r="AD770" s="2"/>
      <c r="AE770" s="281"/>
      <c r="AF770" s="2"/>
      <c r="AG770" s="2"/>
      <c r="AH770" s="2"/>
      <c r="AI770" s="28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 ht="12" customHeight="1" x14ac:dyDescent="0.25">
      <c r="A771" s="2"/>
      <c r="B771" s="2"/>
      <c r="C771" s="2"/>
      <c r="D771" s="2"/>
      <c r="E771" s="2"/>
      <c r="F771" s="2"/>
      <c r="G771" s="26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81"/>
      <c r="AC771" s="2"/>
      <c r="AD771" s="2"/>
      <c r="AE771" s="281"/>
      <c r="AF771" s="2"/>
      <c r="AG771" s="2"/>
      <c r="AH771" s="2"/>
      <c r="AI771" s="28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 ht="12" customHeight="1" x14ac:dyDescent="0.25">
      <c r="A772" s="2"/>
      <c r="B772" s="2"/>
      <c r="C772" s="2"/>
      <c r="D772" s="2"/>
      <c r="E772" s="2"/>
      <c r="F772" s="2"/>
      <c r="G772" s="26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81"/>
      <c r="AC772" s="2"/>
      <c r="AD772" s="2"/>
      <c r="AE772" s="281"/>
      <c r="AF772" s="2"/>
      <c r="AG772" s="2"/>
      <c r="AH772" s="2"/>
      <c r="AI772" s="28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 ht="12" customHeight="1" x14ac:dyDescent="0.25">
      <c r="A773" s="2"/>
      <c r="B773" s="2"/>
      <c r="C773" s="2"/>
      <c r="D773" s="2"/>
      <c r="E773" s="2"/>
      <c r="F773" s="2"/>
      <c r="G773" s="26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81"/>
      <c r="AC773" s="2"/>
      <c r="AD773" s="2"/>
      <c r="AE773" s="281"/>
      <c r="AF773" s="2"/>
      <c r="AG773" s="2"/>
      <c r="AH773" s="2"/>
      <c r="AI773" s="28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 ht="12" customHeight="1" x14ac:dyDescent="0.25">
      <c r="A774" s="2"/>
      <c r="B774" s="2"/>
      <c r="C774" s="2"/>
      <c r="D774" s="2"/>
      <c r="E774" s="2"/>
      <c r="F774" s="2"/>
      <c r="G774" s="26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81"/>
      <c r="AC774" s="2"/>
      <c r="AD774" s="2"/>
      <c r="AE774" s="281"/>
      <c r="AF774" s="2"/>
      <c r="AG774" s="2"/>
      <c r="AH774" s="2"/>
      <c r="AI774" s="28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 ht="12" customHeight="1" x14ac:dyDescent="0.25">
      <c r="A775" s="2"/>
      <c r="B775" s="2"/>
      <c r="C775" s="2"/>
      <c r="D775" s="2"/>
      <c r="E775" s="2"/>
      <c r="F775" s="2"/>
      <c r="G775" s="26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81"/>
      <c r="AC775" s="2"/>
      <c r="AD775" s="2"/>
      <c r="AE775" s="281"/>
      <c r="AF775" s="2"/>
      <c r="AG775" s="2"/>
      <c r="AH775" s="2"/>
      <c r="AI775" s="28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 ht="12" customHeight="1" x14ac:dyDescent="0.25">
      <c r="A776" s="2"/>
      <c r="B776" s="2"/>
      <c r="C776" s="2"/>
      <c r="D776" s="2"/>
      <c r="E776" s="2"/>
      <c r="F776" s="2"/>
      <c r="G776" s="26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81"/>
      <c r="AC776" s="2"/>
      <c r="AD776" s="2"/>
      <c r="AE776" s="281"/>
      <c r="AF776" s="2"/>
      <c r="AG776" s="2"/>
      <c r="AH776" s="2"/>
      <c r="AI776" s="28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 ht="12" customHeight="1" x14ac:dyDescent="0.25">
      <c r="A777" s="2"/>
      <c r="B777" s="2"/>
      <c r="C777" s="2"/>
      <c r="D777" s="2"/>
      <c r="E777" s="2"/>
      <c r="F777" s="2"/>
      <c r="G777" s="26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81"/>
      <c r="AC777" s="2"/>
      <c r="AD777" s="2"/>
      <c r="AE777" s="281"/>
      <c r="AF777" s="2"/>
      <c r="AG777" s="2"/>
      <c r="AH777" s="2"/>
      <c r="AI777" s="28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 ht="12" customHeight="1" x14ac:dyDescent="0.25">
      <c r="A778" s="2"/>
      <c r="B778" s="2"/>
      <c r="C778" s="2"/>
      <c r="D778" s="2"/>
      <c r="E778" s="2"/>
      <c r="F778" s="2"/>
      <c r="G778" s="26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81"/>
      <c r="AC778" s="2"/>
      <c r="AD778" s="2"/>
      <c r="AE778" s="281"/>
      <c r="AF778" s="2"/>
      <c r="AG778" s="2"/>
      <c r="AH778" s="2"/>
      <c r="AI778" s="28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 ht="12" customHeight="1" x14ac:dyDescent="0.25">
      <c r="A779" s="2"/>
      <c r="B779" s="2"/>
      <c r="C779" s="2"/>
      <c r="D779" s="2"/>
      <c r="E779" s="2"/>
      <c r="F779" s="2"/>
      <c r="G779" s="26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81"/>
      <c r="AC779" s="2"/>
      <c r="AD779" s="2"/>
      <c r="AE779" s="281"/>
      <c r="AF779" s="2"/>
      <c r="AG779" s="2"/>
      <c r="AH779" s="2"/>
      <c r="AI779" s="28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 ht="12" customHeight="1" x14ac:dyDescent="0.25">
      <c r="A780" s="2"/>
      <c r="B780" s="2"/>
      <c r="C780" s="2"/>
      <c r="D780" s="2"/>
      <c r="E780" s="2"/>
      <c r="F780" s="2"/>
      <c r="G780" s="26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81"/>
      <c r="AC780" s="2"/>
      <c r="AD780" s="2"/>
      <c r="AE780" s="281"/>
      <c r="AF780" s="2"/>
      <c r="AG780" s="2"/>
      <c r="AH780" s="2"/>
      <c r="AI780" s="28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 ht="12" customHeight="1" x14ac:dyDescent="0.25">
      <c r="A781" s="2"/>
      <c r="B781" s="2"/>
      <c r="C781" s="2"/>
      <c r="D781" s="2"/>
      <c r="E781" s="2"/>
      <c r="F781" s="2"/>
      <c r="G781" s="26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81"/>
      <c r="AC781" s="2"/>
      <c r="AD781" s="2"/>
      <c r="AE781" s="281"/>
      <c r="AF781" s="2"/>
      <c r="AG781" s="2"/>
      <c r="AH781" s="2"/>
      <c r="AI781" s="28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 ht="12" customHeight="1" x14ac:dyDescent="0.25">
      <c r="A782" s="2"/>
      <c r="B782" s="2"/>
      <c r="C782" s="2"/>
      <c r="D782" s="2"/>
      <c r="E782" s="2"/>
      <c r="F782" s="2"/>
      <c r="G782" s="26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81"/>
      <c r="AC782" s="2"/>
      <c r="AD782" s="2"/>
      <c r="AE782" s="281"/>
      <c r="AF782" s="2"/>
      <c r="AG782" s="2"/>
      <c r="AH782" s="2"/>
      <c r="AI782" s="28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 ht="12" customHeight="1" x14ac:dyDescent="0.25">
      <c r="A783" s="2"/>
      <c r="B783" s="2"/>
      <c r="C783" s="2"/>
      <c r="D783" s="2"/>
      <c r="E783" s="2"/>
      <c r="F783" s="2"/>
      <c r="G783" s="26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81"/>
      <c r="AC783" s="2"/>
      <c r="AD783" s="2"/>
      <c r="AE783" s="281"/>
      <c r="AF783" s="2"/>
      <c r="AG783" s="2"/>
      <c r="AH783" s="2"/>
      <c r="AI783" s="28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 ht="12" customHeight="1" x14ac:dyDescent="0.25">
      <c r="A784" s="2"/>
      <c r="B784" s="2"/>
      <c r="C784" s="2"/>
      <c r="D784" s="2"/>
      <c r="E784" s="2"/>
      <c r="F784" s="2"/>
      <c r="G784" s="26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81"/>
      <c r="AC784" s="2"/>
      <c r="AD784" s="2"/>
      <c r="AE784" s="281"/>
      <c r="AF784" s="2"/>
      <c r="AG784" s="2"/>
      <c r="AH784" s="2"/>
      <c r="AI784" s="28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 ht="12" customHeight="1" x14ac:dyDescent="0.25">
      <c r="A785" s="2"/>
      <c r="B785" s="2"/>
      <c r="C785" s="2"/>
      <c r="D785" s="2"/>
      <c r="E785" s="2"/>
      <c r="F785" s="2"/>
      <c r="G785" s="26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81"/>
      <c r="AC785" s="2"/>
      <c r="AD785" s="2"/>
      <c r="AE785" s="281"/>
      <c r="AF785" s="2"/>
      <c r="AG785" s="2"/>
      <c r="AH785" s="2"/>
      <c r="AI785" s="28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 ht="12" customHeight="1" x14ac:dyDescent="0.25">
      <c r="A786" s="2"/>
      <c r="B786" s="2"/>
      <c r="C786" s="2"/>
      <c r="D786" s="2"/>
      <c r="E786" s="2"/>
      <c r="F786" s="2"/>
      <c r="G786" s="26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81"/>
      <c r="AC786" s="2"/>
      <c r="AD786" s="2"/>
      <c r="AE786" s="281"/>
      <c r="AF786" s="2"/>
      <c r="AG786" s="2"/>
      <c r="AH786" s="2"/>
      <c r="AI786" s="28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 ht="12" customHeight="1" x14ac:dyDescent="0.25">
      <c r="A787" s="2"/>
      <c r="B787" s="2"/>
      <c r="C787" s="2"/>
      <c r="D787" s="2"/>
      <c r="E787" s="2"/>
      <c r="F787" s="2"/>
      <c r="G787" s="26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81"/>
      <c r="AC787" s="2"/>
      <c r="AD787" s="2"/>
      <c r="AE787" s="281"/>
      <c r="AF787" s="2"/>
      <c r="AG787" s="2"/>
      <c r="AH787" s="2"/>
      <c r="AI787" s="28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 ht="12" customHeight="1" x14ac:dyDescent="0.25">
      <c r="A788" s="2"/>
      <c r="B788" s="2"/>
      <c r="C788" s="2"/>
      <c r="D788" s="2"/>
      <c r="E788" s="2"/>
      <c r="F788" s="2"/>
      <c r="G788" s="26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81"/>
      <c r="AC788" s="2"/>
      <c r="AD788" s="2"/>
      <c r="AE788" s="281"/>
      <c r="AF788" s="2"/>
      <c r="AG788" s="2"/>
      <c r="AH788" s="2"/>
      <c r="AI788" s="28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 ht="12" customHeight="1" x14ac:dyDescent="0.25">
      <c r="A789" s="2"/>
      <c r="B789" s="2"/>
      <c r="C789" s="2"/>
      <c r="D789" s="2"/>
      <c r="E789" s="2"/>
      <c r="F789" s="2"/>
      <c r="G789" s="26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81"/>
      <c r="AC789" s="2"/>
      <c r="AD789" s="2"/>
      <c r="AE789" s="281"/>
      <c r="AF789" s="2"/>
      <c r="AG789" s="2"/>
      <c r="AH789" s="2"/>
      <c r="AI789" s="28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 ht="12" customHeight="1" x14ac:dyDescent="0.25">
      <c r="A790" s="2"/>
      <c r="B790" s="2"/>
      <c r="C790" s="2"/>
      <c r="D790" s="2"/>
      <c r="E790" s="2"/>
      <c r="F790" s="2"/>
      <c r="G790" s="26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81"/>
      <c r="AC790" s="2"/>
      <c r="AD790" s="2"/>
      <c r="AE790" s="281"/>
      <c r="AF790" s="2"/>
      <c r="AG790" s="2"/>
      <c r="AH790" s="2"/>
      <c r="AI790" s="28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 ht="12" customHeight="1" x14ac:dyDescent="0.25">
      <c r="A791" s="2"/>
      <c r="B791" s="2"/>
      <c r="C791" s="2"/>
      <c r="D791" s="2"/>
      <c r="E791" s="2"/>
      <c r="F791" s="2"/>
      <c r="G791" s="26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81"/>
      <c r="AC791" s="2"/>
      <c r="AD791" s="2"/>
      <c r="AE791" s="281"/>
      <c r="AF791" s="2"/>
      <c r="AG791" s="2"/>
      <c r="AH791" s="2"/>
      <c r="AI791" s="28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 ht="12" customHeight="1" x14ac:dyDescent="0.25">
      <c r="A792" s="2"/>
      <c r="B792" s="2"/>
      <c r="C792" s="2"/>
      <c r="D792" s="2"/>
      <c r="E792" s="2"/>
      <c r="F792" s="2"/>
      <c r="G792" s="26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81"/>
      <c r="AC792" s="2"/>
      <c r="AD792" s="2"/>
      <c r="AE792" s="281"/>
      <c r="AF792" s="2"/>
      <c r="AG792" s="2"/>
      <c r="AH792" s="2"/>
      <c r="AI792" s="28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 ht="12" customHeight="1" x14ac:dyDescent="0.25">
      <c r="A793" s="2"/>
      <c r="B793" s="2"/>
      <c r="C793" s="2"/>
      <c r="D793" s="2"/>
      <c r="E793" s="2"/>
      <c r="F793" s="2"/>
      <c r="G793" s="26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81"/>
      <c r="AC793" s="2"/>
      <c r="AD793" s="2"/>
      <c r="AE793" s="281"/>
      <c r="AF793" s="2"/>
      <c r="AG793" s="2"/>
      <c r="AH793" s="2"/>
      <c r="AI793" s="28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 ht="12" customHeight="1" x14ac:dyDescent="0.25">
      <c r="A794" s="2"/>
      <c r="B794" s="2"/>
      <c r="C794" s="2"/>
      <c r="D794" s="2"/>
      <c r="E794" s="2"/>
      <c r="F794" s="2"/>
      <c r="G794" s="26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81"/>
      <c r="AC794" s="2"/>
      <c r="AD794" s="2"/>
      <c r="AE794" s="281"/>
      <c r="AF794" s="2"/>
      <c r="AG794" s="2"/>
      <c r="AH794" s="2"/>
      <c r="AI794" s="28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 ht="12" customHeight="1" x14ac:dyDescent="0.25">
      <c r="A795" s="2"/>
      <c r="B795" s="2"/>
      <c r="C795" s="2"/>
      <c r="D795" s="2"/>
      <c r="E795" s="2"/>
      <c r="F795" s="2"/>
      <c r="G795" s="26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81"/>
      <c r="AC795" s="2"/>
      <c r="AD795" s="2"/>
      <c r="AE795" s="281"/>
      <c r="AF795" s="2"/>
      <c r="AG795" s="2"/>
      <c r="AH795" s="2"/>
      <c r="AI795" s="28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 ht="12" customHeight="1" x14ac:dyDescent="0.25">
      <c r="A796" s="2"/>
      <c r="B796" s="2"/>
      <c r="C796" s="2"/>
      <c r="D796" s="2"/>
      <c r="E796" s="2"/>
      <c r="F796" s="2"/>
      <c r="G796" s="26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81"/>
      <c r="AC796" s="2"/>
      <c r="AD796" s="2"/>
      <c r="AE796" s="281"/>
      <c r="AF796" s="2"/>
      <c r="AG796" s="2"/>
      <c r="AH796" s="2"/>
      <c r="AI796" s="28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 ht="12" customHeight="1" x14ac:dyDescent="0.25">
      <c r="A797" s="2"/>
      <c r="B797" s="2"/>
      <c r="C797" s="2"/>
      <c r="D797" s="2"/>
      <c r="E797" s="2"/>
      <c r="F797" s="2"/>
      <c r="G797" s="26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81"/>
      <c r="AC797" s="2"/>
      <c r="AD797" s="2"/>
      <c r="AE797" s="281"/>
      <c r="AF797" s="2"/>
      <c r="AG797" s="2"/>
      <c r="AH797" s="2"/>
      <c r="AI797" s="28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 ht="12" customHeight="1" x14ac:dyDescent="0.25">
      <c r="A798" s="2"/>
      <c r="B798" s="2"/>
      <c r="C798" s="2"/>
      <c r="D798" s="2"/>
      <c r="E798" s="2"/>
      <c r="F798" s="2"/>
      <c r="G798" s="26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81"/>
      <c r="AC798" s="2"/>
      <c r="AD798" s="2"/>
      <c r="AE798" s="281"/>
      <c r="AF798" s="2"/>
      <c r="AG798" s="2"/>
      <c r="AH798" s="2"/>
      <c r="AI798" s="28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 ht="12" customHeight="1" x14ac:dyDescent="0.25">
      <c r="A799" s="2"/>
      <c r="B799" s="2"/>
      <c r="C799" s="2"/>
      <c r="D799" s="2"/>
      <c r="E799" s="2"/>
      <c r="F799" s="2"/>
      <c r="G799" s="26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81"/>
      <c r="AC799" s="2"/>
      <c r="AD799" s="2"/>
      <c r="AE799" s="281"/>
      <c r="AF799" s="2"/>
      <c r="AG799" s="2"/>
      <c r="AH799" s="2"/>
      <c r="AI799" s="28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 ht="12" customHeight="1" x14ac:dyDescent="0.25">
      <c r="A800" s="2"/>
      <c r="B800" s="2"/>
      <c r="C800" s="2"/>
      <c r="D800" s="2"/>
      <c r="E800" s="2"/>
      <c r="F800" s="2"/>
      <c r="G800" s="26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81"/>
      <c r="AC800" s="2"/>
      <c r="AD800" s="2"/>
      <c r="AE800" s="281"/>
      <c r="AF800" s="2"/>
      <c r="AG800" s="2"/>
      <c r="AH800" s="2"/>
      <c r="AI800" s="28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 ht="12" customHeight="1" x14ac:dyDescent="0.25">
      <c r="A801" s="2"/>
      <c r="B801" s="2"/>
      <c r="C801" s="2"/>
      <c r="D801" s="2"/>
      <c r="E801" s="2"/>
      <c r="F801" s="2"/>
      <c r="G801" s="26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81"/>
      <c r="AC801" s="2"/>
      <c r="AD801" s="2"/>
      <c r="AE801" s="281"/>
      <c r="AF801" s="2"/>
      <c r="AG801" s="2"/>
      <c r="AH801" s="2"/>
      <c r="AI801" s="28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 ht="12" customHeight="1" x14ac:dyDescent="0.25">
      <c r="A802" s="2"/>
      <c r="B802" s="2"/>
      <c r="C802" s="2"/>
      <c r="D802" s="2"/>
      <c r="E802" s="2"/>
      <c r="F802" s="2"/>
      <c r="G802" s="26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81"/>
      <c r="AC802" s="2"/>
      <c r="AD802" s="2"/>
      <c r="AE802" s="281"/>
      <c r="AF802" s="2"/>
      <c r="AG802" s="2"/>
      <c r="AH802" s="2"/>
      <c r="AI802" s="28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 ht="12" customHeight="1" x14ac:dyDescent="0.25">
      <c r="A803" s="2"/>
      <c r="B803" s="2"/>
      <c r="C803" s="2"/>
      <c r="D803" s="2"/>
      <c r="E803" s="2"/>
      <c r="F803" s="2"/>
      <c r="G803" s="26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81"/>
      <c r="AC803" s="2"/>
      <c r="AD803" s="2"/>
      <c r="AE803" s="281"/>
      <c r="AF803" s="2"/>
      <c r="AG803" s="2"/>
      <c r="AH803" s="2"/>
      <c r="AI803" s="28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 ht="12" customHeight="1" x14ac:dyDescent="0.25">
      <c r="A804" s="2"/>
      <c r="B804" s="2"/>
      <c r="C804" s="2"/>
      <c r="D804" s="2"/>
      <c r="E804" s="2"/>
      <c r="F804" s="2"/>
      <c r="G804" s="26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81"/>
      <c r="AC804" s="2"/>
      <c r="AD804" s="2"/>
      <c r="AE804" s="281"/>
      <c r="AF804" s="2"/>
      <c r="AG804" s="2"/>
      <c r="AH804" s="2"/>
      <c r="AI804" s="28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 ht="12" customHeight="1" x14ac:dyDescent="0.25">
      <c r="A805" s="2"/>
      <c r="B805" s="2"/>
      <c r="C805" s="2"/>
      <c r="D805" s="2"/>
      <c r="E805" s="2"/>
      <c r="F805" s="2"/>
      <c r="G805" s="26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81"/>
      <c r="AC805" s="2"/>
      <c r="AD805" s="2"/>
      <c r="AE805" s="281"/>
      <c r="AF805" s="2"/>
      <c r="AG805" s="2"/>
      <c r="AH805" s="2"/>
      <c r="AI805" s="28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 ht="12" customHeight="1" x14ac:dyDescent="0.25">
      <c r="A806" s="2"/>
      <c r="B806" s="2"/>
      <c r="C806" s="2"/>
      <c r="D806" s="2"/>
      <c r="E806" s="2"/>
      <c r="F806" s="2"/>
      <c r="G806" s="26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81"/>
      <c r="AC806" s="2"/>
      <c r="AD806" s="2"/>
      <c r="AE806" s="281"/>
      <c r="AF806" s="2"/>
      <c r="AG806" s="2"/>
      <c r="AH806" s="2"/>
      <c r="AI806" s="28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 ht="12" customHeight="1" x14ac:dyDescent="0.25">
      <c r="A807" s="2"/>
      <c r="B807" s="2"/>
      <c r="C807" s="2"/>
      <c r="D807" s="2"/>
      <c r="E807" s="2"/>
      <c r="F807" s="2"/>
      <c r="G807" s="26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81"/>
      <c r="AC807" s="2"/>
      <c r="AD807" s="2"/>
      <c r="AE807" s="281"/>
      <c r="AF807" s="2"/>
      <c r="AG807" s="2"/>
      <c r="AH807" s="2"/>
      <c r="AI807" s="28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 ht="12" customHeight="1" x14ac:dyDescent="0.25">
      <c r="A808" s="2"/>
      <c r="B808" s="2"/>
      <c r="C808" s="2"/>
      <c r="D808" s="2"/>
      <c r="E808" s="2"/>
      <c r="F808" s="2"/>
      <c r="G808" s="26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81"/>
      <c r="AC808" s="2"/>
      <c r="AD808" s="2"/>
      <c r="AE808" s="281"/>
      <c r="AF808" s="2"/>
      <c r="AG808" s="2"/>
      <c r="AH808" s="2"/>
      <c r="AI808" s="28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 ht="12" customHeight="1" x14ac:dyDescent="0.25">
      <c r="A809" s="2"/>
      <c r="B809" s="2"/>
      <c r="C809" s="2"/>
      <c r="D809" s="2"/>
      <c r="E809" s="2"/>
      <c r="F809" s="2"/>
      <c r="G809" s="26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81"/>
      <c r="AC809" s="2"/>
      <c r="AD809" s="2"/>
      <c r="AE809" s="281"/>
      <c r="AF809" s="2"/>
      <c r="AG809" s="2"/>
      <c r="AH809" s="2"/>
      <c r="AI809" s="28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 ht="12" customHeight="1" x14ac:dyDescent="0.25">
      <c r="A810" s="2"/>
      <c r="B810" s="2"/>
      <c r="C810" s="2"/>
      <c r="D810" s="2"/>
      <c r="E810" s="2"/>
      <c r="F810" s="2"/>
      <c r="G810" s="26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81"/>
      <c r="AC810" s="2"/>
      <c r="AD810" s="2"/>
      <c r="AE810" s="281"/>
      <c r="AF810" s="2"/>
      <c r="AG810" s="2"/>
      <c r="AH810" s="2"/>
      <c r="AI810" s="28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 ht="12" customHeight="1" x14ac:dyDescent="0.25">
      <c r="A811" s="2"/>
      <c r="B811" s="2"/>
      <c r="C811" s="2"/>
      <c r="D811" s="2"/>
      <c r="E811" s="2"/>
      <c r="F811" s="2"/>
      <c r="G811" s="26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81"/>
      <c r="AC811" s="2"/>
      <c r="AD811" s="2"/>
      <c r="AE811" s="281"/>
      <c r="AF811" s="2"/>
      <c r="AG811" s="2"/>
      <c r="AH811" s="2"/>
      <c r="AI811" s="28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 ht="12" customHeight="1" x14ac:dyDescent="0.25">
      <c r="A812" s="2"/>
      <c r="B812" s="2"/>
      <c r="C812" s="2"/>
      <c r="D812" s="2"/>
      <c r="E812" s="2"/>
      <c r="F812" s="2"/>
      <c r="G812" s="26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81"/>
      <c r="AC812" s="2"/>
      <c r="AD812" s="2"/>
      <c r="AE812" s="281"/>
      <c r="AF812" s="2"/>
      <c r="AG812" s="2"/>
      <c r="AH812" s="2"/>
      <c r="AI812" s="28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 ht="12" customHeight="1" x14ac:dyDescent="0.25">
      <c r="A813" s="2"/>
      <c r="B813" s="2"/>
      <c r="C813" s="2"/>
      <c r="D813" s="2"/>
      <c r="E813" s="2"/>
      <c r="F813" s="2"/>
      <c r="G813" s="26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81"/>
      <c r="AC813" s="2"/>
      <c r="AD813" s="2"/>
      <c r="AE813" s="281"/>
      <c r="AF813" s="2"/>
      <c r="AG813" s="2"/>
      <c r="AH813" s="2"/>
      <c r="AI813" s="28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 ht="12" customHeight="1" x14ac:dyDescent="0.25">
      <c r="A814" s="2"/>
      <c r="B814" s="2"/>
      <c r="C814" s="2"/>
      <c r="D814" s="2"/>
      <c r="E814" s="2"/>
      <c r="F814" s="2"/>
      <c r="G814" s="26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81"/>
      <c r="AC814" s="2"/>
      <c r="AD814" s="2"/>
      <c r="AE814" s="281"/>
      <c r="AF814" s="2"/>
      <c r="AG814" s="2"/>
      <c r="AH814" s="2"/>
      <c r="AI814" s="28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 ht="12" customHeight="1" x14ac:dyDescent="0.25">
      <c r="A815" s="2"/>
      <c r="B815" s="2"/>
      <c r="C815" s="2"/>
      <c r="D815" s="2"/>
      <c r="E815" s="2"/>
      <c r="F815" s="2"/>
      <c r="G815" s="26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81"/>
      <c r="AC815" s="2"/>
      <c r="AD815" s="2"/>
      <c r="AE815" s="281"/>
      <c r="AF815" s="2"/>
      <c r="AG815" s="2"/>
      <c r="AH815" s="2"/>
      <c r="AI815" s="28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 ht="12" customHeight="1" x14ac:dyDescent="0.25">
      <c r="A816" s="2"/>
      <c r="B816" s="2"/>
      <c r="C816" s="2"/>
      <c r="D816" s="2"/>
      <c r="E816" s="2"/>
      <c r="F816" s="2"/>
      <c r="G816" s="26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81"/>
      <c r="AC816" s="2"/>
      <c r="AD816" s="2"/>
      <c r="AE816" s="281"/>
      <c r="AF816" s="2"/>
      <c r="AG816" s="2"/>
      <c r="AH816" s="2"/>
      <c r="AI816" s="28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 ht="12" customHeight="1" x14ac:dyDescent="0.25">
      <c r="A817" s="2"/>
      <c r="B817" s="2"/>
      <c r="C817" s="2"/>
      <c r="D817" s="2"/>
      <c r="E817" s="2"/>
      <c r="F817" s="2"/>
      <c r="G817" s="26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81"/>
      <c r="AC817" s="2"/>
      <c r="AD817" s="2"/>
      <c r="AE817" s="281"/>
      <c r="AF817" s="2"/>
      <c r="AG817" s="2"/>
      <c r="AH817" s="2"/>
      <c r="AI817" s="28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 ht="12" customHeight="1" x14ac:dyDescent="0.25">
      <c r="A818" s="2"/>
      <c r="B818" s="2"/>
      <c r="C818" s="2"/>
      <c r="D818" s="2"/>
      <c r="E818" s="2"/>
      <c r="F818" s="2"/>
      <c r="G818" s="26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81"/>
      <c r="AC818" s="2"/>
      <c r="AD818" s="2"/>
      <c r="AE818" s="281"/>
      <c r="AF818" s="2"/>
      <c r="AG818" s="2"/>
      <c r="AH818" s="2"/>
      <c r="AI818" s="28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 ht="12" customHeight="1" x14ac:dyDescent="0.25">
      <c r="A819" s="2"/>
      <c r="B819" s="2"/>
      <c r="C819" s="2"/>
      <c r="D819" s="2"/>
      <c r="E819" s="2"/>
      <c r="F819" s="2"/>
      <c r="G819" s="26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81"/>
      <c r="AC819" s="2"/>
      <c r="AD819" s="2"/>
      <c r="AE819" s="281"/>
      <c r="AF819" s="2"/>
      <c r="AG819" s="2"/>
      <c r="AH819" s="2"/>
      <c r="AI819" s="28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 ht="12" customHeight="1" x14ac:dyDescent="0.25">
      <c r="A820" s="2"/>
      <c r="B820" s="2"/>
      <c r="C820" s="2"/>
      <c r="D820" s="2"/>
      <c r="E820" s="2"/>
      <c r="F820" s="2"/>
      <c r="G820" s="26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81"/>
      <c r="AC820" s="2"/>
      <c r="AD820" s="2"/>
      <c r="AE820" s="281"/>
      <c r="AF820" s="2"/>
      <c r="AG820" s="2"/>
      <c r="AH820" s="2"/>
      <c r="AI820" s="28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 ht="12" customHeight="1" x14ac:dyDescent="0.25">
      <c r="A821" s="2"/>
      <c r="B821" s="2"/>
      <c r="C821" s="2"/>
      <c r="D821" s="2"/>
      <c r="E821" s="2"/>
      <c r="F821" s="2"/>
      <c r="G821" s="26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81"/>
      <c r="AC821" s="2"/>
      <c r="AD821" s="2"/>
      <c r="AE821" s="281"/>
      <c r="AF821" s="2"/>
      <c r="AG821" s="2"/>
      <c r="AH821" s="2"/>
      <c r="AI821" s="28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 ht="12" customHeight="1" x14ac:dyDescent="0.25">
      <c r="A822" s="2"/>
      <c r="B822" s="2"/>
      <c r="C822" s="2"/>
      <c r="D822" s="2"/>
      <c r="E822" s="2"/>
      <c r="F822" s="2"/>
      <c r="G822" s="26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81"/>
      <c r="AC822" s="2"/>
      <c r="AD822" s="2"/>
      <c r="AE822" s="281"/>
      <c r="AF822" s="2"/>
      <c r="AG822" s="2"/>
      <c r="AH822" s="2"/>
      <c r="AI822" s="28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 ht="12" customHeight="1" x14ac:dyDescent="0.25">
      <c r="A823" s="2"/>
      <c r="B823" s="2"/>
      <c r="C823" s="2"/>
      <c r="D823" s="2"/>
      <c r="E823" s="2"/>
      <c r="F823" s="2"/>
      <c r="G823" s="26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81"/>
      <c r="AC823" s="2"/>
      <c r="AD823" s="2"/>
      <c r="AE823" s="281"/>
      <c r="AF823" s="2"/>
      <c r="AG823" s="2"/>
      <c r="AH823" s="2"/>
      <c r="AI823" s="28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 ht="12" customHeight="1" x14ac:dyDescent="0.25">
      <c r="A824" s="2"/>
      <c r="B824" s="2"/>
      <c r="C824" s="2"/>
      <c r="D824" s="2"/>
      <c r="E824" s="2"/>
      <c r="F824" s="2"/>
      <c r="G824" s="26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81"/>
      <c r="AC824" s="2"/>
      <c r="AD824" s="2"/>
      <c r="AE824" s="281"/>
      <c r="AF824" s="2"/>
      <c r="AG824" s="2"/>
      <c r="AH824" s="2"/>
      <c r="AI824" s="28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 ht="12" customHeight="1" x14ac:dyDescent="0.25">
      <c r="A825" s="2"/>
      <c r="B825" s="2"/>
      <c r="C825" s="2"/>
      <c r="D825" s="2"/>
      <c r="E825" s="2"/>
      <c r="F825" s="2"/>
      <c r="G825" s="26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81"/>
      <c r="AC825" s="2"/>
      <c r="AD825" s="2"/>
      <c r="AE825" s="281"/>
      <c r="AF825" s="2"/>
      <c r="AG825" s="2"/>
      <c r="AH825" s="2"/>
      <c r="AI825" s="28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 ht="12" customHeight="1" x14ac:dyDescent="0.25">
      <c r="A826" s="2"/>
      <c r="B826" s="2"/>
      <c r="C826" s="2"/>
      <c r="D826" s="2"/>
      <c r="E826" s="2"/>
      <c r="F826" s="2"/>
      <c r="G826" s="26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81"/>
      <c r="AC826" s="2"/>
      <c r="AD826" s="2"/>
      <c r="AE826" s="281"/>
      <c r="AF826" s="2"/>
      <c r="AG826" s="2"/>
      <c r="AH826" s="2"/>
      <c r="AI826" s="28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 ht="12" customHeight="1" x14ac:dyDescent="0.25">
      <c r="A827" s="2"/>
      <c r="B827" s="2"/>
      <c r="C827" s="2"/>
      <c r="D827" s="2"/>
      <c r="E827" s="2"/>
      <c r="F827" s="2"/>
      <c r="G827" s="26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81"/>
      <c r="AC827" s="2"/>
      <c r="AD827" s="2"/>
      <c r="AE827" s="281"/>
      <c r="AF827" s="2"/>
      <c r="AG827" s="2"/>
      <c r="AH827" s="2"/>
      <c r="AI827" s="28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 ht="12" customHeight="1" x14ac:dyDescent="0.25">
      <c r="A828" s="2"/>
      <c r="B828" s="2"/>
      <c r="C828" s="2"/>
      <c r="D828" s="2"/>
      <c r="E828" s="2"/>
      <c r="F828" s="2"/>
      <c r="G828" s="26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81"/>
      <c r="AC828" s="2"/>
      <c r="AD828" s="2"/>
      <c r="AE828" s="281"/>
      <c r="AF828" s="2"/>
      <c r="AG828" s="2"/>
      <c r="AH828" s="2"/>
      <c r="AI828" s="28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 ht="12" customHeight="1" x14ac:dyDescent="0.25">
      <c r="A829" s="2"/>
      <c r="B829" s="2"/>
      <c r="C829" s="2"/>
      <c r="D829" s="2"/>
      <c r="E829" s="2"/>
      <c r="F829" s="2"/>
      <c r="G829" s="26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81"/>
      <c r="AC829" s="2"/>
      <c r="AD829" s="2"/>
      <c r="AE829" s="281"/>
      <c r="AF829" s="2"/>
      <c r="AG829" s="2"/>
      <c r="AH829" s="2"/>
      <c r="AI829" s="28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 ht="12" customHeight="1" x14ac:dyDescent="0.25">
      <c r="A830" s="2"/>
      <c r="B830" s="2"/>
      <c r="C830" s="2"/>
      <c r="D830" s="2"/>
      <c r="E830" s="2"/>
      <c r="F830" s="2"/>
      <c r="G830" s="26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81"/>
      <c r="AC830" s="2"/>
      <c r="AD830" s="2"/>
      <c r="AE830" s="281"/>
      <c r="AF830" s="2"/>
      <c r="AG830" s="2"/>
      <c r="AH830" s="2"/>
      <c r="AI830" s="28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 ht="12" customHeight="1" x14ac:dyDescent="0.25">
      <c r="A831" s="2"/>
      <c r="B831" s="2"/>
      <c r="C831" s="2"/>
      <c r="D831" s="2"/>
      <c r="E831" s="2"/>
      <c r="F831" s="2"/>
      <c r="G831" s="26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81"/>
      <c r="AC831" s="2"/>
      <c r="AD831" s="2"/>
      <c r="AE831" s="281"/>
      <c r="AF831" s="2"/>
      <c r="AG831" s="2"/>
      <c r="AH831" s="2"/>
      <c r="AI831" s="28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 ht="12" customHeight="1" x14ac:dyDescent="0.25">
      <c r="A832" s="2"/>
      <c r="B832" s="2"/>
      <c r="C832" s="2"/>
      <c r="D832" s="2"/>
      <c r="E832" s="2"/>
      <c r="F832" s="2"/>
      <c r="G832" s="26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81"/>
      <c r="AC832" s="2"/>
      <c r="AD832" s="2"/>
      <c r="AE832" s="281"/>
      <c r="AF832" s="2"/>
      <c r="AG832" s="2"/>
      <c r="AH832" s="2"/>
      <c r="AI832" s="28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 ht="12" customHeight="1" x14ac:dyDescent="0.25">
      <c r="A833" s="2"/>
      <c r="B833" s="2"/>
      <c r="C833" s="2"/>
      <c r="D833" s="2"/>
      <c r="E833" s="2"/>
      <c r="F833" s="2"/>
      <c r="G833" s="26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81"/>
      <c r="AC833" s="2"/>
      <c r="AD833" s="2"/>
      <c r="AE833" s="281"/>
      <c r="AF833" s="2"/>
      <c r="AG833" s="2"/>
      <c r="AH833" s="2"/>
      <c r="AI833" s="28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 ht="12" customHeight="1" x14ac:dyDescent="0.25">
      <c r="A834" s="2"/>
      <c r="B834" s="2"/>
      <c r="C834" s="2"/>
      <c r="D834" s="2"/>
      <c r="E834" s="2"/>
      <c r="F834" s="2"/>
      <c r="G834" s="26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81"/>
      <c r="AC834" s="2"/>
      <c r="AD834" s="2"/>
      <c r="AE834" s="281"/>
      <c r="AF834" s="2"/>
      <c r="AG834" s="2"/>
      <c r="AH834" s="2"/>
      <c r="AI834" s="28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 ht="12" customHeight="1" x14ac:dyDescent="0.25">
      <c r="A835" s="2"/>
      <c r="B835" s="2"/>
      <c r="C835" s="2"/>
      <c r="D835" s="2"/>
      <c r="E835" s="2"/>
      <c r="F835" s="2"/>
      <c r="G835" s="26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81"/>
      <c r="AC835" s="2"/>
      <c r="AD835" s="2"/>
      <c r="AE835" s="281"/>
      <c r="AF835" s="2"/>
      <c r="AG835" s="2"/>
      <c r="AH835" s="2"/>
      <c r="AI835" s="28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 ht="12" customHeight="1" x14ac:dyDescent="0.25">
      <c r="A836" s="2"/>
      <c r="B836" s="2"/>
      <c r="C836" s="2"/>
      <c r="D836" s="2"/>
      <c r="E836" s="2"/>
      <c r="F836" s="2"/>
      <c r="G836" s="26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81"/>
      <c r="AC836" s="2"/>
      <c r="AD836" s="2"/>
      <c r="AE836" s="281"/>
      <c r="AF836" s="2"/>
      <c r="AG836" s="2"/>
      <c r="AH836" s="2"/>
      <c r="AI836" s="28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 ht="12" customHeight="1" x14ac:dyDescent="0.25">
      <c r="A837" s="2"/>
      <c r="B837" s="2"/>
      <c r="C837" s="2"/>
      <c r="D837" s="2"/>
      <c r="E837" s="2"/>
      <c r="F837" s="2"/>
      <c r="G837" s="26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81"/>
      <c r="AC837" s="2"/>
      <c r="AD837" s="2"/>
      <c r="AE837" s="281"/>
      <c r="AF837" s="2"/>
      <c r="AG837" s="2"/>
      <c r="AH837" s="2"/>
      <c r="AI837" s="28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 ht="12" customHeight="1" x14ac:dyDescent="0.25">
      <c r="A838" s="2"/>
      <c r="B838" s="2"/>
      <c r="C838" s="2"/>
      <c r="D838" s="2"/>
      <c r="E838" s="2"/>
      <c r="F838" s="2"/>
      <c r="G838" s="26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81"/>
      <c r="AC838" s="2"/>
      <c r="AD838" s="2"/>
      <c r="AE838" s="281"/>
      <c r="AF838" s="2"/>
      <c r="AG838" s="2"/>
      <c r="AH838" s="2"/>
      <c r="AI838" s="28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 ht="12" customHeight="1" x14ac:dyDescent="0.25">
      <c r="A839" s="2"/>
      <c r="B839" s="2"/>
      <c r="C839" s="2"/>
      <c r="D839" s="2"/>
      <c r="E839" s="2"/>
      <c r="F839" s="2"/>
      <c r="G839" s="26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81"/>
      <c r="AC839" s="2"/>
      <c r="AD839" s="2"/>
      <c r="AE839" s="281"/>
      <c r="AF839" s="2"/>
      <c r="AG839" s="2"/>
      <c r="AH839" s="2"/>
      <c r="AI839" s="28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 ht="12" customHeight="1" x14ac:dyDescent="0.25">
      <c r="A840" s="2"/>
      <c r="B840" s="2"/>
      <c r="C840" s="2"/>
      <c r="D840" s="2"/>
      <c r="E840" s="2"/>
      <c r="F840" s="2"/>
      <c r="G840" s="26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81"/>
      <c r="AC840" s="2"/>
      <c r="AD840" s="2"/>
      <c r="AE840" s="281"/>
      <c r="AF840" s="2"/>
      <c r="AG840" s="2"/>
      <c r="AH840" s="2"/>
      <c r="AI840" s="28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 ht="12" customHeight="1" x14ac:dyDescent="0.25">
      <c r="A841" s="2"/>
      <c r="B841" s="2"/>
      <c r="C841" s="2"/>
      <c r="D841" s="2"/>
      <c r="E841" s="2"/>
      <c r="F841" s="2"/>
      <c r="G841" s="26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81"/>
      <c r="AC841" s="2"/>
      <c r="AD841" s="2"/>
      <c r="AE841" s="281"/>
      <c r="AF841" s="2"/>
      <c r="AG841" s="2"/>
      <c r="AH841" s="2"/>
      <c r="AI841" s="28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 ht="12" customHeight="1" x14ac:dyDescent="0.25">
      <c r="A842" s="2"/>
      <c r="B842" s="2"/>
      <c r="C842" s="2"/>
      <c r="D842" s="2"/>
      <c r="E842" s="2"/>
      <c r="F842" s="2"/>
      <c r="G842" s="26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81"/>
      <c r="AC842" s="2"/>
      <c r="AD842" s="2"/>
      <c r="AE842" s="281"/>
      <c r="AF842" s="2"/>
      <c r="AG842" s="2"/>
      <c r="AH842" s="2"/>
      <c r="AI842" s="28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 ht="12" customHeight="1" x14ac:dyDescent="0.25">
      <c r="A843" s="2"/>
      <c r="B843" s="2"/>
      <c r="C843" s="2"/>
      <c r="D843" s="2"/>
      <c r="E843" s="2"/>
      <c r="F843" s="2"/>
      <c r="G843" s="26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81"/>
      <c r="AC843" s="2"/>
      <c r="AD843" s="2"/>
      <c r="AE843" s="281"/>
      <c r="AF843" s="2"/>
      <c r="AG843" s="2"/>
      <c r="AH843" s="2"/>
      <c r="AI843" s="28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 ht="12" customHeight="1" x14ac:dyDescent="0.25">
      <c r="A844" s="2"/>
      <c r="B844" s="2"/>
      <c r="C844" s="2"/>
      <c r="D844" s="2"/>
      <c r="E844" s="2"/>
      <c r="F844" s="2"/>
      <c r="G844" s="26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81"/>
      <c r="AC844" s="2"/>
      <c r="AD844" s="2"/>
      <c r="AE844" s="281"/>
      <c r="AF844" s="2"/>
      <c r="AG844" s="2"/>
      <c r="AH844" s="2"/>
      <c r="AI844" s="28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 ht="12" customHeight="1" x14ac:dyDescent="0.25">
      <c r="A845" s="2"/>
      <c r="B845" s="2"/>
      <c r="C845" s="2"/>
      <c r="D845" s="2"/>
      <c r="E845" s="2"/>
      <c r="F845" s="2"/>
      <c r="G845" s="26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81"/>
      <c r="AC845" s="2"/>
      <c r="AD845" s="2"/>
      <c r="AE845" s="281"/>
      <c r="AF845" s="2"/>
      <c r="AG845" s="2"/>
      <c r="AH845" s="2"/>
      <c r="AI845" s="28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 ht="12" customHeight="1" x14ac:dyDescent="0.25">
      <c r="A846" s="2"/>
      <c r="B846" s="2"/>
      <c r="C846" s="2"/>
      <c r="D846" s="2"/>
      <c r="E846" s="2"/>
      <c r="F846" s="2"/>
      <c r="G846" s="26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81"/>
      <c r="AC846" s="2"/>
      <c r="AD846" s="2"/>
      <c r="AE846" s="281"/>
      <c r="AF846" s="2"/>
      <c r="AG846" s="2"/>
      <c r="AH846" s="2"/>
      <c r="AI846" s="28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 ht="12" customHeight="1" x14ac:dyDescent="0.25">
      <c r="A847" s="2"/>
      <c r="B847" s="2"/>
      <c r="C847" s="2"/>
      <c r="D847" s="2"/>
      <c r="E847" s="2"/>
      <c r="F847" s="2"/>
      <c r="G847" s="26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81"/>
      <c r="AC847" s="2"/>
      <c r="AD847" s="2"/>
      <c r="AE847" s="281"/>
      <c r="AF847" s="2"/>
      <c r="AG847" s="2"/>
      <c r="AH847" s="2"/>
      <c r="AI847" s="28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 ht="12" customHeight="1" x14ac:dyDescent="0.25">
      <c r="A848" s="2"/>
      <c r="B848" s="2"/>
      <c r="C848" s="2"/>
      <c r="D848" s="2"/>
      <c r="E848" s="2"/>
      <c r="F848" s="2"/>
      <c r="G848" s="26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81"/>
      <c r="AC848" s="2"/>
      <c r="AD848" s="2"/>
      <c r="AE848" s="281"/>
      <c r="AF848" s="2"/>
      <c r="AG848" s="2"/>
      <c r="AH848" s="2"/>
      <c r="AI848" s="28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 ht="12" customHeight="1" x14ac:dyDescent="0.25">
      <c r="A849" s="2"/>
      <c r="B849" s="2"/>
      <c r="C849" s="2"/>
      <c r="D849" s="2"/>
      <c r="E849" s="2"/>
      <c r="F849" s="2"/>
      <c r="G849" s="26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81"/>
      <c r="AC849" s="2"/>
      <c r="AD849" s="2"/>
      <c r="AE849" s="281"/>
      <c r="AF849" s="2"/>
      <c r="AG849" s="2"/>
      <c r="AH849" s="2"/>
      <c r="AI849" s="28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 ht="12" customHeight="1" x14ac:dyDescent="0.25">
      <c r="A850" s="2"/>
      <c r="B850" s="2"/>
      <c r="C850" s="2"/>
      <c r="D850" s="2"/>
      <c r="E850" s="2"/>
      <c r="F850" s="2"/>
      <c r="G850" s="26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81"/>
      <c r="AC850" s="2"/>
      <c r="AD850" s="2"/>
      <c r="AE850" s="281"/>
      <c r="AF850" s="2"/>
      <c r="AG850" s="2"/>
      <c r="AH850" s="2"/>
      <c r="AI850" s="28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 ht="12" customHeight="1" x14ac:dyDescent="0.25">
      <c r="A851" s="2"/>
      <c r="B851" s="2"/>
      <c r="C851" s="2"/>
      <c r="D851" s="2"/>
      <c r="E851" s="2"/>
      <c r="F851" s="2"/>
      <c r="G851" s="26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81"/>
      <c r="AC851" s="2"/>
      <c r="AD851" s="2"/>
      <c r="AE851" s="281"/>
      <c r="AF851" s="2"/>
      <c r="AG851" s="2"/>
      <c r="AH851" s="2"/>
      <c r="AI851" s="28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 ht="12" customHeight="1" x14ac:dyDescent="0.25">
      <c r="A852" s="2"/>
      <c r="B852" s="2"/>
      <c r="C852" s="2"/>
      <c r="D852" s="2"/>
      <c r="E852" s="2"/>
      <c r="F852" s="2"/>
      <c r="G852" s="26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81"/>
      <c r="AC852" s="2"/>
      <c r="AD852" s="2"/>
      <c r="AE852" s="281"/>
      <c r="AF852" s="2"/>
      <c r="AG852" s="2"/>
      <c r="AH852" s="2"/>
      <c r="AI852" s="28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 ht="12" customHeight="1" x14ac:dyDescent="0.25">
      <c r="A853" s="2"/>
      <c r="B853" s="2"/>
      <c r="C853" s="2"/>
      <c r="D853" s="2"/>
      <c r="E853" s="2"/>
      <c r="F853" s="2"/>
      <c r="G853" s="26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81"/>
      <c r="AC853" s="2"/>
      <c r="AD853" s="2"/>
      <c r="AE853" s="281"/>
      <c r="AF853" s="2"/>
      <c r="AG853" s="2"/>
      <c r="AH853" s="2"/>
      <c r="AI853" s="28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 ht="12" customHeight="1" x14ac:dyDescent="0.25">
      <c r="A854" s="2"/>
      <c r="B854" s="2"/>
      <c r="C854" s="2"/>
      <c r="D854" s="2"/>
      <c r="E854" s="2"/>
      <c r="F854" s="2"/>
      <c r="G854" s="26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81"/>
      <c r="AC854" s="2"/>
      <c r="AD854" s="2"/>
      <c r="AE854" s="281"/>
      <c r="AF854" s="2"/>
      <c r="AG854" s="2"/>
      <c r="AH854" s="2"/>
      <c r="AI854" s="28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 ht="12" customHeight="1" x14ac:dyDescent="0.25">
      <c r="A855" s="2"/>
      <c r="B855" s="2"/>
      <c r="C855" s="2"/>
      <c r="D855" s="2"/>
      <c r="E855" s="2"/>
      <c r="F855" s="2"/>
      <c r="G855" s="26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81"/>
      <c r="AC855" s="2"/>
      <c r="AD855" s="2"/>
      <c r="AE855" s="281"/>
      <c r="AF855" s="2"/>
      <c r="AG855" s="2"/>
      <c r="AH855" s="2"/>
      <c r="AI855" s="28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 ht="12" customHeight="1" x14ac:dyDescent="0.25">
      <c r="A856" s="2"/>
      <c r="B856" s="2"/>
      <c r="C856" s="2"/>
      <c r="D856" s="2"/>
      <c r="E856" s="2"/>
      <c r="F856" s="2"/>
      <c r="G856" s="26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81"/>
      <c r="AC856" s="2"/>
      <c r="AD856" s="2"/>
      <c r="AE856" s="281"/>
      <c r="AF856" s="2"/>
      <c r="AG856" s="2"/>
      <c r="AH856" s="2"/>
      <c r="AI856" s="28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 ht="12" customHeight="1" x14ac:dyDescent="0.25">
      <c r="A857" s="2"/>
      <c r="B857" s="2"/>
      <c r="C857" s="2"/>
      <c r="D857" s="2"/>
      <c r="E857" s="2"/>
      <c r="F857" s="2"/>
      <c r="G857" s="26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81"/>
      <c r="AC857" s="2"/>
      <c r="AD857" s="2"/>
      <c r="AE857" s="281"/>
      <c r="AF857" s="2"/>
      <c r="AG857" s="2"/>
      <c r="AH857" s="2"/>
      <c r="AI857" s="28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 ht="12" customHeight="1" x14ac:dyDescent="0.25">
      <c r="A858" s="2"/>
      <c r="B858" s="2"/>
      <c r="C858" s="2"/>
      <c r="D858" s="2"/>
      <c r="E858" s="2"/>
      <c r="F858" s="2"/>
      <c r="G858" s="26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81"/>
      <c r="AC858" s="2"/>
      <c r="AD858" s="2"/>
      <c r="AE858" s="281"/>
      <c r="AF858" s="2"/>
      <c r="AG858" s="2"/>
      <c r="AH858" s="2"/>
      <c r="AI858" s="28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 ht="12" customHeight="1" x14ac:dyDescent="0.25">
      <c r="A859" s="2"/>
      <c r="B859" s="2"/>
      <c r="C859" s="2"/>
      <c r="D859" s="2"/>
      <c r="E859" s="2"/>
      <c r="F859" s="2"/>
      <c r="G859" s="26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81"/>
      <c r="AC859" s="2"/>
      <c r="AD859" s="2"/>
      <c r="AE859" s="281"/>
      <c r="AF859" s="2"/>
      <c r="AG859" s="2"/>
      <c r="AH859" s="2"/>
      <c r="AI859" s="28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 ht="12" customHeight="1" x14ac:dyDescent="0.25">
      <c r="A860" s="2"/>
      <c r="B860" s="2"/>
      <c r="C860" s="2"/>
      <c r="D860" s="2"/>
      <c r="E860" s="2"/>
      <c r="F860" s="2"/>
      <c r="G860" s="26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81"/>
      <c r="AC860" s="2"/>
      <c r="AD860" s="2"/>
      <c r="AE860" s="281"/>
      <c r="AF860" s="2"/>
      <c r="AG860" s="2"/>
      <c r="AH860" s="2"/>
      <c r="AI860" s="28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 ht="12" customHeight="1" x14ac:dyDescent="0.25">
      <c r="A861" s="2"/>
      <c r="B861" s="2"/>
      <c r="C861" s="2"/>
      <c r="D861" s="2"/>
      <c r="E861" s="2"/>
      <c r="F861" s="2"/>
      <c r="G861" s="26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81"/>
      <c r="AC861" s="2"/>
      <c r="AD861" s="2"/>
      <c r="AE861" s="281"/>
      <c r="AF861" s="2"/>
      <c r="AG861" s="2"/>
      <c r="AH861" s="2"/>
      <c r="AI861" s="28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 ht="12" customHeight="1" x14ac:dyDescent="0.25">
      <c r="A862" s="2"/>
      <c r="B862" s="2"/>
      <c r="C862" s="2"/>
      <c r="D862" s="2"/>
      <c r="E862" s="2"/>
      <c r="F862" s="2"/>
      <c r="G862" s="26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81"/>
      <c r="AC862" s="2"/>
      <c r="AD862" s="2"/>
      <c r="AE862" s="281"/>
      <c r="AF862" s="2"/>
      <c r="AG862" s="2"/>
      <c r="AH862" s="2"/>
      <c r="AI862" s="28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 ht="12" customHeight="1" x14ac:dyDescent="0.25">
      <c r="A863" s="2"/>
      <c r="B863" s="2"/>
      <c r="C863" s="2"/>
      <c r="D863" s="2"/>
      <c r="E863" s="2"/>
      <c r="F863" s="2"/>
      <c r="G863" s="26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81"/>
      <c r="AC863" s="2"/>
      <c r="AD863" s="2"/>
      <c r="AE863" s="281"/>
      <c r="AF863" s="2"/>
      <c r="AG863" s="2"/>
      <c r="AH863" s="2"/>
      <c r="AI863" s="28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 ht="12" customHeight="1" x14ac:dyDescent="0.25">
      <c r="A864" s="2"/>
      <c r="B864" s="2"/>
      <c r="C864" s="2"/>
      <c r="D864" s="2"/>
      <c r="E864" s="2"/>
      <c r="F864" s="2"/>
      <c r="G864" s="26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81"/>
      <c r="AC864" s="2"/>
      <c r="AD864" s="2"/>
      <c r="AE864" s="281"/>
      <c r="AF864" s="2"/>
      <c r="AG864" s="2"/>
      <c r="AH864" s="2"/>
      <c r="AI864" s="28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 ht="12" customHeight="1" x14ac:dyDescent="0.25">
      <c r="A865" s="2"/>
      <c r="B865" s="2"/>
      <c r="C865" s="2"/>
      <c r="D865" s="2"/>
      <c r="E865" s="2"/>
      <c r="F865" s="2"/>
      <c r="G865" s="26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81"/>
      <c r="AC865" s="2"/>
      <c r="AD865" s="2"/>
      <c r="AE865" s="281"/>
      <c r="AF865" s="2"/>
      <c r="AG865" s="2"/>
      <c r="AH865" s="2"/>
      <c r="AI865" s="28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 ht="12" customHeight="1" x14ac:dyDescent="0.25">
      <c r="A866" s="2"/>
      <c r="B866" s="2"/>
      <c r="C866" s="2"/>
      <c r="D866" s="2"/>
      <c r="E866" s="2"/>
      <c r="F866" s="2"/>
      <c r="G866" s="26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81"/>
      <c r="AC866" s="2"/>
      <c r="AD866" s="2"/>
      <c r="AE866" s="281"/>
      <c r="AF866" s="2"/>
      <c r="AG866" s="2"/>
      <c r="AH866" s="2"/>
      <c r="AI866" s="28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 ht="12" customHeight="1" x14ac:dyDescent="0.25">
      <c r="A867" s="2"/>
      <c r="B867" s="2"/>
      <c r="C867" s="2"/>
      <c r="D867" s="2"/>
      <c r="E867" s="2"/>
      <c r="F867" s="2"/>
      <c r="G867" s="26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81"/>
      <c r="AC867" s="2"/>
      <c r="AD867" s="2"/>
      <c r="AE867" s="281"/>
      <c r="AF867" s="2"/>
      <c r="AG867" s="2"/>
      <c r="AH867" s="2"/>
      <c r="AI867" s="28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 ht="12" customHeight="1" x14ac:dyDescent="0.25">
      <c r="A868" s="2"/>
      <c r="B868" s="2"/>
      <c r="C868" s="2"/>
      <c r="D868" s="2"/>
      <c r="E868" s="2"/>
      <c r="F868" s="2"/>
      <c r="G868" s="26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81"/>
      <c r="AC868" s="2"/>
      <c r="AD868" s="2"/>
      <c r="AE868" s="281"/>
      <c r="AF868" s="2"/>
      <c r="AG868" s="2"/>
      <c r="AH868" s="2"/>
      <c r="AI868" s="28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 ht="12" customHeight="1" x14ac:dyDescent="0.25">
      <c r="A869" s="2"/>
      <c r="B869" s="2"/>
      <c r="C869" s="2"/>
      <c r="D869" s="2"/>
      <c r="E869" s="2"/>
      <c r="F869" s="2"/>
      <c r="G869" s="26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81"/>
      <c r="AC869" s="2"/>
      <c r="AD869" s="2"/>
      <c r="AE869" s="281"/>
      <c r="AF869" s="2"/>
      <c r="AG869" s="2"/>
      <c r="AH869" s="2"/>
      <c r="AI869" s="28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 ht="12" customHeight="1" x14ac:dyDescent="0.25">
      <c r="A870" s="2"/>
      <c r="B870" s="2"/>
      <c r="C870" s="2"/>
      <c r="D870" s="2"/>
      <c r="E870" s="2"/>
      <c r="F870" s="2"/>
      <c r="G870" s="26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81"/>
      <c r="AC870" s="2"/>
      <c r="AD870" s="2"/>
      <c r="AE870" s="281"/>
      <c r="AF870" s="2"/>
      <c r="AG870" s="2"/>
      <c r="AH870" s="2"/>
      <c r="AI870" s="28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 ht="12" customHeight="1" x14ac:dyDescent="0.25">
      <c r="A871" s="2"/>
      <c r="B871" s="2"/>
      <c r="C871" s="2"/>
      <c r="D871" s="2"/>
      <c r="E871" s="2"/>
      <c r="F871" s="2"/>
      <c r="G871" s="26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81"/>
      <c r="AC871" s="2"/>
      <c r="AD871" s="2"/>
      <c r="AE871" s="281"/>
      <c r="AF871" s="2"/>
      <c r="AG871" s="2"/>
      <c r="AH871" s="2"/>
      <c r="AI871" s="28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 ht="12" customHeight="1" x14ac:dyDescent="0.25">
      <c r="A872" s="2"/>
      <c r="B872" s="2"/>
      <c r="C872" s="2"/>
      <c r="D872" s="2"/>
      <c r="E872" s="2"/>
      <c r="F872" s="2"/>
      <c r="G872" s="26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81"/>
      <c r="AC872" s="2"/>
      <c r="AD872" s="2"/>
      <c r="AE872" s="281"/>
      <c r="AF872" s="2"/>
      <c r="AG872" s="2"/>
      <c r="AH872" s="2"/>
      <c r="AI872" s="28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 ht="12" customHeight="1" x14ac:dyDescent="0.25">
      <c r="A873" s="2"/>
      <c r="B873" s="2"/>
      <c r="C873" s="2"/>
      <c r="D873" s="2"/>
      <c r="E873" s="2"/>
      <c r="F873" s="2"/>
      <c r="G873" s="26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81"/>
      <c r="AC873" s="2"/>
      <c r="AD873" s="2"/>
      <c r="AE873" s="281"/>
      <c r="AF873" s="2"/>
      <c r="AG873" s="2"/>
      <c r="AH873" s="2"/>
      <c r="AI873" s="28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 ht="12" customHeight="1" x14ac:dyDescent="0.25">
      <c r="A874" s="2"/>
      <c r="B874" s="2"/>
      <c r="C874" s="2"/>
      <c r="D874" s="2"/>
      <c r="E874" s="2"/>
      <c r="F874" s="2"/>
      <c r="G874" s="26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81"/>
      <c r="AC874" s="2"/>
      <c r="AD874" s="2"/>
      <c r="AE874" s="281"/>
      <c r="AF874" s="2"/>
      <c r="AG874" s="2"/>
      <c r="AH874" s="2"/>
      <c r="AI874" s="28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 ht="12" customHeight="1" x14ac:dyDescent="0.25">
      <c r="A875" s="2"/>
      <c r="B875" s="2"/>
      <c r="C875" s="2"/>
      <c r="D875" s="2"/>
      <c r="E875" s="2"/>
      <c r="F875" s="2"/>
      <c r="G875" s="26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81"/>
      <c r="AC875" s="2"/>
      <c r="AD875" s="2"/>
      <c r="AE875" s="281"/>
      <c r="AF875" s="2"/>
      <c r="AG875" s="2"/>
      <c r="AH875" s="2"/>
      <c r="AI875" s="28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 ht="12" customHeight="1" x14ac:dyDescent="0.25">
      <c r="A876" s="2"/>
      <c r="B876" s="2"/>
      <c r="C876" s="2"/>
      <c r="D876" s="2"/>
      <c r="E876" s="2"/>
      <c r="F876" s="2"/>
      <c r="G876" s="26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81"/>
      <c r="AC876" s="2"/>
      <c r="AD876" s="2"/>
      <c r="AE876" s="281"/>
      <c r="AF876" s="2"/>
      <c r="AG876" s="2"/>
      <c r="AH876" s="2"/>
      <c r="AI876" s="28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 ht="12" customHeight="1" x14ac:dyDescent="0.25">
      <c r="A877" s="2"/>
      <c r="B877" s="2"/>
      <c r="C877" s="2"/>
      <c r="D877" s="2"/>
      <c r="E877" s="2"/>
      <c r="F877" s="2"/>
      <c r="G877" s="26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81"/>
      <c r="AC877" s="2"/>
      <c r="AD877" s="2"/>
      <c r="AE877" s="281"/>
      <c r="AF877" s="2"/>
      <c r="AG877" s="2"/>
      <c r="AH877" s="2"/>
      <c r="AI877" s="28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 ht="12" customHeight="1" x14ac:dyDescent="0.25">
      <c r="A878" s="2"/>
      <c r="B878" s="2"/>
      <c r="C878" s="2"/>
      <c r="D878" s="2"/>
      <c r="E878" s="2"/>
      <c r="F878" s="2"/>
      <c r="G878" s="26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81"/>
      <c r="AC878" s="2"/>
      <c r="AD878" s="2"/>
      <c r="AE878" s="281"/>
      <c r="AF878" s="2"/>
      <c r="AG878" s="2"/>
      <c r="AH878" s="2"/>
      <c r="AI878" s="28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 ht="12" customHeight="1" x14ac:dyDescent="0.25">
      <c r="A879" s="2"/>
      <c r="B879" s="2"/>
      <c r="C879" s="2"/>
      <c r="D879" s="2"/>
      <c r="E879" s="2"/>
      <c r="F879" s="2"/>
      <c r="G879" s="26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81"/>
      <c r="AC879" s="2"/>
      <c r="AD879" s="2"/>
      <c r="AE879" s="281"/>
      <c r="AF879" s="2"/>
      <c r="AG879" s="2"/>
      <c r="AH879" s="2"/>
      <c r="AI879" s="28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 ht="12" customHeight="1" x14ac:dyDescent="0.25">
      <c r="A880" s="2"/>
      <c r="B880" s="2"/>
      <c r="C880" s="2"/>
      <c r="D880" s="2"/>
      <c r="E880" s="2"/>
      <c r="F880" s="2"/>
      <c r="G880" s="26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81"/>
      <c r="AC880" s="2"/>
      <c r="AD880" s="2"/>
      <c r="AE880" s="281"/>
      <c r="AF880" s="2"/>
      <c r="AG880" s="2"/>
      <c r="AH880" s="2"/>
      <c r="AI880" s="28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 ht="12" customHeight="1" x14ac:dyDescent="0.25">
      <c r="A881" s="2"/>
      <c r="B881" s="2"/>
      <c r="C881" s="2"/>
      <c r="D881" s="2"/>
      <c r="E881" s="2"/>
      <c r="F881" s="2"/>
      <c r="G881" s="26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81"/>
      <c r="AC881" s="2"/>
      <c r="AD881" s="2"/>
      <c r="AE881" s="281"/>
      <c r="AF881" s="2"/>
      <c r="AG881" s="2"/>
      <c r="AH881" s="2"/>
      <c r="AI881" s="28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 ht="12" customHeight="1" x14ac:dyDescent="0.25">
      <c r="A882" s="2"/>
      <c r="B882" s="2"/>
      <c r="C882" s="2"/>
      <c r="D882" s="2"/>
      <c r="E882" s="2"/>
      <c r="F882" s="2"/>
      <c r="G882" s="26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81"/>
      <c r="AC882" s="2"/>
      <c r="AD882" s="2"/>
      <c r="AE882" s="281"/>
      <c r="AF882" s="2"/>
      <c r="AG882" s="2"/>
      <c r="AH882" s="2"/>
      <c r="AI882" s="28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 ht="12" customHeight="1" x14ac:dyDescent="0.25">
      <c r="A883" s="2"/>
      <c r="B883" s="2"/>
      <c r="C883" s="2"/>
      <c r="D883" s="2"/>
      <c r="E883" s="2"/>
      <c r="F883" s="2"/>
      <c r="G883" s="26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81"/>
      <c r="AC883" s="2"/>
      <c r="AD883" s="2"/>
      <c r="AE883" s="281"/>
      <c r="AF883" s="2"/>
      <c r="AG883" s="2"/>
      <c r="AH883" s="2"/>
      <c r="AI883" s="28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 ht="12" customHeight="1" x14ac:dyDescent="0.25">
      <c r="A884" s="2"/>
      <c r="B884" s="2"/>
      <c r="C884" s="2"/>
      <c r="D884" s="2"/>
      <c r="E884" s="2"/>
      <c r="F884" s="2"/>
      <c r="G884" s="26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81"/>
      <c r="AC884" s="2"/>
      <c r="AD884" s="2"/>
      <c r="AE884" s="281"/>
      <c r="AF884" s="2"/>
      <c r="AG884" s="2"/>
      <c r="AH884" s="2"/>
      <c r="AI884" s="28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 ht="12" customHeight="1" x14ac:dyDescent="0.25">
      <c r="A885" s="2"/>
      <c r="B885" s="2"/>
      <c r="C885" s="2"/>
      <c r="D885" s="2"/>
      <c r="E885" s="2"/>
      <c r="F885" s="2"/>
      <c r="G885" s="26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81"/>
      <c r="AC885" s="2"/>
      <c r="AD885" s="2"/>
      <c r="AE885" s="281"/>
      <c r="AF885" s="2"/>
      <c r="AG885" s="2"/>
      <c r="AH885" s="2"/>
      <c r="AI885" s="28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 ht="12" customHeight="1" x14ac:dyDescent="0.25">
      <c r="A886" s="2"/>
      <c r="B886" s="2"/>
      <c r="C886" s="2"/>
      <c r="D886" s="2"/>
      <c r="E886" s="2"/>
      <c r="F886" s="2"/>
      <c r="G886" s="26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81"/>
      <c r="AC886" s="2"/>
      <c r="AD886" s="2"/>
      <c r="AE886" s="281"/>
      <c r="AF886" s="2"/>
      <c r="AG886" s="2"/>
      <c r="AH886" s="2"/>
      <c r="AI886" s="28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 ht="12" customHeight="1" x14ac:dyDescent="0.25">
      <c r="A887" s="2"/>
      <c r="B887" s="2"/>
      <c r="C887" s="2"/>
      <c r="D887" s="2"/>
      <c r="E887" s="2"/>
      <c r="F887" s="2"/>
      <c r="G887" s="26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81"/>
      <c r="AC887" s="2"/>
      <c r="AD887" s="2"/>
      <c r="AE887" s="281"/>
      <c r="AF887" s="2"/>
      <c r="AG887" s="2"/>
      <c r="AH887" s="2"/>
      <c r="AI887" s="28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 ht="12" customHeight="1" x14ac:dyDescent="0.25">
      <c r="A888" s="2"/>
      <c r="B888" s="2"/>
      <c r="C888" s="2"/>
      <c r="D888" s="2"/>
      <c r="E888" s="2"/>
      <c r="F888" s="2"/>
      <c r="G888" s="26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81"/>
      <c r="AC888" s="2"/>
      <c r="AD888" s="2"/>
      <c r="AE888" s="281"/>
      <c r="AF888" s="2"/>
      <c r="AG888" s="2"/>
      <c r="AH888" s="2"/>
      <c r="AI888" s="28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 ht="12" customHeight="1" x14ac:dyDescent="0.25">
      <c r="A889" s="2"/>
      <c r="B889" s="2"/>
      <c r="C889" s="2"/>
      <c r="D889" s="2"/>
      <c r="E889" s="2"/>
      <c r="F889" s="2"/>
      <c r="G889" s="26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81"/>
      <c r="AC889" s="2"/>
      <c r="AD889" s="2"/>
      <c r="AE889" s="281"/>
      <c r="AF889" s="2"/>
      <c r="AG889" s="2"/>
      <c r="AH889" s="2"/>
      <c r="AI889" s="28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 ht="12" customHeight="1" x14ac:dyDescent="0.25">
      <c r="A890" s="2"/>
      <c r="B890" s="2"/>
      <c r="C890" s="2"/>
      <c r="D890" s="2"/>
      <c r="E890" s="2"/>
      <c r="F890" s="2"/>
      <c r="G890" s="26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81"/>
      <c r="AC890" s="2"/>
      <c r="AD890" s="2"/>
      <c r="AE890" s="281"/>
      <c r="AF890" s="2"/>
      <c r="AG890" s="2"/>
      <c r="AH890" s="2"/>
      <c r="AI890" s="28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 ht="12" customHeight="1" x14ac:dyDescent="0.25">
      <c r="A891" s="2"/>
      <c r="B891" s="2"/>
      <c r="C891" s="2"/>
      <c r="D891" s="2"/>
      <c r="E891" s="2"/>
      <c r="F891" s="2"/>
      <c r="G891" s="26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81"/>
      <c r="AC891" s="2"/>
      <c r="AD891" s="2"/>
      <c r="AE891" s="281"/>
      <c r="AF891" s="2"/>
      <c r="AG891" s="2"/>
      <c r="AH891" s="2"/>
      <c r="AI891" s="28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 ht="12" customHeight="1" x14ac:dyDescent="0.25">
      <c r="A892" s="2"/>
      <c r="B892" s="2"/>
      <c r="C892" s="2"/>
      <c r="D892" s="2"/>
      <c r="E892" s="2"/>
      <c r="F892" s="2"/>
      <c r="G892" s="26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81"/>
      <c r="AC892" s="2"/>
      <c r="AD892" s="2"/>
      <c r="AE892" s="281"/>
      <c r="AF892" s="2"/>
      <c r="AG892" s="2"/>
      <c r="AH892" s="2"/>
      <c r="AI892" s="28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 ht="12" customHeight="1" x14ac:dyDescent="0.25">
      <c r="A893" s="2"/>
      <c r="B893" s="2"/>
      <c r="C893" s="2"/>
      <c r="D893" s="2"/>
      <c r="E893" s="2"/>
      <c r="F893" s="2"/>
      <c r="G893" s="26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81"/>
      <c r="AC893" s="2"/>
      <c r="AD893" s="2"/>
      <c r="AE893" s="281"/>
      <c r="AF893" s="2"/>
      <c r="AG893" s="2"/>
      <c r="AH893" s="2"/>
      <c r="AI893" s="28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 ht="12" customHeight="1" x14ac:dyDescent="0.25">
      <c r="A894" s="2"/>
      <c r="B894" s="2"/>
      <c r="C894" s="2"/>
      <c r="D894" s="2"/>
      <c r="E894" s="2"/>
      <c r="F894" s="2"/>
      <c r="G894" s="26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81"/>
      <c r="AC894" s="2"/>
      <c r="AD894" s="2"/>
      <c r="AE894" s="281"/>
      <c r="AF894" s="2"/>
      <c r="AG894" s="2"/>
      <c r="AH894" s="2"/>
      <c r="AI894" s="28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 ht="12" customHeight="1" x14ac:dyDescent="0.25">
      <c r="A895" s="2"/>
      <c r="B895" s="2"/>
      <c r="C895" s="2"/>
      <c r="D895" s="2"/>
      <c r="E895" s="2"/>
      <c r="F895" s="2"/>
      <c r="G895" s="26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81"/>
      <c r="AC895" s="2"/>
      <c r="AD895" s="2"/>
      <c r="AE895" s="281"/>
      <c r="AF895" s="2"/>
      <c r="AG895" s="2"/>
      <c r="AH895" s="2"/>
      <c r="AI895" s="28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 ht="12" customHeight="1" x14ac:dyDescent="0.25">
      <c r="A896" s="2"/>
      <c r="B896" s="2"/>
      <c r="C896" s="2"/>
      <c r="D896" s="2"/>
      <c r="E896" s="2"/>
      <c r="F896" s="2"/>
      <c r="G896" s="26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81"/>
      <c r="AC896" s="2"/>
      <c r="AD896" s="2"/>
      <c r="AE896" s="281"/>
      <c r="AF896" s="2"/>
      <c r="AG896" s="2"/>
      <c r="AH896" s="2"/>
      <c r="AI896" s="28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 ht="12" customHeight="1" x14ac:dyDescent="0.25">
      <c r="A897" s="2"/>
      <c r="B897" s="2"/>
      <c r="C897" s="2"/>
      <c r="D897" s="2"/>
      <c r="E897" s="2"/>
      <c r="F897" s="2"/>
      <c r="G897" s="26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81"/>
      <c r="AC897" s="2"/>
      <c r="AD897" s="2"/>
      <c r="AE897" s="281"/>
      <c r="AF897" s="2"/>
      <c r="AG897" s="2"/>
      <c r="AH897" s="2"/>
      <c r="AI897" s="28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 ht="12" customHeight="1" x14ac:dyDescent="0.25">
      <c r="A898" s="2"/>
      <c r="B898" s="2"/>
      <c r="C898" s="2"/>
      <c r="D898" s="2"/>
      <c r="E898" s="2"/>
      <c r="F898" s="2"/>
      <c r="G898" s="26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81"/>
      <c r="AC898" s="2"/>
      <c r="AD898" s="2"/>
      <c r="AE898" s="281"/>
      <c r="AF898" s="2"/>
      <c r="AG898" s="2"/>
      <c r="AH898" s="2"/>
      <c r="AI898" s="28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 ht="12" customHeight="1" x14ac:dyDescent="0.25">
      <c r="A899" s="2"/>
      <c r="B899" s="2"/>
      <c r="C899" s="2"/>
      <c r="D899" s="2"/>
      <c r="E899" s="2"/>
      <c r="F899" s="2"/>
      <c r="G899" s="26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81"/>
      <c r="AC899" s="2"/>
      <c r="AD899" s="2"/>
      <c r="AE899" s="281"/>
      <c r="AF899" s="2"/>
      <c r="AG899" s="2"/>
      <c r="AH899" s="2"/>
      <c r="AI899" s="28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 ht="12" customHeight="1" x14ac:dyDescent="0.25">
      <c r="A900" s="2"/>
      <c r="B900" s="2"/>
      <c r="C900" s="2"/>
      <c r="D900" s="2"/>
      <c r="E900" s="2"/>
      <c r="F900" s="2"/>
      <c r="G900" s="26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81"/>
      <c r="AC900" s="2"/>
      <c r="AD900" s="2"/>
      <c r="AE900" s="281"/>
      <c r="AF900" s="2"/>
      <c r="AG900" s="2"/>
      <c r="AH900" s="2"/>
      <c r="AI900" s="28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 ht="12" customHeight="1" x14ac:dyDescent="0.25">
      <c r="A901" s="2"/>
      <c r="B901" s="2"/>
      <c r="C901" s="2"/>
      <c r="D901" s="2"/>
      <c r="E901" s="2"/>
      <c r="F901" s="2"/>
      <c r="G901" s="26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81"/>
      <c r="AC901" s="2"/>
      <c r="AD901" s="2"/>
      <c r="AE901" s="281"/>
      <c r="AF901" s="2"/>
      <c r="AG901" s="2"/>
      <c r="AH901" s="2"/>
      <c r="AI901" s="28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 ht="12" customHeight="1" x14ac:dyDescent="0.25">
      <c r="A902" s="2"/>
      <c r="B902" s="2"/>
      <c r="C902" s="2"/>
      <c r="D902" s="2"/>
      <c r="E902" s="2"/>
      <c r="F902" s="2"/>
      <c r="G902" s="26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81"/>
      <c r="AC902" s="2"/>
      <c r="AD902" s="2"/>
      <c r="AE902" s="281"/>
      <c r="AF902" s="2"/>
      <c r="AG902" s="2"/>
      <c r="AH902" s="2"/>
      <c r="AI902" s="28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 ht="12" customHeight="1" x14ac:dyDescent="0.25">
      <c r="A903" s="2"/>
      <c r="B903" s="2"/>
      <c r="C903" s="2"/>
      <c r="D903" s="2"/>
      <c r="E903" s="2"/>
      <c r="F903" s="2"/>
      <c r="G903" s="26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81"/>
      <c r="AC903" s="2"/>
      <c r="AD903" s="2"/>
      <c r="AE903" s="281"/>
      <c r="AF903" s="2"/>
      <c r="AG903" s="2"/>
      <c r="AH903" s="2"/>
      <c r="AI903" s="28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 ht="12" customHeight="1" x14ac:dyDescent="0.25">
      <c r="A904" s="2"/>
      <c r="B904" s="2"/>
      <c r="C904" s="2"/>
      <c r="D904" s="2"/>
      <c r="E904" s="2"/>
      <c r="F904" s="2"/>
      <c r="G904" s="26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81"/>
      <c r="AC904" s="2"/>
      <c r="AD904" s="2"/>
      <c r="AE904" s="281"/>
      <c r="AF904" s="2"/>
      <c r="AG904" s="2"/>
      <c r="AH904" s="2"/>
      <c r="AI904" s="28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 ht="12" customHeight="1" x14ac:dyDescent="0.25">
      <c r="A905" s="2"/>
      <c r="B905" s="2"/>
      <c r="C905" s="2"/>
      <c r="D905" s="2"/>
      <c r="E905" s="2"/>
      <c r="F905" s="2"/>
      <c r="G905" s="26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81"/>
      <c r="AC905" s="2"/>
      <c r="AD905" s="2"/>
      <c r="AE905" s="281"/>
      <c r="AF905" s="2"/>
      <c r="AG905" s="2"/>
      <c r="AH905" s="2"/>
      <c r="AI905" s="28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 ht="12" customHeight="1" x14ac:dyDescent="0.25">
      <c r="A906" s="2"/>
      <c r="B906" s="2"/>
      <c r="C906" s="2"/>
      <c r="D906" s="2"/>
      <c r="E906" s="2"/>
      <c r="F906" s="2"/>
      <c r="G906" s="26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81"/>
      <c r="AC906" s="2"/>
      <c r="AD906" s="2"/>
      <c r="AE906" s="281"/>
      <c r="AF906" s="2"/>
      <c r="AG906" s="2"/>
      <c r="AH906" s="2"/>
      <c r="AI906" s="28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 ht="12" customHeight="1" x14ac:dyDescent="0.25">
      <c r="A907" s="2"/>
      <c r="B907" s="2"/>
      <c r="C907" s="2"/>
      <c r="D907" s="2"/>
      <c r="E907" s="2"/>
      <c r="F907" s="2"/>
      <c r="G907" s="26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81"/>
      <c r="AC907" s="2"/>
      <c r="AD907" s="2"/>
      <c r="AE907" s="281"/>
      <c r="AF907" s="2"/>
      <c r="AG907" s="2"/>
      <c r="AH907" s="2"/>
      <c r="AI907" s="28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 ht="12" customHeight="1" x14ac:dyDescent="0.25">
      <c r="A908" s="2"/>
      <c r="B908" s="2"/>
      <c r="C908" s="2"/>
      <c r="D908" s="2"/>
      <c r="E908" s="2"/>
      <c r="F908" s="2"/>
      <c r="G908" s="26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81"/>
      <c r="AC908" s="2"/>
      <c r="AD908" s="2"/>
      <c r="AE908" s="281"/>
      <c r="AF908" s="2"/>
      <c r="AG908" s="2"/>
      <c r="AH908" s="2"/>
      <c r="AI908" s="28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 ht="12" customHeight="1" x14ac:dyDescent="0.25">
      <c r="A909" s="2"/>
      <c r="B909" s="2"/>
      <c r="C909" s="2"/>
      <c r="D909" s="2"/>
      <c r="E909" s="2"/>
      <c r="F909" s="2"/>
      <c r="G909" s="26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81"/>
      <c r="AC909" s="2"/>
      <c r="AD909" s="2"/>
      <c r="AE909" s="281"/>
      <c r="AF909" s="2"/>
      <c r="AG909" s="2"/>
      <c r="AH909" s="2"/>
      <c r="AI909" s="28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 ht="12" customHeight="1" x14ac:dyDescent="0.25">
      <c r="A910" s="2"/>
      <c r="B910" s="2"/>
      <c r="C910" s="2"/>
      <c r="D910" s="2"/>
      <c r="E910" s="2"/>
      <c r="F910" s="2"/>
      <c r="G910" s="26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81"/>
      <c r="AC910" s="2"/>
      <c r="AD910" s="2"/>
      <c r="AE910" s="281"/>
      <c r="AF910" s="2"/>
      <c r="AG910" s="2"/>
      <c r="AH910" s="2"/>
      <c r="AI910" s="28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 ht="12" customHeight="1" x14ac:dyDescent="0.25">
      <c r="A911" s="2"/>
      <c r="B911" s="2"/>
      <c r="C911" s="2"/>
      <c r="D911" s="2"/>
      <c r="E911" s="2"/>
      <c r="F911" s="2"/>
      <c r="G911" s="26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81"/>
      <c r="AC911" s="2"/>
      <c r="AD911" s="2"/>
      <c r="AE911" s="281"/>
      <c r="AF911" s="2"/>
      <c r="AG911" s="2"/>
      <c r="AH911" s="2"/>
      <c r="AI911" s="28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 ht="12" customHeight="1" x14ac:dyDescent="0.25">
      <c r="A912" s="2"/>
      <c r="B912" s="2"/>
      <c r="C912" s="2"/>
      <c r="D912" s="2"/>
      <c r="E912" s="2"/>
      <c r="F912" s="2"/>
      <c r="G912" s="26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81"/>
      <c r="AC912" s="2"/>
      <c r="AD912" s="2"/>
      <c r="AE912" s="281"/>
      <c r="AF912" s="2"/>
      <c r="AG912" s="2"/>
      <c r="AH912" s="2"/>
      <c r="AI912" s="28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 ht="12" customHeight="1" x14ac:dyDescent="0.25">
      <c r="A913" s="2"/>
      <c r="B913" s="2"/>
      <c r="C913" s="2"/>
      <c r="D913" s="2"/>
      <c r="E913" s="2"/>
      <c r="F913" s="2"/>
      <c r="G913" s="26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81"/>
      <c r="AC913" s="2"/>
      <c r="AD913" s="2"/>
      <c r="AE913" s="281"/>
      <c r="AF913" s="2"/>
      <c r="AG913" s="2"/>
      <c r="AH913" s="2"/>
      <c r="AI913" s="28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 ht="12" customHeight="1" x14ac:dyDescent="0.25">
      <c r="A914" s="2"/>
      <c r="B914" s="2"/>
      <c r="C914" s="2"/>
      <c r="D914" s="2"/>
      <c r="E914" s="2"/>
      <c r="F914" s="2"/>
      <c r="G914" s="26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81"/>
      <c r="AC914" s="2"/>
      <c r="AD914" s="2"/>
      <c r="AE914" s="281"/>
      <c r="AF914" s="2"/>
      <c r="AG914" s="2"/>
      <c r="AH914" s="2"/>
      <c r="AI914" s="28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 ht="12" customHeight="1" x14ac:dyDescent="0.25">
      <c r="A915" s="2"/>
      <c r="B915" s="2"/>
      <c r="C915" s="2"/>
      <c r="D915" s="2"/>
      <c r="E915" s="2"/>
      <c r="F915" s="2"/>
      <c r="G915" s="26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81"/>
      <c r="AC915" s="2"/>
      <c r="AD915" s="2"/>
      <c r="AE915" s="281"/>
      <c r="AF915" s="2"/>
      <c r="AG915" s="2"/>
      <c r="AH915" s="2"/>
      <c r="AI915" s="28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 ht="12" customHeight="1" x14ac:dyDescent="0.25">
      <c r="A916" s="2"/>
      <c r="B916" s="2"/>
      <c r="C916" s="2"/>
      <c r="D916" s="2"/>
      <c r="E916" s="2"/>
      <c r="F916" s="2"/>
      <c r="G916" s="26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81"/>
      <c r="AC916" s="2"/>
      <c r="AD916" s="2"/>
      <c r="AE916" s="281"/>
      <c r="AF916" s="2"/>
      <c r="AG916" s="2"/>
      <c r="AH916" s="2"/>
      <c r="AI916" s="28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 ht="12" customHeight="1" x14ac:dyDescent="0.25">
      <c r="A917" s="2"/>
      <c r="B917" s="2"/>
      <c r="C917" s="2"/>
      <c r="D917" s="2"/>
      <c r="E917" s="2"/>
      <c r="F917" s="2"/>
      <c r="G917" s="26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81"/>
      <c r="AC917" s="2"/>
      <c r="AD917" s="2"/>
      <c r="AE917" s="281"/>
      <c r="AF917" s="2"/>
      <c r="AG917" s="2"/>
      <c r="AH917" s="2"/>
      <c r="AI917" s="28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 ht="12" customHeight="1" x14ac:dyDescent="0.25">
      <c r="A918" s="2"/>
      <c r="B918" s="2"/>
      <c r="C918" s="2"/>
      <c r="D918" s="2"/>
      <c r="E918" s="2"/>
      <c r="F918" s="2"/>
      <c r="G918" s="26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81"/>
      <c r="AC918" s="2"/>
      <c r="AD918" s="2"/>
      <c r="AE918" s="281"/>
      <c r="AF918" s="2"/>
      <c r="AG918" s="2"/>
      <c r="AH918" s="2"/>
      <c r="AI918" s="28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 ht="12" customHeight="1" x14ac:dyDescent="0.25">
      <c r="A919" s="2"/>
      <c r="B919" s="2"/>
      <c r="C919" s="2"/>
      <c r="D919" s="2"/>
      <c r="E919" s="2"/>
      <c r="F919" s="2"/>
      <c r="G919" s="26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81"/>
      <c r="AC919" s="2"/>
      <c r="AD919" s="2"/>
      <c r="AE919" s="281"/>
      <c r="AF919" s="2"/>
      <c r="AG919" s="2"/>
      <c r="AH919" s="2"/>
      <c r="AI919" s="28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 ht="12" customHeight="1" x14ac:dyDescent="0.25">
      <c r="A920" s="2"/>
      <c r="B920" s="2"/>
      <c r="C920" s="2"/>
      <c r="D920" s="2"/>
      <c r="E920" s="2"/>
      <c r="F920" s="2"/>
      <c r="G920" s="26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81"/>
      <c r="AC920" s="2"/>
      <c r="AD920" s="2"/>
      <c r="AE920" s="281"/>
      <c r="AF920" s="2"/>
      <c r="AG920" s="2"/>
      <c r="AH920" s="2"/>
      <c r="AI920" s="28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 ht="12" customHeight="1" x14ac:dyDescent="0.25">
      <c r="A921" s="2"/>
      <c r="B921" s="2"/>
      <c r="C921" s="2"/>
      <c r="D921" s="2"/>
      <c r="E921" s="2"/>
      <c r="F921" s="2"/>
      <c r="G921" s="26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81"/>
      <c r="AC921" s="2"/>
      <c r="AD921" s="2"/>
      <c r="AE921" s="281"/>
      <c r="AF921" s="2"/>
      <c r="AG921" s="2"/>
      <c r="AH921" s="2"/>
      <c r="AI921" s="28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 ht="12" customHeight="1" x14ac:dyDescent="0.25">
      <c r="A922" s="2"/>
      <c r="B922" s="2"/>
      <c r="C922" s="2"/>
      <c r="D922" s="2"/>
      <c r="E922" s="2"/>
      <c r="F922" s="2"/>
      <c r="G922" s="26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81"/>
      <c r="AC922" s="2"/>
      <c r="AD922" s="2"/>
      <c r="AE922" s="281"/>
      <c r="AF922" s="2"/>
      <c r="AG922" s="2"/>
      <c r="AH922" s="2"/>
      <c r="AI922" s="28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 ht="12" customHeight="1" x14ac:dyDescent="0.25">
      <c r="A923" s="2"/>
      <c r="B923" s="2"/>
      <c r="C923" s="2"/>
      <c r="D923" s="2"/>
      <c r="E923" s="2"/>
      <c r="F923" s="2"/>
      <c r="G923" s="26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81"/>
      <c r="AC923" s="2"/>
      <c r="AD923" s="2"/>
      <c r="AE923" s="281"/>
      <c r="AF923" s="2"/>
      <c r="AG923" s="2"/>
      <c r="AH923" s="2"/>
      <c r="AI923" s="28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 ht="12" customHeight="1" x14ac:dyDescent="0.25">
      <c r="A924" s="2"/>
      <c r="B924" s="2"/>
      <c r="C924" s="2"/>
      <c r="D924" s="2"/>
      <c r="E924" s="2"/>
      <c r="F924" s="2"/>
      <c r="G924" s="26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81"/>
      <c r="AC924" s="2"/>
      <c r="AD924" s="2"/>
      <c r="AE924" s="281"/>
      <c r="AF924" s="2"/>
      <c r="AG924" s="2"/>
      <c r="AH924" s="2"/>
      <c r="AI924" s="28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 ht="12" customHeight="1" x14ac:dyDescent="0.25">
      <c r="A925" s="2"/>
      <c r="B925" s="2"/>
      <c r="C925" s="2"/>
      <c r="D925" s="2"/>
      <c r="E925" s="2"/>
      <c r="F925" s="2"/>
      <c r="G925" s="26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81"/>
      <c r="AC925" s="2"/>
      <c r="AD925" s="2"/>
      <c r="AE925" s="281"/>
      <c r="AF925" s="2"/>
      <c r="AG925" s="2"/>
      <c r="AH925" s="2"/>
      <c r="AI925" s="28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 ht="12" customHeight="1" x14ac:dyDescent="0.25">
      <c r="A926" s="2"/>
      <c r="B926" s="2"/>
      <c r="C926" s="2"/>
      <c r="D926" s="2"/>
      <c r="E926" s="2"/>
      <c r="F926" s="2"/>
      <c r="G926" s="26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81"/>
      <c r="AC926" s="2"/>
      <c r="AD926" s="2"/>
      <c r="AE926" s="281"/>
      <c r="AF926" s="2"/>
      <c r="AG926" s="2"/>
      <c r="AH926" s="2"/>
      <c r="AI926" s="28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 ht="12" customHeight="1" x14ac:dyDescent="0.25">
      <c r="A927" s="2"/>
      <c r="B927" s="2"/>
      <c r="C927" s="2"/>
      <c r="D927" s="2"/>
      <c r="E927" s="2"/>
      <c r="F927" s="2"/>
      <c r="G927" s="26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81"/>
      <c r="AC927" s="2"/>
      <c r="AD927" s="2"/>
      <c r="AE927" s="281"/>
      <c r="AF927" s="2"/>
      <c r="AG927" s="2"/>
      <c r="AH927" s="2"/>
      <c r="AI927" s="28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 ht="12" customHeight="1" x14ac:dyDescent="0.25">
      <c r="A928" s="2"/>
      <c r="B928" s="2"/>
      <c r="C928" s="2"/>
      <c r="D928" s="2"/>
      <c r="E928" s="2"/>
      <c r="F928" s="2"/>
      <c r="G928" s="26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81"/>
      <c r="AC928" s="2"/>
      <c r="AD928" s="2"/>
      <c r="AE928" s="281"/>
      <c r="AF928" s="2"/>
      <c r="AG928" s="2"/>
      <c r="AH928" s="2"/>
      <c r="AI928" s="28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 ht="12" customHeight="1" x14ac:dyDescent="0.25">
      <c r="A929" s="2"/>
      <c r="B929" s="2"/>
      <c r="C929" s="2"/>
      <c r="D929" s="2"/>
      <c r="E929" s="2"/>
      <c r="F929" s="2"/>
      <c r="G929" s="26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81"/>
      <c r="AC929" s="2"/>
      <c r="AD929" s="2"/>
      <c r="AE929" s="281"/>
      <c r="AF929" s="2"/>
      <c r="AG929" s="2"/>
      <c r="AH929" s="2"/>
      <c r="AI929" s="28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 ht="12" customHeight="1" x14ac:dyDescent="0.25">
      <c r="A930" s="2"/>
      <c r="B930" s="2"/>
      <c r="C930" s="2"/>
      <c r="D930" s="2"/>
      <c r="E930" s="2"/>
      <c r="F930" s="2"/>
      <c r="G930" s="26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81"/>
      <c r="AC930" s="2"/>
      <c r="AD930" s="2"/>
      <c r="AE930" s="281"/>
      <c r="AF930" s="2"/>
      <c r="AG930" s="2"/>
      <c r="AH930" s="2"/>
      <c r="AI930" s="28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 ht="12" customHeight="1" x14ac:dyDescent="0.25">
      <c r="A931" s="2"/>
      <c r="B931" s="2"/>
      <c r="C931" s="2"/>
      <c r="D931" s="2"/>
      <c r="E931" s="2"/>
      <c r="F931" s="2"/>
      <c r="G931" s="26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81"/>
      <c r="AC931" s="2"/>
      <c r="AD931" s="2"/>
      <c r="AE931" s="281"/>
      <c r="AF931" s="2"/>
      <c r="AG931" s="2"/>
      <c r="AH931" s="2"/>
      <c r="AI931" s="28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 ht="12" customHeight="1" x14ac:dyDescent="0.25">
      <c r="A932" s="2"/>
      <c r="B932" s="2"/>
      <c r="C932" s="2"/>
      <c r="D932" s="2"/>
      <c r="E932" s="2"/>
      <c r="F932" s="2"/>
      <c r="G932" s="26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81"/>
      <c r="AC932" s="2"/>
      <c r="AD932" s="2"/>
      <c r="AE932" s="281"/>
      <c r="AF932" s="2"/>
      <c r="AG932" s="2"/>
      <c r="AH932" s="2"/>
      <c r="AI932" s="28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 ht="12" customHeight="1" x14ac:dyDescent="0.25">
      <c r="A933" s="2"/>
      <c r="B933" s="2"/>
      <c r="C933" s="2"/>
      <c r="D933" s="2"/>
      <c r="E933" s="2"/>
      <c r="F933" s="2"/>
      <c r="G933" s="26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81"/>
      <c r="AC933" s="2"/>
      <c r="AD933" s="2"/>
      <c r="AE933" s="281"/>
      <c r="AF933" s="2"/>
      <c r="AG933" s="2"/>
      <c r="AH933" s="2"/>
      <c r="AI933" s="28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 ht="12" customHeight="1" x14ac:dyDescent="0.25">
      <c r="A934" s="2"/>
      <c r="B934" s="2"/>
      <c r="C934" s="2"/>
      <c r="D934" s="2"/>
      <c r="E934" s="2"/>
      <c r="F934" s="2"/>
      <c r="G934" s="26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81"/>
      <c r="AC934" s="2"/>
      <c r="AD934" s="2"/>
      <c r="AE934" s="281"/>
      <c r="AF934" s="2"/>
      <c r="AG934" s="2"/>
      <c r="AH934" s="2"/>
      <c r="AI934" s="28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 ht="12" customHeight="1" x14ac:dyDescent="0.25">
      <c r="A935" s="2"/>
      <c r="B935" s="2"/>
      <c r="C935" s="2"/>
      <c r="D935" s="2"/>
      <c r="E935" s="2"/>
      <c r="F935" s="2"/>
      <c r="G935" s="26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81"/>
      <c r="AC935" s="2"/>
      <c r="AD935" s="2"/>
      <c r="AE935" s="281"/>
      <c r="AF935" s="2"/>
      <c r="AG935" s="2"/>
      <c r="AH935" s="2"/>
      <c r="AI935" s="28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 ht="12" customHeight="1" x14ac:dyDescent="0.25">
      <c r="A936" s="2"/>
      <c r="B936" s="2"/>
      <c r="C936" s="2"/>
      <c r="D936" s="2"/>
      <c r="E936" s="2"/>
      <c r="F936" s="2"/>
      <c r="G936" s="26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81"/>
      <c r="AC936" s="2"/>
      <c r="AD936" s="2"/>
      <c r="AE936" s="281"/>
      <c r="AF936" s="2"/>
      <c r="AG936" s="2"/>
      <c r="AH936" s="2"/>
      <c r="AI936" s="28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 ht="12" customHeight="1" x14ac:dyDescent="0.25">
      <c r="A937" s="2"/>
      <c r="B937" s="2"/>
      <c r="C937" s="2"/>
      <c r="D937" s="2"/>
      <c r="E937" s="2"/>
      <c r="F937" s="2"/>
      <c r="G937" s="26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81"/>
      <c r="AC937" s="2"/>
      <c r="AD937" s="2"/>
      <c r="AE937" s="281"/>
      <c r="AF937" s="2"/>
      <c r="AG937" s="2"/>
      <c r="AH937" s="2"/>
      <c r="AI937" s="28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 ht="12" customHeight="1" x14ac:dyDescent="0.25">
      <c r="A938" s="2"/>
      <c r="B938" s="2"/>
      <c r="C938" s="2"/>
      <c r="D938" s="2"/>
      <c r="E938" s="2"/>
      <c r="F938" s="2"/>
      <c r="G938" s="26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81"/>
      <c r="AC938" s="2"/>
      <c r="AD938" s="2"/>
      <c r="AE938" s="281"/>
      <c r="AF938" s="2"/>
      <c r="AG938" s="2"/>
      <c r="AH938" s="2"/>
      <c r="AI938" s="28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 ht="12" customHeight="1" x14ac:dyDescent="0.25">
      <c r="A939" s="2"/>
      <c r="B939" s="2"/>
      <c r="C939" s="2"/>
      <c r="D939" s="2"/>
      <c r="E939" s="2"/>
      <c r="F939" s="2"/>
      <c r="G939" s="26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81"/>
      <c r="AC939" s="2"/>
      <c r="AD939" s="2"/>
      <c r="AE939" s="281"/>
      <c r="AF939" s="2"/>
      <c r="AG939" s="2"/>
      <c r="AH939" s="2"/>
      <c r="AI939" s="28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 ht="12" customHeight="1" x14ac:dyDescent="0.25">
      <c r="A940" s="2"/>
      <c r="B940" s="2"/>
      <c r="C940" s="2"/>
      <c r="D940" s="2"/>
      <c r="E940" s="2"/>
      <c r="F940" s="2"/>
      <c r="G940" s="26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81"/>
      <c r="AC940" s="2"/>
      <c r="AD940" s="2"/>
      <c r="AE940" s="281"/>
      <c r="AF940" s="2"/>
      <c r="AG940" s="2"/>
      <c r="AH940" s="2"/>
      <c r="AI940" s="28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 ht="12" customHeight="1" x14ac:dyDescent="0.25">
      <c r="A941" s="2"/>
      <c r="B941" s="2"/>
      <c r="C941" s="2"/>
      <c r="D941" s="2"/>
      <c r="E941" s="2"/>
      <c r="F941" s="2"/>
      <c r="G941" s="26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81"/>
      <c r="AC941" s="2"/>
      <c r="AD941" s="2"/>
      <c r="AE941" s="281"/>
      <c r="AF941" s="2"/>
      <c r="AG941" s="2"/>
      <c r="AH941" s="2"/>
      <c r="AI941" s="28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 ht="12" customHeight="1" x14ac:dyDescent="0.25">
      <c r="A942" s="2"/>
      <c r="B942" s="2"/>
      <c r="C942" s="2"/>
      <c r="D942" s="2"/>
      <c r="E942" s="2"/>
      <c r="F942" s="2"/>
      <c r="G942" s="26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81"/>
      <c r="AC942" s="2"/>
      <c r="AD942" s="2"/>
      <c r="AE942" s="281"/>
      <c r="AF942" s="2"/>
      <c r="AG942" s="2"/>
      <c r="AH942" s="2"/>
      <c r="AI942" s="28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 ht="12" customHeight="1" x14ac:dyDescent="0.25">
      <c r="A943" s="2"/>
      <c r="B943" s="2"/>
      <c r="C943" s="2"/>
      <c r="D943" s="2"/>
      <c r="E943" s="2"/>
      <c r="F943" s="2"/>
      <c r="G943" s="26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81"/>
      <c r="AC943" s="2"/>
      <c r="AD943" s="2"/>
      <c r="AE943" s="281"/>
      <c r="AF943" s="2"/>
      <c r="AG943" s="2"/>
      <c r="AH943" s="2"/>
      <c r="AI943" s="28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 ht="12" customHeight="1" x14ac:dyDescent="0.25">
      <c r="A944" s="2"/>
      <c r="B944" s="2"/>
      <c r="C944" s="2"/>
      <c r="D944" s="2"/>
      <c r="E944" s="2"/>
      <c r="F944" s="2"/>
      <c r="G944" s="26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81"/>
      <c r="AC944" s="2"/>
      <c r="AD944" s="2"/>
      <c r="AE944" s="281"/>
      <c r="AF944" s="2"/>
      <c r="AG944" s="2"/>
      <c r="AH944" s="2"/>
      <c r="AI944" s="28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 ht="12" customHeight="1" x14ac:dyDescent="0.25">
      <c r="A945" s="2"/>
      <c r="B945" s="2"/>
      <c r="C945" s="2"/>
      <c r="D945" s="2"/>
      <c r="E945" s="2"/>
      <c r="F945" s="2"/>
      <c r="G945" s="26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81"/>
      <c r="AC945" s="2"/>
      <c r="AD945" s="2"/>
      <c r="AE945" s="281"/>
      <c r="AF945" s="2"/>
      <c r="AG945" s="2"/>
      <c r="AH945" s="2"/>
      <c r="AI945" s="28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 ht="12" customHeight="1" x14ac:dyDescent="0.25">
      <c r="A946" s="2"/>
      <c r="B946" s="2"/>
      <c r="C946" s="2"/>
      <c r="D946" s="2"/>
      <c r="E946" s="2"/>
      <c r="F946" s="2"/>
      <c r="G946" s="26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81"/>
      <c r="AC946" s="2"/>
      <c r="AD946" s="2"/>
      <c r="AE946" s="281"/>
      <c r="AF946" s="2"/>
      <c r="AG946" s="2"/>
      <c r="AH946" s="2"/>
      <c r="AI946" s="28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 ht="12" customHeight="1" x14ac:dyDescent="0.25">
      <c r="A947" s="2"/>
      <c r="B947" s="2"/>
      <c r="C947" s="2"/>
      <c r="D947" s="2"/>
      <c r="E947" s="2"/>
      <c r="F947" s="2"/>
      <c r="G947" s="26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81"/>
      <c r="AC947" s="2"/>
      <c r="AD947" s="2"/>
      <c r="AE947" s="281"/>
      <c r="AF947" s="2"/>
      <c r="AG947" s="2"/>
      <c r="AH947" s="2"/>
      <c r="AI947" s="28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 ht="12" customHeight="1" x14ac:dyDescent="0.25">
      <c r="A948" s="2"/>
      <c r="B948" s="2"/>
      <c r="C948" s="2"/>
      <c r="D948" s="2"/>
      <c r="E948" s="2"/>
      <c r="F948" s="2"/>
      <c r="G948" s="26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81"/>
      <c r="AC948" s="2"/>
      <c r="AD948" s="2"/>
      <c r="AE948" s="281"/>
      <c r="AF948" s="2"/>
      <c r="AG948" s="2"/>
      <c r="AH948" s="2"/>
      <c r="AI948" s="28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 ht="12" customHeight="1" x14ac:dyDescent="0.25">
      <c r="A949" s="2"/>
      <c r="B949" s="2"/>
      <c r="C949" s="2"/>
      <c r="D949" s="2"/>
      <c r="E949" s="2"/>
      <c r="F949" s="2"/>
      <c r="G949" s="26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81"/>
      <c r="AC949" s="2"/>
      <c r="AD949" s="2"/>
      <c r="AE949" s="281"/>
      <c r="AF949" s="2"/>
      <c r="AG949" s="2"/>
      <c r="AH949" s="2"/>
      <c r="AI949" s="28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 ht="12" customHeight="1" x14ac:dyDescent="0.25">
      <c r="A950" s="2"/>
      <c r="B950" s="2"/>
      <c r="C950" s="2"/>
      <c r="D950" s="2"/>
      <c r="E950" s="2"/>
      <c r="F950" s="2"/>
      <c r="G950" s="26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81"/>
      <c r="AC950" s="2"/>
      <c r="AD950" s="2"/>
      <c r="AE950" s="281"/>
      <c r="AF950" s="2"/>
      <c r="AG950" s="2"/>
      <c r="AH950" s="2"/>
      <c r="AI950" s="28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 ht="12" customHeight="1" x14ac:dyDescent="0.25">
      <c r="A951" s="2"/>
      <c r="B951" s="2"/>
      <c r="C951" s="2"/>
      <c r="D951" s="2"/>
      <c r="E951" s="2"/>
      <c r="F951" s="2"/>
      <c r="G951" s="26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81"/>
      <c r="AC951" s="2"/>
      <c r="AD951" s="2"/>
      <c r="AE951" s="281"/>
      <c r="AF951" s="2"/>
      <c r="AG951" s="2"/>
      <c r="AH951" s="2"/>
      <c r="AI951" s="28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 ht="12" customHeight="1" x14ac:dyDescent="0.25">
      <c r="A952" s="2"/>
      <c r="B952" s="2"/>
      <c r="C952" s="2"/>
      <c r="D952" s="2"/>
      <c r="E952" s="2"/>
      <c r="F952" s="2"/>
      <c r="G952" s="26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81"/>
      <c r="AC952" s="2"/>
      <c r="AD952" s="2"/>
      <c r="AE952" s="281"/>
      <c r="AF952" s="2"/>
      <c r="AG952" s="2"/>
      <c r="AH952" s="2"/>
      <c r="AI952" s="28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 ht="12" customHeight="1" x14ac:dyDescent="0.25">
      <c r="A953" s="2"/>
      <c r="B953" s="2"/>
      <c r="C953" s="2"/>
      <c r="D953" s="2"/>
      <c r="E953" s="2"/>
      <c r="F953" s="2"/>
      <c r="G953" s="26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81"/>
      <c r="AC953" s="2"/>
      <c r="AD953" s="2"/>
      <c r="AE953" s="281"/>
      <c r="AF953" s="2"/>
      <c r="AG953" s="2"/>
      <c r="AH953" s="2"/>
      <c r="AI953" s="28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 ht="12" customHeight="1" x14ac:dyDescent="0.25">
      <c r="A954" s="2"/>
      <c r="B954" s="2"/>
      <c r="C954" s="2"/>
      <c r="D954" s="2"/>
      <c r="E954" s="2"/>
      <c r="F954" s="2"/>
      <c r="G954" s="26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81"/>
      <c r="AC954" s="2"/>
      <c r="AD954" s="2"/>
      <c r="AE954" s="281"/>
      <c r="AF954" s="2"/>
      <c r="AG954" s="2"/>
      <c r="AH954" s="2"/>
      <c r="AI954" s="28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 ht="12" customHeight="1" x14ac:dyDescent="0.25">
      <c r="A955" s="2"/>
      <c r="B955" s="2"/>
      <c r="C955" s="2"/>
      <c r="D955" s="2"/>
      <c r="E955" s="2"/>
      <c r="F955" s="2"/>
      <c r="G955" s="26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81"/>
      <c r="AC955" s="2"/>
      <c r="AD955" s="2"/>
      <c r="AE955" s="281"/>
      <c r="AF955" s="2"/>
      <c r="AG955" s="2"/>
      <c r="AH955" s="2"/>
      <c r="AI955" s="28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 ht="12" customHeight="1" x14ac:dyDescent="0.25">
      <c r="A956" s="2"/>
      <c r="B956" s="2"/>
      <c r="C956" s="2"/>
      <c r="D956" s="2"/>
      <c r="E956" s="2"/>
      <c r="F956" s="2"/>
      <c r="G956" s="26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81"/>
      <c r="AC956" s="2"/>
      <c r="AD956" s="2"/>
      <c r="AE956" s="281"/>
      <c r="AF956" s="2"/>
      <c r="AG956" s="2"/>
      <c r="AH956" s="2"/>
      <c r="AI956" s="28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 ht="12" customHeight="1" x14ac:dyDescent="0.25">
      <c r="A957" s="2"/>
      <c r="B957" s="2"/>
      <c r="C957" s="2"/>
      <c r="D957" s="2"/>
      <c r="E957" s="2"/>
      <c r="F957" s="2"/>
      <c r="G957" s="26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81"/>
      <c r="AC957" s="2"/>
      <c r="AD957" s="2"/>
      <c r="AE957" s="281"/>
      <c r="AF957" s="2"/>
      <c r="AG957" s="2"/>
      <c r="AH957" s="2"/>
      <c r="AI957" s="28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 ht="12" customHeight="1" x14ac:dyDescent="0.25">
      <c r="A958" s="2"/>
      <c r="B958" s="2"/>
      <c r="C958" s="2"/>
      <c r="D958" s="2"/>
      <c r="E958" s="2"/>
      <c r="F958" s="2"/>
      <c r="G958" s="26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81"/>
      <c r="AC958" s="2"/>
      <c r="AD958" s="2"/>
      <c r="AE958" s="281"/>
      <c r="AF958" s="2"/>
      <c r="AG958" s="2"/>
      <c r="AH958" s="2"/>
      <c r="AI958" s="28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 ht="12" customHeight="1" x14ac:dyDescent="0.25">
      <c r="A959" s="2"/>
      <c r="B959" s="2"/>
      <c r="C959" s="2"/>
      <c r="D959" s="2"/>
      <c r="E959" s="2"/>
      <c r="F959" s="2"/>
      <c r="G959" s="26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81"/>
      <c r="AC959" s="2"/>
      <c r="AD959" s="2"/>
      <c r="AE959" s="281"/>
      <c r="AF959" s="2"/>
      <c r="AG959" s="2"/>
      <c r="AH959" s="2"/>
      <c r="AI959" s="28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 ht="12" customHeight="1" x14ac:dyDescent="0.25">
      <c r="A960" s="2"/>
      <c r="B960" s="2"/>
      <c r="C960" s="2"/>
      <c r="D960" s="2"/>
      <c r="E960" s="2"/>
      <c r="F960" s="2"/>
      <c r="G960" s="26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81"/>
      <c r="AC960" s="2"/>
      <c r="AD960" s="2"/>
      <c r="AE960" s="281"/>
      <c r="AF960" s="2"/>
      <c r="AG960" s="2"/>
      <c r="AH960" s="2"/>
      <c r="AI960" s="28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 ht="12" customHeight="1" x14ac:dyDescent="0.25">
      <c r="A961" s="2"/>
      <c r="B961" s="2"/>
      <c r="C961" s="2"/>
      <c r="D961" s="2"/>
      <c r="E961" s="2"/>
      <c r="F961" s="2"/>
      <c r="G961" s="26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81"/>
      <c r="AC961" s="2"/>
      <c r="AD961" s="2"/>
      <c r="AE961" s="281"/>
      <c r="AF961" s="2"/>
      <c r="AG961" s="2"/>
      <c r="AH961" s="2"/>
      <c r="AI961" s="28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 ht="12" customHeight="1" x14ac:dyDescent="0.25">
      <c r="A962" s="2"/>
      <c r="B962" s="2"/>
      <c r="C962" s="2"/>
      <c r="D962" s="2"/>
      <c r="E962" s="2"/>
      <c r="F962" s="2"/>
      <c r="G962" s="26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81"/>
      <c r="AC962" s="2"/>
      <c r="AD962" s="2"/>
      <c r="AE962" s="281"/>
      <c r="AF962" s="2"/>
      <c r="AG962" s="2"/>
      <c r="AH962" s="2"/>
      <c r="AI962" s="28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 ht="12" customHeight="1" x14ac:dyDescent="0.25">
      <c r="A963" s="2"/>
      <c r="B963" s="2"/>
      <c r="C963" s="2"/>
      <c r="D963" s="2"/>
      <c r="E963" s="2"/>
      <c r="F963" s="2"/>
      <c r="G963" s="26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81"/>
      <c r="AC963" s="2"/>
      <c r="AD963" s="2"/>
      <c r="AE963" s="281"/>
      <c r="AF963" s="2"/>
      <c r="AG963" s="2"/>
      <c r="AH963" s="2"/>
      <c r="AI963" s="28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 ht="12" customHeight="1" x14ac:dyDescent="0.25">
      <c r="A964" s="2"/>
      <c r="B964" s="2"/>
      <c r="C964" s="2"/>
      <c r="D964" s="2"/>
      <c r="E964" s="2"/>
      <c r="F964" s="2"/>
      <c r="G964" s="26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81"/>
      <c r="AC964" s="2"/>
      <c r="AD964" s="2"/>
      <c r="AE964" s="281"/>
      <c r="AF964" s="2"/>
      <c r="AG964" s="2"/>
      <c r="AH964" s="2"/>
      <c r="AI964" s="28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 ht="12" customHeight="1" x14ac:dyDescent="0.25">
      <c r="A965" s="2"/>
      <c r="B965" s="2"/>
      <c r="C965" s="2"/>
      <c r="D965" s="2"/>
      <c r="E965" s="2"/>
      <c r="F965" s="2"/>
      <c r="G965" s="26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81"/>
      <c r="AC965" s="2"/>
      <c r="AD965" s="2"/>
      <c r="AE965" s="281"/>
      <c r="AF965" s="2"/>
      <c r="AG965" s="2"/>
      <c r="AH965" s="2"/>
      <c r="AI965" s="28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 ht="12" customHeight="1" x14ac:dyDescent="0.25">
      <c r="A966" s="2"/>
      <c r="B966" s="2"/>
      <c r="C966" s="2"/>
      <c r="D966" s="2"/>
      <c r="E966" s="2"/>
      <c r="F966" s="2"/>
      <c r="G966" s="26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81"/>
      <c r="AC966" s="2"/>
      <c r="AD966" s="2"/>
      <c r="AE966" s="281"/>
      <c r="AF966" s="2"/>
      <c r="AG966" s="2"/>
      <c r="AH966" s="2"/>
      <c r="AI966" s="28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 ht="12" customHeight="1" x14ac:dyDescent="0.25">
      <c r="A967" s="2"/>
      <c r="B967" s="2"/>
      <c r="C967" s="2"/>
      <c r="D967" s="2"/>
      <c r="E967" s="2"/>
      <c r="F967" s="2"/>
      <c r="G967" s="26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81"/>
      <c r="AC967" s="2"/>
      <c r="AD967" s="2"/>
      <c r="AE967" s="281"/>
      <c r="AF967" s="2"/>
      <c r="AG967" s="2"/>
      <c r="AH967" s="2"/>
      <c r="AI967" s="28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 ht="12" customHeight="1" x14ac:dyDescent="0.25">
      <c r="A968" s="2"/>
      <c r="B968" s="2"/>
      <c r="C968" s="2"/>
      <c r="D968" s="2"/>
      <c r="E968" s="2"/>
      <c r="F968" s="2"/>
      <c r="G968" s="26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81"/>
      <c r="AC968" s="2"/>
      <c r="AD968" s="2"/>
      <c r="AE968" s="281"/>
      <c r="AF968" s="2"/>
      <c r="AG968" s="2"/>
      <c r="AH968" s="2"/>
      <c r="AI968" s="28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 ht="12" customHeight="1" x14ac:dyDescent="0.25">
      <c r="A969" s="2"/>
      <c r="B969" s="2"/>
      <c r="C969" s="2"/>
      <c r="D969" s="2"/>
      <c r="E969" s="2"/>
      <c r="F969" s="2"/>
      <c r="G969" s="26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81"/>
      <c r="AC969" s="2"/>
      <c r="AD969" s="2"/>
      <c r="AE969" s="281"/>
      <c r="AF969" s="2"/>
      <c r="AG969" s="2"/>
      <c r="AH969" s="2"/>
      <c r="AI969" s="28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 ht="12" customHeight="1" x14ac:dyDescent="0.25">
      <c r="A970" s="2"/>
      <c r="B970" s="2"/>
      <c r="C970" s="2"/>
      <c r="D970" s="2"/>
      <c r="E970" s="2"/>
      <c r="F970" s="2"/>
      <c r="G970" s="26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81"/>
      <c r="AC970" s="2"/>
      <c r="AD970" s="2"/>
      <c r="AE970" s="281"/>
      <c r="AF970" s="2"/>
      <c r="AG970" s="2"/>
      <c r="AH970" s="2"/>
      <c r="AI970" s="28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 ht="12" customHeight="1" x14ac:dyDescent="0.25">
      <c r="A971" s="2"/>
      <c r="B971" s="2"/>
      <c r="C971" s="2"/>
      <c r="D971" s="2"/>
      <c r="E971" s="2"/>
      <c r="F971" s="2"/>
      <c r="G971" s="26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81"/>
      <c r="AC971" s="2"/>
      <c r="AD971" s="2"/>
      <c r="AE971" s="281"/>
      <c r="AF971" s="2"/>
      <c r="AG971" s="2"/>
      <c r="AH971" s="2"/>
      <c r="AI971" s="28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 ht="12" customHeight="1" x14ac:dyDescent="0.25">
      <c r="A972" s="2"/>
      <c r="B972" s="2"/>
      <c r="C972" s="2"/>
      <c r="D972" s="2"/>
      <c r="E972" s="2"/>
      <c r="F972" s="2"/>
      <c r="G972" s="26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81"/>
      <c r="AC972" s="2"/>
      <c r="AD972" s="2"/>
      <c r="AE972" s="281"/>
      <c r="AF972" s="2"/>
      <c r="AG972" s="2"/>
      <c r="AH972" s="2"/>
      <c r="AI972" s="28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 ht="12" customHeight="1" x14ac:dyDescent="0.25">
      <c r="A973" s="2"/>
      <c r="B973" s="2"/>
      <c r="C973" s="2"/>
      <c r="D973" s="2"/>
      <c r="E973" s="2"/>
      <c r="F973" s="2"/>
      <c r="G973" s="26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81"/>
      <c r="AC973" s="2"/>
      <c r="AD973" s="2"/>
      <c r="AE973" s="281"/>
      <c r="AF973" s="2"/>
      <c r="AG973" s="2"/>
      <c r="AH973" s="2"/>
      <c r="AI973" s="28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 ht="12" customHeight="1" x14ac:dyDescent="0.25">
      <c r="A974" s="2"/>
      <c r="B974" s="2"/>
      <c r="C974" s="2"/>
      <c r="D974" s="2"/>
      <c r="E974" s="2"/>
      <c r="F974" s="2"/>
      <c r="G974" s="26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81"/>
      <c r="AC974" s="2"/>
      <c r="AD974" s="2"/>
      <c r="AE974" s="281"/>
      <c r="AF974" s="2"/>
      <c r="AG974" s="2"/>
      <c r="AH974" s="2"/>
      <c r="AI974" s="28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 ht="12" customHeight="1" x14ac:dyDescent="0.25">
      <c r="A975" s="2"/>
      <c r="B975" s="2"/>
      <c r="C975" s="2"/>
      <c r="D975" s="2"/>
      <c r="E975" s="2"/>
      <c r="F975" s="2"/>
      <c r="G975" s="26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81"/>
      <c r="AC975" s="2"/>
      <c r="AD975" s="2"/>
      <c r="AE975" s="281"/>
      <c r="AF975" s="2"/>
      <c r="AG975" s="2"/>
      <c r="AH975" s="2"/>
      <c r="AI975" s="28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 ht="12" customHeight="1" x14ac:dyDescent="0.25">
      <c r="A976" s="2"/>
      <c r="B976" s="2"/>
      <c r="C976" s="2"/>
      <c r="D976" s="2"/>
      <c r="E976" s="2"/>
      <c r="F976" s="2"/>
      <c r="G976" s="26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81"/>
      <c r="AC976" s="2"/>
      <c r="AD976" s="2"/>
      <c r="AE976" s="281"/>
      <c r="AF976" s="2"/>
      <c r="AG976" s="2"/>
      <c r="AH976" s="2"/>
      <c r="AI976" s="28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 ht="12" customHeight="1" x14ac:dyDescent="0.25">
      <c r="A977" s="2"/>
      <c r="B977" s="2"/>
      <c r="C977" s="2"/>
      <c r="D977" s="2"/>
      <c r="E977" s="2"/>
      <c r="F977" s="2"/>
      <c r="G977" s="26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81"/>
      <c r="AC977" s="2"/>
      <c r="AD977" s="2"/>
      <c r="AE977" s="281"/>
      <c r="AF977" s="2"/>
      <c r="AG977" s="2"/>
      <c r="AH977" s="2"/>
      <c r="AI977" s="28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 ht="12" customHeight="1" x14ac:dyDescent="0.25">
      <c r="A978" s="2"/>
      <c r="B978" s="2"/>
      <c r="C978" s="2"/>
      <c r="D978" s="2"/>
      <c r="E978" s="2"/>
      <c r="F978" s="2"/>
      <c r="G978" s="26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81"/>
      <c r="AC978" s="2"/>
      <c r="AD978" s="2"/>
      <c r="AE978" s="281"/>
      <c r="AF978" s="2"/>
      <c r="AG978" s="2"/>
      <c r="AH978" s="2"/>
      <c r="AI978" s="28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 ht="12" customHeight="1" x14ac:dyDescent="0.25">
      <c r="A979" s="2"/>
      <c r="B979" s="2"/>
      <c r="C979" s="2"/>
      <c r="D979" s="2"/>
      <c r="E979" s="2"/>
      <c r="F979" s="2"/>
      <c r="G979" s="26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81"/>
      <c r="AC979" s="2"/>
      <c r="AD979" s="2"/>
      <c r="AE979" s="281"/>
      <c r="AF979" s="2"/>
      <c r="AG979" s="2"/>
      <c r="AH979" s="2"/>
      <c r="AI979" s="28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 ht="12" customHeight="1" x14ac:dyDescent="0.25">
      <c r="A980" s="2"/>
      <c r="B980" s="2"/>
      <c r="C980" s="2"/>
      <c r="D980" s="2"/>
      <c r="E980" s="2"/>
      <c r="F980" s="2"/>
      <c r="G980" s="26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81"/>
      <c r="AC980" s="2"/>
      <c r="AD980" s="2"/>
      <c r="AE980" s="281"/>
      <c r="AF980" s="2"/>
      <c r="AG980" s="2"/>
      <c r="AH980" s="2"/>
      <c r="AI980" s="28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 ht="12" customHeight="1" x14ac:dyDescent="0.25">
      <c r="A981" s="2"/>
      <c r="B981" s="2"/>
      <c r="C981" s="2"/>
      <c r="D981" s="2"/>
      <c r="E981" s="2"/>
      <c r="F981" s="2"/>
      <c r="G981" s="26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81"/>
      <c r="AC981" s="2"/>
      <c r="AD981" s="2"/>
      <c r="AE981" s="281"/>
      <c r="AF981" s="2"/>
      <c r="AG981" s="2"/>
      <c r="AH981" s="2"/>
      <c r="AI981" s="28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 ht="12" customHeight="1" x14ac:dyDescent="0.25">
      <c r="A982" s="2"/>
      <c r="B982" s="2"/>
      <c r="C982" s="2"/>
      <c r="D982" s="2"/>
      <c r="E982" s="2"/>
      <c r="F982" s="2"/>
      <c r="G982" s="26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81"/>
      <c r="AC982" s="2"/>
      <c r="AD982" s="2"/>
      <c r="AE982" s="281"/>
      <c r="AF982" s="2"/>
      <c r="AG982" s="2"/>
      <c r="AH982" s="2"/>
      <c r="AI982" s="28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 ht="12" customHeight="1" x14ac:dyDescent="0.25">
      <c r="A983" s="2"/>
      <c r="B983" s="2"/>
      <c r="C983" s="2"/>
      <c r="D983" s="2"/>
      <c r="E983" s="2"/>
      <c r="F983" s="2"/>
      <c r="G983" s="26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81"/>
      <c r="AC983" s="2"/>
      <c r="AD983" s="2"/>
      <c r="AE983" s="281"/>
      <c r="AF983" s="2"/>
      <c r="AG983" s="2"/>
      <c r="AH983" s="2"/>
      <c r="AI983" s="28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 ht="12" customHeight="1" x14ac:dyDescent="0.25">
      <c r="A984" s="2"/>
      <c r="B984" s="2"/>
      <c r="C984" s="2"/>
      <c r="D984" s="2"/>
      <c r="E984" s="2"/>
      <c r="F984" s="2"/>
      <c r="G984" s="26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81"/>
      <c r="AC984" s="2"/>
      <c r="AD984" s="2"/>
      <c r="AE984" s="281"/>
      <c r="AF984" s="2"/>
      <c r="AG984" s="2"/>
      <c r="AH984" s="2"/>
      <c r="AI984" s="28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 ht="12" customHeight="1" x14ac:dyDescent="0.25">
      <c r="A985" s="2"/>
      <c r="B985" s="2"/>
      <c r="C985" s="2"/>
      <c r="D985" s="2"/>
      <c r="E985" s="2"/>
      <c r="F985" s="2"/>
      <c r="G985" s="26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81"/>
      <c r="AC985" s="2"/>
      <c r="AD985" s="2"/>
      <c r="AE985" s="281"/>
      <c r="AF985" s="2"/>
      <c r="AG985" s="2"/>
      <c r="AH985" s="2"/>
      <c r="AI985" s="28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 ht="12" customHeight="1" x14ac:dyDescent="0.25">
      <c r="A986" s="2"/>
      <c r="B986" s="2"/>
      <c r="C986" s="2"/>
      <c r="D986" s="2"/>
      <c r="E986" s="2"/>
      <c r="F986" s="2"/>
      <c r="G986" s="26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81"/>
      <c r="AC986" s="2"/>
      <c r="AD986" s="2"/>
      <c r="AE986" s="281"/>
      <c r="AF986" s="2"/>
      <c r="AG986" s="2"/>
      <c r="AH986" s="2"/>
      <c r="AI986" s="28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 ht="12" customHeight="1" x14ac:dyDescent="0.25">
      <c r="A987" s="2"/>
      <c r="B987" s="2"/>
      <c r="C987" s="2"/>
      <c r="D987" s="2"/>
      <c r="E987" s="2"/>
      <c r="F987" s="2"/>
      <c r="G987" s="26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81"/>
      <c r="AC987" s="2"/>
      <c r="AD987" s="2"/>
      <c r="AE987" s="281"/>
      <c r="AF987" s="2"/>
      <c r="AG987" s="2"/>
      <c r="AH987" s="2"/>
      <c r="AI987" s="28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 ht="12" customHeight="1" x14ac:dyDescent="0.25">
      <c r="A988" s="2"/>
      <c r="B988" s="2"/>
      <c r="C988" s="2"/>
      <c r="D988" s="2"/>
      <c r="E988" s="2"/>
      <c r="F988" s="2"/>
      <c r="G988" s="26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81"/>
      <c r="AC988" s="2"/>
      <c r="AD988" s="2"/>
      <c r="AE988" s="281"/>
      <c r="AF988" s="2"/>
      <c r="AG988" s="2"/>
      <c r="AH988" s="2"/>
      <c r="AI988" s="28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 ht="12" customHeight="1" x14ac:dyDescent="0.25">
      <c r="A989" s="2"/>
      <c r="B989" s="2"/>
      <c r="C989" s="2"/>
      <c r="D989" s="2"/>
      <c r="E989" s="2"/>
      <c r="F989" s="2"/>
      <c r="G989" s="26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81"/>
      <c r="AC989" s="2"/>
      <c r="AD989" s="2"/>
      <c r="AE989" s="281"/>
      <c r="AF989" s="2"/>
      <c r="AG989" s="2"/>
      <c r="AH989" s="2"/>
      <c r="AI989" s="28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 ht="12" customHeight="1" x14ac:dyDescent="0.25">
      <c r="A990" s="2"/>
      <c r="B990" s="2"/>
      <c r="C990" s="2"/>
      <c r="D990" s="2"/>
      <c r="E990" s="2"/>
      <c r="F990" s="2"/>
      <c r="G990" s="26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81"/>
      <c r="AC990" s="2"/>
      <c r="AD990" s="2"/>
      <c r="AE990" s="281"/>
      <c r="AF990" s="2"/>
      <c r="AG990" s="2"/>
      <c r="AH990" s="2"/>
      <c r="AI990" s="28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 ht="12" customHeight="1" x14ac:dyDescent="0.25">
      <c r="A991" s="2"/>
      <c r="B991" s="2"/>
      <c r="C991" s="2"/>
      <c r="D991" s="2"/>
      <c r="E991" s="2"/>
      <c r="F991" s="2"/>
      <c r="G991" s="26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81"/>
      <c r="AC991" s="2"/>
      <c r="AD991" s="2"/>
      <c r="AE991" s="281"/>
      <c r="AF991" s="2"/>
      <c r="AG991" s="2"/>
      <c r="AH991" s="2"/>
      <c r="AI991" s="28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 ht="12" customHeight="1" x14ac:dyDescent="0.25">
      <c r="A992" s="2"/>
      <c r="B992" s="2"/>
      <c r="C992" s="2"/>
      <c r="D992" s="2"/>
      <c r="E992" s="2"/>
      <c r="F992" s="2"/>
      <c r="G992" s="26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81"/>
      <c r="AC992" s="2"/>
      <c r="AD992" s="2"/>
      <c r="AE992" s="281"/>
      <c r="AF992" s="2"/>
      <c r="AG992" s="2"/>
      <c r="AH992" s="2"/>
      <c r="AI992" s="28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 ht="12" customHeight="1" x14ac:dyDescent="0.25">
      <c r="A993" s="2"/>
      <c r="B993" s="2"/>
      <c r="C993" s="2"/>
      <c r="D993" s="2"/>
      <c r="E993" s="2"/>
      <c r="F993" s="2"/>
      <c r="G993" s="26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81"/>
      <c r="AC993" s="2"/>
      <c r="AD993" s="2"/>
      <c r="AE993" s="281"/>
      <c r="AF993" s="2"/>
      <c r="AG993" s="2"/>
      <c r="AH993" s="2"/>
      <c r="AI993" s="28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 ht="12" customHeight="1" x14ac:dyDescent="0.25">
      <c r="A994" s="2"/>
      <c r="B994" s="2"/>
      <c r="C994" s="2"/>
      <c r="D994" s="2"/>
      <c r="E994" s="2"/>
      <c r="F994" s="2"/>
      <c r="G994" s="26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81"/>
      <c r="AC994" s="2"/>
      <c r="AD994" s="2"/>
      <c r="AE994" s="281"/>
      <c r="AF994" s="2"/>
      <c r="AG994" s="2"/>
      <c r="AH994" s="2"/>
      <c r="AI994" s="28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 ht="12" customHeight="1" x14ac:dyDescent="0.25">
      <c r="A995" s="2"/>
      <c r="B995" s="2"/>
      <c r="C995" s="2"/>
      <c r="D995" s="2"/>
      <c r="E995" s="2"/>
      <c r="F995" s="2"/>
      <c r="G995" s="26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81"/>
      <c r="AC995" s="2"/>
      <c r="AD995" s="2"/>
      <c r="AE995" s="281"/>
      <c r="AF995" s="2"/>
      <c r="AG995" s="2"/>
      <c r="AH995" s="2"/>
      <c r="AI995" s="28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 ht="12" customHeight="1" x14ac:dyDescent="0.25">
      <c r="A996" s="2"/>
      <c r="B996" s="2"/>
      <c r="C996" s="2"/>
      <c r="D996" s="2"/>
      <c r="E996" s="2"/>
      <c r="F996" s="2"/>
      <c r="G996" s="26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81"/>
      <c r="AC996" s="2"/>
      <c r="AD996" s="2"/>
      <c r="AE996" s="281"/>
      <c r="AF996" s="2"/>
      <c r="AG996" s="2"/>
      <c r="AH996" s="2"/>
      <c r="AI996" s="28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 ht="12" customHeight="1" x14ac:dyDescent="0.25">
      <c r="A997" s="2"/>
      <c r="B997" s="2"/>
      <c r="C997" s="2"/>
      <c r="D997" s="2"/>
      <c r="E997" s="2"/>
      <c r="F997" s="2"/>
      <c r="G997" s="26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81"/>
      <c r="AC997" s="2"/>
      <c r="AD997" s="2"/>
      <c r="AE997" s="281"/>
      <c r="AF997" s="2"/>
      <c r="AG997" s="2"/>
      <c r="AH997" s="2"/>
      <c r="AI997" s="28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 ht="12" customHeight="1" x14ac:dyDescent="0.25">
      <c r="A998" s="2"/>
      <c r="B998" s="2"/>
      <c r="C998" s="2"/>
      <c r="D998" s="2"/>
      <c r="E998" s="2"/>
      <c r="F998" s="2"/>
      <c r="G998" s="26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81"/>
      <c r="AC998" s="2"/>
      <c r="AD998" s="2"/>
      <c r="AE998" s="281"/>
      <c r="AF998" s="2"/>
      <c r="AG998" s="2"/>
      <c r="AH998" s="2"/>
      <c r="AI998" s="28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 ht="12" customHeight="1" x14ac:dyDescent="0.25">
      <c r="A999" s="2"/>
      <c r="B999" s="2"/>
      <c r="C999" s="2"/>
      <c r="D999" s="2"/>
      <c r="E999" s="2"/>
      <c r="F999" s="2"/>
      <c r="G999" s="26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81"/>
      <c r="AC999" s="2"/>
      <c r="AD999" s="2"/>
      <c r="AE999" s="281"/>
      <c r="AF999" s="2"/>
      <c r="AG999" s="2"/>
      <c r="AH999" s="2"/>
      <c r="AI999" s="28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 ht="12" customHeight="1" x14ac:dyDescent="0.25">
      <c r="A1000" s="2"/>
      <c r="B1000" s="2"/>
      <c r="C1000" s="2"/>
      <c r="D1000" s="2"/>
      <c r="E1000" s="2"/>
      <c r="F1000" s="2"/>
      <c r="G1000" s="26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81"/>
      <c r="AC1000" s="2"/>
      <c r="AD1000" s="2"/>
      <c r="AE1000" s="281"/>
      <c r="AF1000" s="2"/>
      <c r="AG1000" s="2"/>
      <c r="AH1000" s="2"/>
      <c r="AI1000" s="28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  <row r="1001" spans="1:52" ht="12" customHeight="1" x14ac:dyDescent="0.25">
      <c r="A1001" s="2"/>
      <c r="B1001" s="2"/>
      <c r="C1001" s="2"/>
      <c r="D1001" s="2"/>
      <c r="E1001" s="2"/>
      <c r="F1001" s="2"/>
      <c r="G1001" s="266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81"/>
      <c r="AC1001" s="2"/>
      <c r="AD1001" s="2"/>
      <c r="AE1001" s="281"/>
      <c r="AF1001" s="2"/>
      <c r="AG1001" s="2"/>
      <c r="AH1001" s="2"/>
      <c r="AI1001" s="28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</row>
  </sheetData>
  <mergeCells count="4">
    <mergeCell ref="A1:A3"/>
    <mergeCell ref="AV2:AX2"/>
    <mergeCell ref="A35:B35"/>
    <mergeCell ref="A40:B40"/>
  </mergeCells>
  <conditionalFormatting sqref="AV3:AX3">
    <cfRule type="cellIs" dxfId="23" priority="1" operator="equal">
      <formula>#REF!</formula>
    </cfRule>
  </conditionalFormatting>
  <conditionalFormatting sqref="AV3:AX3">
    <cfRule type="cellIs" dxfId="22" priority="2" operator="equal">
      <formula>#REF!</formula>
    </cfRule>
  </conditionalFormatting>
  <conditionalFormatting sqref="AV3:AX3">
    <cfRule type="cellIs" dxfId="21" priority="3" operator="equal">
      <formula>#REF!</formula>
    </cfRule>
  </conditionalFormatting>
  <conditionalFormatting sqref="AV3:AX3">
    <cfRule type="cellIs" dxfId="20" priority="4" operator="equal">
      <formula>#REF!</formula>
    </cfRule>
  </conditionalFormatting>
  <conditionalFormatting sqref="AI4:AU4">
    <cfRule type="cellIs" dxfId="19" priority="5" operator="equal">
      <formula>#REF!</formula>
    </cfRule>
  </conditionalFormatting>
  <conditionalFormatting sqref="AI4:AU4">
    <cfRule type="cellIs" dxfId="18" priority="6" operator="equal">
      <formula>#REF!</formula>
    </cfRule>
  </conditionalFormatting>
  <conditionalFormatting sqref="AI4:AU4">
    <cfRule type="cellIs" dxfId="17" priority="7" operator="equal">
      <formula>#REF!</formula>
    </cfRule>
  </conditionalFormatting>
  <conditionalFormatting sqref="AI4:AU4">
    <cfRule type="cellIs" dxfId="16" priority="8" operator="equal">
      <formula>#REF!</formula>
    </cfRule>
  </conditionalFormatting>
  <conditionalFormatting sqref="D3:AU3">
    <cfRule type="cellIs" dxfId="15" priority="13" operator="equal">
      <formula>#REF!</formula>
    </cfRule>
  </conditionalFormatting>
  <conditionalFormatting sqref="D3:AU3">
    <cfRule type="cellIs" dxfId="14" priority="14" operator="equal">
      <formula>#REF!</formula>
    </cfRule>
  </conditionalFormatting>
  <conditionalFormatting sqref="D3:AU3">
    <cfRule type="cellIs" dxfId="13" priority="15" operator="equal">
      <formula>#REF!</formula>
    </cfRule>
  </conditionalFormatting>
  <conditionalFormatting sqref="D3:AU3">
    <cfRule type="cellIs" dxfId="12" priority="16" operator="equal">
      <formula>#REF!</formula>
    </cfRule>
  </conditionalFormatting>
  <pageMargins left="0.7" right="0.7" top="0.75" bottom="0.75" header="0" footer="0"/>
  <pageSetup orientation="portrait"/>
  <headerFooter>
    <oddHeader>&amp;C000000OVERALL DRAW</oddHeader>
    <oddFooter>&amp;C000000PAGE &amp;P OF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AV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5" sqref="B5"/>
    </sheetView>
  </sheetViews>
  <sheetFormatPr defaultColWidth="14.42578125" defaultRowHeight="15" customHeight="1" x14ac:dyDescent="0.25"/>
  <cols>
    <col min="1" max="1" width="35.42578125" customWidth="1"/>
    <col min="2" max="2" width="14.42578125" customWidth="1"/>
    <col min="3" max="47" width="13.85546875" customWidth="1"/>
    <col min="48" max="48" width="17" customWidth="1"/>
  </cols>
  <sheetData>
    <row r="1" spans="1:48" ht="14.25" customHeight="1" x14ac:dyDescent="0.25">
      <c r="A1" s="1115" t="s">
        <v>519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4.25" customHeight="1" x14ac:dyDescent="0.25">
      <c r="A2" s="111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11" t="s">
        <v>476</v>
      </c>
    </row>
    <row r="3" spans="1:48" ht="14.25" customHeight="1" x14ac:dyDescent="0.25">
      <c r="A3" s="1117"/>
      <c r="B3" s="207" t="s">
        <v>520</v>
      </c>
      <c r="C3" s="212">
        <v>45292</v>
      </c>
      <c r="D3" s="117">
        <f t="shared" ref="D3:AU3" si="0">EOMONTH(C3,3)</f>
        <v>45412</v>
      </c>
      <c r="E3" s="117">
        <f t="shared" si="0"/>
        <v>45504</v>
      </c>
      <c r="F3" s="117">
        <f t="shared" si="0"/>
        <v>45596</v>
      </c>
      <c r="G3" s="117">
        <f t="shared" si="0"/>
        <v>45688</v>
      </c>
      <c r="H3" s="117">
        <f t="shared" si="0"/>
        <v>45777</v>
      </c>
      <c r="I3" s="117">
        <f t="shared" si="0"/>
        <v>45869</v>
      </c>
      <c r="J3" s="117">
        <f t="shared" si="0"/>
        <v>45961</v>
      </c>
      <c r="K3" s="117">
        <f t="shared" si="0"/>
        <v>46053</v>
      </c>
      <c r="L3" s="117">
        <f t="shared" si="0"/>
        <v>46142</v>
      </c>
      <c r="M3" s="117">
        <f t="shared" si="0"/>
        <v>46234</v>
      </c>
      <c r="N3" s="117">
        <f t="shared" si="0"/>
        <v>46326</v>
      </c>
      <c r="O3" s="117">
        <f t="shared" si="0"/>
        <v>46418</v>
      </c>
      <c r="P3" s="117">
        <f t="shared" si="0"/>
        <v>46507</v>
      </c>
      <c r="Q3" s="117">
        <f t="shared" si="0"/>
        <v>46599</v>
      </c>
      <c r="R3" s="117">
        <f t="shared" si="0"/>
        <v>46691</v>
      </c>
      <c r="S3" s="117">
        <f t="shared" si="0"/>
        <v>46783</v>
      </c>
      <c r="T3" s="117">
        <f t="shared" si="0"/>
        <v>46873</v>
      </c>
      <c r="U3" s="117">
        <f t="shared" si="0"/>
        <v>46965</v>
      </c>
      <c r="V3" s="117">
        <f t="shared" si="0"/>
        <v>47057</v>
      </c>
      <c r="W3" s="117">
        <f t="shared" si="0"/>
        <v>47149</v>
      </c>
      <c r="X3" s="117">
        <f t="shared" si="0"/>
        <v>47238</v>
      </c>
      <c r="Y3" s="117">
        <f t="shared" si="0"/>
        <v>47330</v>
      </c>
      <c r="Z3" s="117">
        <f t="shared" si="0"/>
        <v>47422</v>
      </c>
      <c r="AA3" s="117">
        <f t="shared" si="0"/>
        <v>47514</v>
      </c>
      <c r="AB3" s="117">
        <f t="shared" si="0"/>
        <v>47603</v>
      </c>
      <c r="AC3" s="117">
        <f t="shared" si="0"/>
        <v>47695</v>
      </c>
      <c r="AD3" s="117">
        <f t="shared" si="0"/>
        <v>47787</v>
      </c>
      <c r="AE3" s="117">
        <f t="shared" si="0"/>
        <v>47879</v>
      </c>
      <c r="AF3" s="117">
        <f t="shared" si="0"/>
        <v>47968</v>
      </c>
      <c r="AG3" s="117">
        <f t="shared" si="0"/>
        <v>48060</v>
      </c>
      <c r="AH3" s="117">
        <f t="shared" si="0"/>
        <v>48152</v>
      </c>
      <c r="AI3" s="117">
        <f t="shared" si="0"/>
        <v>48244</v>
      </c>
      <c r="AJ3" s="117">
        <f t="shared" si="0"/>
        <v>48334</v>
      </c>
      <c r="AK3" s="117">
        <f t="shared" si="0"/>
        <v>48426</v>
      </c>
      <c r="AL3" s="117">
        <f t="shared" si="0"/>
        <v>48518</v>
      </c>
      <c r="AM3" s="117">
        <f t="shared" si="0"/>
        <v>48610</v>
      </c>
      <c r="AN3" s="117">
        <f t="shared" si="0"/>
        <v>48699</v>
      </c>
      <c r="AO3" s="117">
        <f t="shared" si="0"/>
        <v>48791</v>
      </c>
      <c r="AP3" s="117">
        <f t="shared" si="0"/>
        <v>48883</v>
      </c>
      <c r="AQ3" s="117">
        <f t="shared" si="0"/>
        <v>48975</v>
      </c>
      <c r="AR3" s="117">
        <f t="shared" si="0"/>
        <v>49064</v>
      </c>
      <c r="AS3" s="117">
        <f t="shared" si="0"/>
        <v>49156</v>
      </c>
      <c r="AT3" s="117">
        <f t="shared" si="0"/>
        <v>49248</v>
      </c>
      <c r="AU3" s="117">
        <f t="shared" si="0"/>
        <v>49340</v>
      </c>
      <c r="AV3" s="119"/>
    </row>
    <row r="4" spans="1:48" ht="14.25" customHeight="1" x14ac:dyDescent="0.25">
      <c r="A4" s="150" t="s">
        <v>490</v>
      </c>
      <c r="B4" s="128">
        <f>SUM(C4:AU4)</f>
        <v>178580596.16200647</v>
      </c>
      <c r="C4" s="128">
        <f>'Phase I Draw'!C37+'Phase II Draw'!C37</f>
        <v>0</v>
      </c>
      <c r="D4" s="128">
        <f>'Phase I Draw'!D37+'Phase II Draw'!D37</f>
        <v>0</v>
      </c>
      <c r="E4" s="128">
        <f>'Phase I Draw'!E37+'Phase II Draw'!E37</f>
        <v>-4360984.4800000004</v>
      </c>
      <c r="F4" s="128">
        <f>'Phase I Draw'!F37+'Phase II Draw'!F37</f>
        <v>-3560984.48</v>
      </c>
      <c r="G4" s="128">
        <f>'Phase I Draw'!G37+'Phase II Draw'!G37</f>
        <v>-1220328.1600000001</v>
      </c>
      <c r="H4" s="128">
        <f>'Phase I Draw'!H37+'Phase II Draw'!H37</f>
        <v>-2405328.16</v>
      </c>
      <c r="I4" s="128">
        <f>'Phase I Draw'!I37+'Phase II Draw'!I37</f>
        <v>-680164.08000000007</v>
      </c>
      <c r="J4" s="128">
        <f>'Phase I Draw'!J37+'Phase II Draw'!J37</f>
        <v>-776565.63199999998</v>
      </c>
      <c r="K4" s="128">
        <f>'Phase I Draw'!K37+'Phase II Draw'!K37</f>
        <v>-15364226.678703297</v>
      </c>
      <c r="L4" s="128">
        <f>'Phase I Draw'!L37+'Phase II Draw'!L37</f>
        <v>-24182957.710754585</v>
      </c>
      <c r="M4" s="128">
        <f>'Phase I Draw'!M37+'Phase II Draw'!M37</f>
        <v>-33598337.348647445</v>
      </c>
      <c r="N4" s="128">
        <f>'Phase I Draw'!N37+'Phase II Draw'!N37</f>
        <v>-15572906.462420695</v>
      </c>
      <c r="O4" s="128">
        <f>'Phase I Draw'!O37+'Phase II Draw'!O37</f>
        <v>-14619206.979754031</v>
      </c>
      <c r="P4" s="128">
        <f>'Phase I Draw'!P37+'Phase II Draw'!P37</f>
        <v>-13268418.907705588</v>
      </c>
      <c r="Q4" s="128">
        <f>'Phase I Draw'!Q37+'Phase II Draw'!Q37</f>
        <v>-36572.203500000003</v>
      </c>
      <c r="R4" s="128">
        <f>'Phase I Draw'!R37+'Phase II Draw'!R37</f>
        <v>-253238.87016666666</v>
      </c>
      <c r="S4" s="128">
        <f>'Phase I Draw'!S37+'Phase II Draw'!S37</f>
        <v>-36572.203500000003</v>
      </c>
      <c r="T4" s="128">
        <f>'Phase I Draw'!T37+'Phase II Draw'!T37</f>
        <v>-12844080</v>
      </c>
      <c r="U4" s="128">
        <f>'Phase I Draw'!U37+'Phase II Draw'!U37</f>
        <v>-30056722.564232022</v>
      </c>
      <c r="V4" s="128">
        <f>'Phase I Draw'!V37+'Phase II Draw'!V37</f>
        <v>-3947352.2183212489</v>
      </c>
      <c r="W4" s="128">
        <f>'Phase I Draw'!W37+'Phase II Draw'!W37</f>
        <v>0</v>
      </c>
      <c r="X4" s="128">
        <f>'Phase I Draw'!X37+'Phase II Draw'!X37</f>
        <v>0</v>
      </c>
      <c r="Y4" s="128">
        <f>'Phase I Draw'!Y37+'Phase II Draw'!Y37</f>
        <v>0</v>
      </c>
      <c r="Z4" s="128">
        <f>'Phase I Draw'!Z37+'Phase II Draw'!Z37</f>
        <v>227402279.53625619</v>
      </c>
      <c r="AA4" s="128">
        <f>'Phase I Draw'!AA37+'Phase II Draw'!AA37</f>
        <v>0</v>
      </c>
      <c r="AB4" s="128">
        <f>'Phase I Draw'!AB37+'Phase II Draw'!AB37</f>
        <v>0</v>
      </c>
      <c r="AC4" s="128">
        <f>'Phase I Draw'!AC37+'Phase II Draw'!AC37</f>
        <v>0</v>
      </c>
      <c r="AD4" s="128">
        <f>'Phase I Draw'!AD37+'Phase II Draw'!AD37</f>
        <v>0</v>
      </c>
      <c r="AE4" s="128">
        <f>'Phase I Draw'!AE37+'Phase II Draw'!AE37</f>
        <v>0</v>
      </c>
      <c r="AF4" s="128">
        <f>'Phase I Draw'!AF37+'Phase II Draw'!AF37</f>
        <v>0</v>
      </c>
      <c r="AG4" s="128">
        <f>'Phase I Draw'!AG37+'Phase II Draw'!AG37</f>
        <v>0</v>
      </c>
      <c r="AH4" s="128">
        <f>'Phase I Draw'!AH37+'Phase II Draw'!AH37</f>
        <v>127963263.76545581</v>
      </c>
      <c r="AI4" s="128">
        <f>'Phase I Draw'!AI37+'Phase II Draw'!AI37</f>
        <v>0</v>
      </c>
      <c r="AJ4" s="128">
        <f>'Phase I Draw'!AJ37+'Phase II Draw'!AJ37</f>
        <v>0</v>
      </c>
      <c r="AK4" s="128">
        <f>'Phase I Draw'!AK37+'Phase II Draw'!AK37</f>
        <v>0</v>
      </c>
      <c r="AL4" s="128">
        <f>'Phase I Draw'!AL37+'Phase II Draw'!AL37</f>
        <v>0</v>
      </c>
      <c r="AM4" s="128">
        <f>'Phase I Draw'!AM37+'Phase II Draw'!AM37</f>
        <v>0</v>
      </c>
      <c r="AN4" s="128">
        <f>'Phase I Draw'!AN37+'Phase II Draw'!AN37</f>
        <v>0</v>
      </c>
      <c r="AO4" s="128">
        <f>'Phase I Draw'!AO37+'Phase II Draw'!AO37</f>
        <v>0</v>
      </c>
      <c r="AP4" s="128">
        <f>'Phase I Draw'!AP37+'Phase II Draw'!AP37</f>
        <v>0</v>
      </c>
      <c r="AQ4" s="128">
        <f>'Phase I Draw'!AQ37+'Phase II Draw'!AQ37</f>
        <v>0</v>
      </c>
      <c r="AR4" s="128">
        <f>'Phase I Draw'!AR37+'Phase II Draw'!AR37</f>
        <v>0</v>
      </c>
      <c r="AS4" s="128">
        <f>'Phase I Draw'!AS37+'Phase II Draw'!AS37</f>
        <v>0</v>
      </c>
      <c r="AT4" s="128">
        <f>'Phase I Draw'!AT37+'Phase II Draw'!AT37</f>
        <v>0</v>
      </c>
      <c r="AU4" s="128">
        <f>'Phase I Draw'!AU37+'Phase II Draw'!AU37</f>
        <v>0</v>
      </c>
      <c r="AV4" s="128"/>
    </row>
    <row r="5" spans="1:48" ht="14.25" customHeight="1" x14ac:dyDescent="0.25">
      <c r="A5" s="137" t="s">
        <v>491</v>
      </c>
      <c r="B5" s="9">
        <f>IF(B4&lt;0,0,IRR(C4:AU4))</f>
        <v>5.0392698938278802E-2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8"/>
    </row>
    <row r="6" spans="1:48" ht="14.25" customHeight="1" x14ac:dyDescent="0.25">
      <c r="A6" s="137" t="s">
        <v>492</v>
      </c>
      <c r="B6" s="208">
        <f>POWER((1+B5),4)-1</f>
        <v>0.21732566280346899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72"/>
    </row>
    <row r="7" spans="1:48" ht="14.25" customHeight="1" x14ac:dyDescent="0.25">
      <c r="A7" s="1"/>
      <c r="B7" s="21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72"/>
    </row>
    <row r="8" spans="1:48" ht="14.25" customHeight="1" x14ac:dyDescent="0.25">
      <c r="A8" s="137" t="s">
        <v>521</v>
      </c>
      <c r="B8" s="128">
        <f>SUM(C8:AU8)</f>
        <v>158379967.77739111</v>
      </c>
      <c r="C8" s="128">
        <f>'Phase I Draw'!C42+'Phase II Draw'!C42</f>
        <v>0</v>
      </c>
      <c r="D8" s="128">
        <f>'Phase I Draw'!D42+'Phase II Draw'!D42</f>
        <v>0</v>
      </c>
      <c r="E8" s="128">
        <f>'Phase I Draw'!E42+'Phase II Draw'!E42</f>
        <v>-4360984.4800000004</v>
      </c>
      <c r="F8" s="128">
        <f>'Phase I Draw'!F42+'Phase II Draw'!F42</f>
        <v>-3560984.48</v>
      </c>
      <c r="G8" s="128">
        <f>'Phase I Draw'!G42+'Phase II Draw'!G42</f>
        <v>-1220328.1600000001</v>
      </c>
      <c r="H8" s="128">
        <f>'Phase I Draw'!H42+'Phase II Draw'!H42</f>
        <v>-2405328.16</v>
      </c>
      <c r="I8" s="128">
        <f>'Phase I Draw'!I42+'Phase II Draw'!I42</f>
        <v>-680164.08000000007</v>
      </c>
      <c r="J8" s="128">
        <f>'Phase I Draw'!J42+'Phase II Draw'!J42</f>
        <v>-776565.63199999998</v>
      </c>
      <c r="K8" s="128">
        <f>'Phase I Draw'!K42+'Phase II Draw'!K42</f>
        <v>-15364226.678703297</v>
      </c>
      <c r="L8" s="128">
        <f>'Phase I Draw'!L42+'Phase II Draw'!L42</f>
        <v>-24182957.710754585</v>
      </c>
      <c r="M8" s="128">
        <f>'Phase I Draw'!M42+'Phase II Draw'!M42</f>
        <v>-33598337.348647445</v>
      </c>
      <c r="N8" s="128">
        <f>'Phase I Draw'!N42+'Phase II Draw'!N42</f>
        <v>-15572906.462420695</v>
      </c>
      <c r="O8" s="128">
        <f>'Phase I Draw'!O42+'Phase II Draw'!O42</f>
        <v>-14619206.979754031</v>
      </c>
      <c r="P8" s="128">
        <f>'Phase I Draw'!P42+'Phase II Draw'!P42</f>
        <v>-26070895.693123993</v>
      </c>
      <c r="Q8" s="128">
        <f>'Phase I Draw'!Q42+'Phase II Draw'!Q42</f>
        <v>-23661779.026457325</v>
      </c>
      <c r="R8" s="128">
        <f>'Phase I Draw'!R42+'Phase II Draw'!R42</f>
        <v>-23878445.693123993</v>
      </c>
      <c r="S8" s="128">
        <f>'Phase I Draw'!S42+'Phase II Draw'!S42</f>
        <v>-23661779.026457325</v>
      </c>
      <c r="T8" s="128">
        <f>'Phase I Draw'!T42+'Phase II Draw'!T42</f>
        <v>-36872992.877123997</v>
      </c>
      <c r="U8" s="128">
        <f>'Phase I Draw'!U42+'Phase II Draw'!U42</f>
        <v>-53606468.774689347</v>
      </c>
      <c r="V8" s="128">
        <f>'Phase I Draw'!V42+'Phase II Draw'!V42</f>
        <v>-23156385.659880422</v>
      </c>
      <c r="W8" s="128">
        <f>'Phase I Draw'!W42+'Phase II Draw'!W42</f>
        <v>-35191382.037041023</v>
      </c>
      <c r="X8" s="128">
        <f>'Phase I Draw'!X42+'Phase II Draw'!X42</f>
        <v>-35191382.037041023</v>
      </c>
      <c r="Y8" s="128">
        <f>'Phase I Draw'!Y42+'Phase II Draw'!Y42</f>
        <v>-18537689.75741395</v>
      </c>
      <c r="Z8" s="128">
        <f>'Phase I Draw'!Z42+'Phase II Draw'!Z42</f>
        <v>403131216.83077943</v>
      </c>
      <c r="AA8" s="128">
        <f>'Phase I Draw'!AA42+'Phase II Draw'!AA42</f>
        <v>-16544245.91711426</v>
      </c>
      <c r="AB8" s="128">
        <f>'Phase I Draw'!AB42+'Phase II Draw'!AB42</f>
        <v>-16544245.91711426</v>
      </c>
      <c r="AC8" s="128">
        <f>'Phase I Draw'!AC42+'Phase II Draw'!AC42</f>
        <v>-6221919.8294597268</v>
      </c>
      <c r="AD8" s="128">
        <f>'Phase I Draw'!AD42+'Phase II Draw'!AD42</f>
        <v>-6221919.8294597268</v>
      </c>
      <c r="AE8" s="128">
        <f>'Phase I Draw'!AE42+'Phase II Draw'!AE42</f>
        <v>-7412982.3294597268</v>
      </c>
      <c r="AF8" s="128">
        <f>'Phase I Draw'!AF42+'Phase II Draw'!AF42</f>
        <v>-7412982.3294597268</v>
      </c>
      <c r="AG8" s="128">
        <f>'Phase I Draw'!AG42+'Phase II Draw'!AG42</f>
        <v>-1852576.9003442496</v>
      </c>
      <c r="AH8" s="128">
        <f>'Phase I Draw'!AH42+'Phase II Draw'!AH42</f>
        <v>233630814.75365576</v>
      </c>
      <c r="AI8" s="128">
        <f>'Phase I Draw'!AI42+'Phase II Draw'!AI42</f>
        <v>0</v>
      </c>
      <c r="AJ8" s="128">
        <f>'Phase I Draw'!AJ42+'Phase II Draw'!AJ42</f>
        <v>0</v>
      </c>
      <c r="AK8" s="128">
        <f>'Phase I Draw'!AK42+'Phase II Draw'!AK42</f>
        <v>0</v>
      </c>
      <c r="AL8" s="128">
        <f>'Phase I Draw'!AL42+'Phase II Draw'!AL42</f>
        <v>0</v>
      </c>
      <c r="AM8" s="128">
        <f>'Phase I Draw'!AM42+'Phase II Draw'!AM42</f>
        <v>0</v>
      </c>
      <c r="AN8" s="128">
        <f>'Phase I Draw'!AN42+'Phase II Draw'!AN42</f>
        <v>0</v>
      </c>
      <c r="AO8" s="128">
        <f>'Phase I Draw'!AO42+'Phase II Draw'!AO42</f>
        <v>0</v>
      </c>
      <c r="AP8" s="128">
        <f>'Phase I Draw'!AP42+'Phase II Draw'!AP42</f>
        <v>0</v>
      </c>
      <c r="AQ8" s="128">
        <f>'Phase I Draw'!AQ42+'Phase II Draw'!AQ42</f>
        <v>0</v>
      </c>
      <c r="AR8" s="128">
        <f>'Phase I Draw'!AR42+'Phase II Draw'!AR42</f>
        <v>0</v>
      </c>
      <c r="AS8" s="128">
        <f>'Phase I Draw'!AS42+'Phase II Draw'!AS42</f>
        <v>0</v>
      </c>
      <c r="AT8" s="128">
        <f>'Phase I Draw'!AT42+'Phase II Draw'!AT42</f>
        <v>0</v>
      </c>
      <c r="AU8" s="128">
        <f>'Phase I Draw'!AU42+'Phase II Draw'!AU42</f>
        <v>0</v>
      </c>
      <c r="AV8" s="137"/>
    </row>
    <row r="9" spans="1:48" ht="14.25" customHeight="1" x14ac:dyDescent="0.25">
      <c r="A9" s="137" t="s">
        <v>522</v>
      </c>
      <c r="B9" s="9">
        <f>IF(B8&lt;0,0,IRR(C8:AU8))</f>
        <v>3.0494049195295858E-2</v>
      </c>
      <c r="C9" s="155"/>
      <c r="D9" s="1"/>
      <c r="E9" s="1"/>
      <c r="F9" s="1"/>
      <c r="G9" s="1"/>
      <c r="H9" s="1"/>
      <c r="I9" s="1"/>
      <c r="J9" s="1"/>
      <c r="K9" s="1"/>
      <c r="L9" s="1"/>
      <c r="M9" s="155"/>
      <c r="N9" s="1"/>
      <c r="O9" s="1"/>
      <c r="P9" s="1"/>
      <c r="Q9" s="1"/>
      <c r="R9" s="1"/>
      <c r="S9" s="155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37"/>
    </row>
    <row r="10" spans="1:48" ht="14.25" customHeight="1" x14ac:dyDescent="0.25">
      <c r="A10" s="137" t="s">
        <v>518</v>
      </c>
      <c r="B10" s="208">
        <f>POWER((1+B9),4)-1</f>
        <v>0.12766980777316128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55"/>
      <c r="N10" s="1"/>
      <c r="O10" s="1"/>
      <c r="P10" s="1"/>
      <c r="Q10" s="1"/>
      <c r="R10" s="1"/>
      <c r="S10" s="155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37"/>
    </row>
    <row r="11" spans="1:48" ht="14.2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4.2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4.2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4.2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4.2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4.2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4.2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4.2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4.2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G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4.2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G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4.2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G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4.2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G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4.2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G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4.2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G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4.2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G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4.2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G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4.2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G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4.2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G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4.2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G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4.2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G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4.2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G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4.2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G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4.2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G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4.2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G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4.2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G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4.2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G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4.2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G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4.2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G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4.2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G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4.2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G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4.2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G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4.2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G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4.2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G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ht="14.2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G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4.2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G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4.2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G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4.2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G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4.2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G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4.2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G49" s="2"/>
      <c r="AH49" s="2"/>
      <c r="AI49" s="28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4.2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G50" s="2"/>
      <c r="AH50" s="2"/>
      <c r="AI50" s="28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4.2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G51" s="2"/>
      <c r="AH51" s="2"/>
      <c r="AI51" s="28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4.2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G52" s="2"/>
      <c r="AH52" s="2"/>
      <c r="AI52" s="28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1:48" ht="14.2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G53" s="2"/>
      <c r="AH53" s="2"/>
      <c r="AI53" s="28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4.2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G54" s="2"/>
      <c r="AH54" s="2"/>
      <c r="AI54" s="28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4.2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G55" s="2"/>
      <c r="AH55" s="2"/>
      <c r="AI55" s="28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4.2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G56" s="2"/>
      <c r="AH56" s="2"/>
      <c r="AI56" s="28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4.2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G57" s="2"/>
      <c r="AH57" s="2"/>
      <c r="AI57" s="28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4.2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G58" s="2"/>
      <c r="AH58" s="2"/>
      <c r="AI58" s="28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ht="14.2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G59" s="2"/>
      <c r="AH59" s="2"/>
      <c r="AI59" s="28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4.2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G60" s="2"/>
      <c r="AH60" s="2"/>
      <c r="AI60" s="28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ht="14.2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G61" s="2"/>
      <c r="AH61" s="2"/>
      <c r="AI61" s="28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1:48" ht="14.2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G62" s="2"/>
      <c r="AH62" s="2"/>
      <c r="AI62" s="28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ht="14.2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G63" s="2"/>
      <c r="AH63" s="2"/>
      <c r="AI63" s="28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1:48" ht="14.2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G64" s="2"/>
      <c r="AH64" s="2"/>
      <c r="AI64" s="28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1:48" ht="14.2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G65" s="2"/>
      <c r="AH65" s="2"/>
      <c r="AI65" s="28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1:48" ht="14.2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G66" s="2"/>
      <c r="AH66" s="2"/>
      <c r="AI66" s="28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1:48" ht="14.2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G67" s="2"/>
      <c r="AH67" s="2"/>
      <c r="AI67" s="28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1:48" ht="14.2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G68" s="2"/>
      <c r="AH68" s="2"/>
      <c r="AI68" s="28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1:48" ht="14.2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G69" s="2"/>
      <c r="AH69" s="2"/>
      <c r="AI69" s="28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1:48" ht="14.2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G70" s="2"/>
      <c r="AH70" s="2"/>
      <c r="AI70" s="28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1:48" ht="14.2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G71" s="2"/>
      <c r="AH71" s="2"/>
      <c r="AI71" s="28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ht="14.2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G72" s="2"/>
      <c r="AH72" s="2"/>
      <c r="AI72" s="28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1:48" ht="14.2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G73" s="2"/>
      <c r="AH73" s="2"/>
      <c r="AI73" s="28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1:48" ht="14.2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G74" s="2"/>
      <c r="AH74" s="2"/>
      <c r="AI74" s="28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1:48" ht="14.2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G75" s="2"/>
      <c r="AH75" s="2"/>
      <c r="AI75" s="28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1:48" ht="14.2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G76" s="2"/>
      <c r="AH76" s="2"/>
      <c r="AI76" s="28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1:48" ht="14.2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G77" s="2"/>
      <c r="AH77" s="2"/>
      <c r="AI77" s="28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1:48" ht="14.2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G78" s="2"/>
      <c r="AH78" s="2"/>
      <c r="AI78" s="28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1:48" ht="14.2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G79" s="2"/>
      <c r="AH79" s="2"/>
      <c r="AI79" s="28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1:48" ht="14.2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G80" s="2"/>
      <c r="AH80" s="2"/>
      <c r="AI80" s="28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1:48" ht="14.2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G81" s="2"/>
      <c r="AH81" s="2"/>
      <c r="AI81" s="28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1:48" ht="14.2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G82" s="2"/>
      <c r="AH82" s="2"/>
      <c r="AI82" s="28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1:48" ht="14.2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G83" s="2"/>
      <c r="AH83" s="2"/>
      <c r="AI83" s="28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1:48" ht="14.2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G84" s="2"/>
      <c r="AH84" s="2"/>
      <c r="AI84" s="28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1:48" ht="14.2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G85" s="2"/>
      <c r="AH85" s="2"/>
      <c r="AI85" s="28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1:48" ht="14.2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G86" s="2"/>
      <c r="AH86" s="2"/>
      <c r="AI86" s="28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1:48" ht="14.2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G87" s="2"/>
      <c r="AH87" s="2"/>
      <c r="AI87" s="28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1:48" ht="14.2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G88" s="2"/>
      <c r="AH88" s="2"/>
      <c r="AI88" s="28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1:48" ht="14.2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G89" s="2"/>
      <c r="AH89" s="2"/>
      <c r="AI89" s="28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1:48" ht="14.2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G90" s="2"/>
      <c r="AH90" s="2"/>
      <c r="AI90" s="28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1:48" ht="14.2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G91" s="2"/>
      <c r="AH91" s="2"/>
      <c r="AI91" s="28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1:48" ht="14.2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G92" s="2"/>
      <c r="AH92" s="2"/>
      <c r="AI92" s="28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1:48" ht="14.2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G93" s="2"/>
      <c r="AH93" s="2"/>
      <c r="AI93" s="28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1:48" ht="14.2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G94" s="2"/>
      <c r="AH94" s="2"/>
      <c r="AI94" s="28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1:48" ht="14.2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G95" s="2"/>
      <c r="AH95" s="2"/>
      <c r="AI95" s="28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1:48" ht="14.2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G96" s="2"/>
      <c r="AH96" s="2"/>
      <c r="AI96" s="28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1:48" ht="14.2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G97" s="2"/>
      <c r="AH97" s="2"/>
      <c r="AI97" s="28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1:48" ht="14.2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G98" s="2"/>
      <c r="AH98" s="2"/>
      <c r="AI98" s="28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1:48" ht="14.2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G99" s="2"/>
      <c r="AH99" s="2"/>
      <c r="AI99" s="28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1:48" ht="14.2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G100" s="2"/>
      <c r="AH100" s="2"/>
      <c r="AI100" s="28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1:48" ht="14.2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G101" s="2"/>
      <c r="AH101" s="2"/>
      <c r="AI101" s="28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1:48" ht="14.2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G102" s="2"/>
      <c r="AH102" s="2"/>
      <c r="AI102" s="28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1:48" ht="14.2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G103" s="2"/>
      <c r="AH103" s="2"/>
      <c r="AI103" s="28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1:48" ht="14.2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G104" s="2"/>
      <c r="AH104" s="2"/>
      <c r="AI104" s="28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1:48" ht="14.2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G105" s="2"/>
      <c r="AH105" s="2"/>
      <c r="AI105" s="28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1:48" ht="14.2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G106" s="2"/>
      <c r="AH106" s="2"/>
      <c r="AI106" s="28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1:48" ht="14.2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G107" s="2"/>
      <c r="AH107" s="2"/>
      <c r="AI107" s="28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1:48" ht="14.2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G108" s="2"/>
      <c r="AH108" s="2"/>
      <c r="AI108" s="28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1:48" ht="14.2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G109" s="2"/>
      <c r="AH109" s="2"/>
      <c r="AI109" s="28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1:48" ht="14.2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G110" s="2"/>
      <c r="AH110" s="2"/>
      <c r="AI110" s="28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1:48" ht="14.2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G111" s="2"/>
      <c r="AH111" s="2"/>
      <c r="AI111" s="28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1:48" ht="14.2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G112" s="2"/>
      <c r="AH112" s="2"/>
      <c r="AI112" s="28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1:48" ht="14.2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G113" s="2"/>
      <c r="AH113" s="2"/>
      <c r="AI113" s="28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1:48" ht="14.2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G114" s="2"/>
      <c r="AH114" s="2"/>
      <c r="AI114" s="28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1:48" ht="14.2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G115" s="2"/>
      <c r="AH115" s="2"/>
      <c r="AI115" s="28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1:48" ht="14.2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G116" s="2"/>
      <c r="AH116" s="2"/>
      <c r="AI116" s="28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1:48" ht="14.2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G117" s="2"/>
      <c r="AH117" s="2"/>
      <c r="AI117" s="28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1:48" ht="14.2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G118" s="2"/>
      <c r="AH118" s="2"/>
      <c r="AI118" s="28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1:48" ht="14.2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G119" s="2"/>
      <c r="AH119" s="2"/>
      <c r="AI119" s="28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1:48" ht="14.2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G120" s="2"/>
      <c r="AH120" s="2"/>
      <c r="AI120" s="28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1:48" ht="14.2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G121" s="2"/>
      <c r="AH121" s="2"/>
      <c r="AI121" s="28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1:48" ht="14.2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G122" s="2"/>
      <c r="AH122" s="2"/>
      <c r="AI122" s="28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1:48" ht="14.2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G123" s="2"/>
      <c r="AH123" s="2"/>
      <c r="AI123" s="28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1:48" ht="14.2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G124" s="2"/>
      <c r="AH124" s="2"/>
      <c r="AI124" s="28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1:48" ht="14.2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G125" s="2"/>
      <c r="AH125" s="2"/>
      <c r="AI125" s="28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48" ht="14.2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G126" s="2"/>
      <c r="AH126" s="2"/>
      <c r="AI126" s="28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48" ht="14.2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G127" s="2"/>
      <c r="AH127" s="2"/>
      <c r="AI127" s="28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48" ht="14.2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G128" s="2"/>
      <c r="AH128" s="2"/>
      <c r="AI128" s="28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1:48" ht="14.2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G129" s="2"/>
      <c r="AH129" s="2"/>
      <c r="AI129" s="28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1:48" ht="14.2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G130" s="2"/>
      <c r="AH130" s="2"/>
      <c r="AI130" s="28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1:48" ht="14.2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G131" s="2"/>
      <c r="AH131" s="2"/>
      <c r="AI131" s="28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1:48" ht="14.2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G132" s="2"/>
      <c r="AH132" s="2"/>
      <c r="AI132" s="28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1:48" ht="14.2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G133" s="2"/>
      <c r="AH133" s="2"/>
      <c r="AI133" s="28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1:48" ht="14.2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G134" s="2"/>
      <c r="AH134" s="2"/>
      <c r="AI134" s="28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1:48" ht="14.2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G135" s="2"/>
      <c r="AH135" s="2"/>
      <c r="AI135" s="28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1:48" ht="14.2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G136" s="2"/>
      <c r="AH136" s="2"/>
      <c r="AI136" s="28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1:48" ht="14.2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G137" s="2"/>
      <c r="AH137" s="2"/>
      <c r="AI137" s="28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1:48" ht="14.2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G138" s="2"/>
      <c r="AH138" s="2"/>
      <c r="AI138" s="28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1:48" ht="14.2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G139" s="2"/>
      <c r="AH139" s="2"/>
      <c r="AI139" s="28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1:48" ht="14.2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G140" s="2"/>
      <c r="AH140" s="2"/>
      <c r="AI140" s="28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1:48" ht="14.2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G141" s="2"/>
      <c r="AH141" s="2"/>
      <c r="AI141" s="28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1:48" ht="14.2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G142" s="2"/>
      <c r="AH142" s="2"/>
      <c r="AI142" s="28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1:48" ht="14.2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G143" s="2"/>
      <c r="AH143" s="2"/>
      <c r="AI143" s="28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1:48" ht="14.2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G144" s="2"/>
      <c r="AH144" s="2"/>
      <c r="AI144" s="28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1:48" ht="14.2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G145" s="2"/>
      <c r="AH145" s="2"/>
      <c r="AI145" s="28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1:48" ht="14.2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G146" s="2"/>
      <c r="AH146" s="2"/>
      <c r="AI146" s="28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1:48" ht="14.2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G147" s="2"/>
      <c r="AH147" s="2"/>
      <c r="AI147" s="28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1:48" ht="14.2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G148" s="2"/>
      <c r="AH148" s="2"/>
      <c r="AI148" s="28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1:48" ht="14.2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G149" s="2"/>
      <c r="AH149" s="2"/>
      <c r="AI149" s="28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1:48" ht="14.2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G150" s="2"/>
      <c r="AH150" s="2"/>
      <c r="AI150" s="28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1:48" ht="14.2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G151" s="2"/>
      <c r="AH151" s="2"/>
      <c r="AI151" s="28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1:48" ht="14.2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G152" s="2"/>
      <c r="AH152" s="2"/>
      <c r="AI152" s="28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1:48" ht="14.2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G153" s="2"/>
      <c r="AH153" s="2"/>
      <c r="AI153" s="28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1:48" ht="14.2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G154" s="2"/>
      <c r="AH154" s="2"/>
      <c r="AI154" s="28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1:48" ht="14.2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G155" s="2"/>
      <c r="AH155" s="2"/>
      <c r="AI155" s="28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1:48" ht="14.2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G156" s="2"/>
      <c r="AH156" s="2"/>
      <c r="AI156" s="28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1:48" ht="14.2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G157" s="2"/>
      <c r="AH157" s="2"/>
      <c r="AI157" s="28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1:48" ht="14.2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G158" s="2"/>
      <c r="AH158" s="2"/>
      <c r="AI158" s="28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1:48" ht="14.2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G159" s="2"/>
      <c r="AH159" s="2"/>
      <c r="AI159" s="28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1:48" ht="14.2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G160" s="2"/>
      <c r="AH160" s="2"/>
      <c r="AI160" s="28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1:48" ht="14.2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G161" s="2"/>
      <c r="AH161" s="2"/>
      <c r="AI161" s="28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1:48" ht="14.2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G162" s="2"/>
      <c r="AH162" s="2"/>
      <c r="AI162" s="28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1:48" ht="14.2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G163" s="2"/>
      <c r="AH163" s="2"/>
      <c r="AI163" s="28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1:48" ht="14.2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G164" s="2"/>
      <c r="AH164" s="2"/>
      <c r="AI164" s="28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1:48" ht="14.2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G165" s="2"/>
      <c r="AH165" s="2"/>
      <c r="AI165" s="28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1:48" ht="14.2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G166" s="2"/>
      <c r="AH166" s="2"/>
      <c r="AI166" s="28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1:48" ht="14.2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G167" s="2"/>
      <c r="AH167" s="2"/>
      <c r="AI167" s="28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1:48" ht="14.2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G168" s="2"/>
      <c r="AH168" s="2"/>
      <c r="AI168" s="28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1:48" ht="14.2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G169" s="2"/>
      <c r="AH169" s="2"/>
      <c r="AI169" s="28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1:48" ht="14.2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G170" s="2"/>
      <c r="AH170" s="2"/>
      <c r="AI170" s="28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1:48" ht="14.2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G171" s="2"/>
      <c r="AH171" s="2"/>
      <c r="AI171" s="28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1:48" ht="14.2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G172" s="2"/>
      <c r="AH172" s="2"/>
      <c r="AI172" s="28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1:48" ht="14.2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G173" s="2"/>
      <c r="AH173" s="2"/>
      <c r="AI173" s="28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1:48" ht="14.2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G174" s="2"/>
      <c r="AH174" s="2"/>
      <c r="AI174" s="28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1:48" ht="14.2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G175" s="2"/>
      <c r="AH175" s="2"/>
      <c r="AI175" s="28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1:48" ht="14.2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G176" s="2"/>
      <c r="AH176" s="2"/>
      <c r="AI176" s="28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1:48" ht="14.2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G177" s="2"/>
      <c r="AH177" s="2"/>
      <c r="AI177" s="28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1:48" ht="14.2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G178" s="2"/>
      <c r="AH178" s="2"/>
      <c r="AI178" s="28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1:48" ht="14.2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G179" s="2"/>
      <c r="AH179" s="2"/>
      <c r="AI179" s="28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1:48" ht="14.2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G180" s="2"/>
      <c r="AH180" s="2"/>
      <c r="AI180" s="28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1:48" ht="14.2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G181" s="2"/>
      <c r="AH181" s="2"/>
      <c r="AI181" s="28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1:48" ht="14.2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G182" s="2"/>
      <c r="AH182" s="2"/>
      <c r="AI182" s="28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1:48" ht="14.2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G183" s="2"/>
      <c r="AH183" s="2"/>
      <c r="AI183" s="28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1:48" ht="14.2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G184" s="2"/>
      <c r="AH184" s="2"/>
      <c r="AI184" s="28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1:48" ht="14.2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G185" s="2"/>
      <c r="AH185" s="2"/>
      <c r="AI185" s="28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1:48" ht="14.2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G186" s="2"/>
      <c r="AH186" s="2"/>
      <c r="AI186" s="28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1:48" ht="14.2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G187" s="2"/>
      <c r="AH187" s="2"/>
      <c r="AI187" s="28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1:48" ht="14.2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G188" s="2"/>
      <c r="AH188" s="2"/>
      <c r="AI188" s="28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1:48" ht="14.2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G189" s="2"/>
      <c r="AH189" s="2"/>
      <c r="AI189" s="28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1:48" ht="14.2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G190" s="2"/>
      <c r="AH190" s="2"/>
      <c r="AI190" s="28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1:48" ht="14.2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G191" s="2"/>
      <c r="AH191" s="2"/>
      <c r="AI191" s="28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1:48" ht="14.2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G192" s="2"/>
      <c r="AH192" s="2"/>
      <c r="AI192" s="28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1:48" ht="14.2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G193" s="2"/>
      <c r="AH193" s="2"/>
      <c r="AI193" s="28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1:48" ht="14.2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G194" s="2"/>
      <c r="AH194" s="2"/>
      <c r="AI194" s="28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1:48" ht="14.2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G195" s="2"/>
      <c r="AH195" s="2"/>
      <c r="AI195" s="28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1:48" ht="14.2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G196" s="2"/>
      <c r="AH196" s="2"/>
      <c r="AI196" s="28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1:48" ht="14.2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G197" s="2"/>
      <c r="AH197" s="2"/>
      <c r="AI197" s="28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1:48" ht="14.2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G198" s="2"/>
      <c r="AH198" s="2"/>
      <c r="AI198" s="28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1:48" ht="14.2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G199" s="2"/>
      <c r="AH199" s="2"/>
      <c r="AI199" s="28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1:48" ht="14.2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G200" s="2"/>
      <c r="AH200" s="2"/>
      <c r="AI200" s="28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1:48" ht="14.2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G201" s="2"/>
      <c r="AH201" s="2"/>
      <c r="AI201" s="28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1:48" ht="14.2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G202" s="2"/>
      <c r="AH202" s="2"/>
      <c r="AI202" s="28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1:48" ht="14.2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G203" s="2"/>
      <c r="AH203" s="2"/>
      <c r="AI203" s="28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1:48" ht="14.2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G204" s="2"/>
      <c r="AH204" s="2"/>
      <c r="AI204" s="28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1:48" ht="14.2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G205" s="2"/>
      <c r="AH205" s="2"/>
      <c r="AI205" s="28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1:48" ht="14.2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G206" s="2"/>
      <c r="AH206" s="2"/>
      <c r="AI206" s="28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1:48" ht="14.2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G207" s="2"/>
      <c r="AH207" s="2"/>
      <c r="AI207" s="28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1:48" ht="14.2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G208" s="2"/>
      <c r="AH208" s="2"/>
      <c r="AI208" s="28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48" ht="14.2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G209" s="2"/>
      <c r="AH209" s="2"/>
      <c r="AI209" s="28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48" ht="14.2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G210" s="2"/>
      <c r="AH210" s="2"/>
      <c r="AI210" s="28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48" ht="14.2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G211" s="2"/>
      <c r="AH211" s="2"/>
      <c r="AI211" s="28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48" ht="14.2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G212" s="2"/>
      <c r="AH212" s="2"/>
      <c r="AI212" s="28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48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G213" s="2"/>
      <c r="AH213" s="2"/>
      <c r="AI213" s="28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48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G214" s="2"/>
      <c r="AH214" s="2"/>
      <c r="AI214" s="28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5" spans="1:48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G215" s="2"/>
      <c r="AH215" s="2"/>
      <c r="AI215" s="28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</row>
    <row r="216" spans="1:48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G216" s="2"/>
      <c r="AH216" s="2"/>
      <c r="AI216" s="28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</row>
    <row r="217" spans="1:48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G217" s="2"/>
      <c r="AH217" s="2"/>
      <c r="AI217" s="28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</row>
    <row r="218" spans="1:48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G218" s="2"/>
      <c r="AH218" s="2"/>
      <c r="AI218" s="28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</row>
    <row r="219" spans="1:48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G219" s="2"/>
      <c r="AH219" s="2"/>
      <c r="AI219" s="28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</row>
    <row r="220" spans="1:48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G220" s="2"/>
      <c r="AH220" s="2"/>
      <c r="AI220" s="28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</row>
    <row r="221" spans="1:48" ht="14.25" customHeight="1" x14ac:dyDescent="0.25">
      <c r="A221" s="2"/>
      <c r="B221" s="2"/>
      <c r="C221" s="2"/>
      <c r="D221" s="2"/>
      <c r="E221" s="2"/>
      <c r="F221" s="2"/>
      <c r="G221" s="26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81"/>
      <c r="AC221" s="2"/>
      <c r="AD221" s="2"/>
      <c r="AE221" s="281"/>
      <c r="AF221" s="2"/>
      <c r="AG221" s="2"/>
      <c r="AH221" s="2"/>
      <c r="AI221" s="28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</row>
    <row r="222" spans="1:48" ht="14.25" customHeight="1" x14ac:dyDescent="0.25">
      <c r="A222" s="2"/>
      <c r="B222" s="2"/>
      <c r="C222" s="2"/>
      <c r="D222" s="2"/>
      <c r="E222" s="2"/>
      <c r="F222" s="2"/>
      <c r="G222" s="26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81"/>
      <c r="AC222" s="2"/>
      <c r="AD222" s="2"/>
      <c r="AE222" s="281"/>
      <c r="AF222" s="2"/>
      <c r="AG222" s="2"/>
      <c r="AH222" s="2"/>
      <c r="AI222" s="28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</row>
    <row r="223" spans="1:48" ht="14.25" customHeight="1" x14ac:dyDescent="0.25">
      <c r="A223" s="2"/>
      <c r="B223" s="2"/>
      <c r="C223" s="2"/>
      <c r="D223" s="2"/>
      <c r="E223" s="2"/>
      <c r="F223" s="2"/>
      <c r="G223" s="26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81"/>
      <c r="AC223" s="2"/>
      <c r="AD223" s="2"/>
      <c r="AE223" s="281"/>
      <c r="AF223" s="2"/>
      <c r="AG223" s="2"/>
      <c r="AH223" s="2"/>
      <c r="AI223" s="28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</row>
    <row r="224" spans="1:48" ht="14.25" customHeight="1" x14ac:dyDescent="0.25">
      <c r="A224" s="2"/>
      <c r="B224" s="2"/>
      <c r="C224" s="2"/>
      <c r="D224" s="2"/>
      <c r="E224" s="2"/>
      <c r="F224" s="2"/>
      <c r="G224" s="26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81"/>
      <c r="AC224" s="2"/>
      <c r="AD224" s="2"/>
      <c r="AE224" s="281"/>
      <c r="AF224" s="2"/>
      <c r="AG224" s="2"/>
      <c r="AH224" s="2"/>
      <c r="AI224" s="28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</row>
    <row r="225" spans="1:48" ht="14.25" customHeight="1" x14ac:dyDescent="0.25">
      <c r="A225" s="2"/>
      <c r="B225" s="2"/>
      <c r="C225" s="2"/>
      <c r="D225" s="2"/>
      <c r="E225" s="2"/>
      <c r="F225" s="2"/>
      <c r="G225" s="26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81"/>
      <c r="AC225" s="2"/>
      <c r="AD225" s="2"/>
      <c r="AE225" s="281"/>
      <c r="AF225" s="2"/>
      <c r="AG225" s="2"/>
      <c r="AH225" s="2"/>
      <c r="AI225" s="28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</row>
    <row r="226" spans="1:48" ht="14.25" customHeight="1" x14ac:dyDescent="0.25">
      <c r="A226" s="2"/>
      <c r="B226" s="2"/>
      <c r="C226" s="2"/>
      <c r="D226" s="2"/>
      <c r="E226" s="2"/>
      <c r="F226" s="2"/>
      <c r="G226" s="26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81"/>
      <c r="AC226" s="2"/>
      <c r="AD226" s="2"/>
      <c r="AE226" s="281"/>
      <c r="AF226" s="2"/>
      <c r="AG226" s="2"/>
      <c r="AH226" s="2"/>
      <c r="AI226" s="28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</row>
    <row r="227" spans="1:48" ht="14.25" customHeight="1" x14ac:dyDescent="0.25">
      <c r="A227" s="2"/>
      <c r="B227" s="2"/>
      <c r="C227" s="2"/>
      <c r="D227" s="2"/>
      <c r="E227" s="2"/>
      <c r="F227" s="2"/>
      <c r="G227" s="26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81"/>
      <c r="AC227" s="2"/>
      <c r="AD227" s="2"/>
      <c r="AE227" s="281"/>
      <c r="AF227" s="2"/>
      <c r="AG227" s="2"/>
      <c r="AH227" s="2"/>
      <c r="AI227" s="28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</row>
    <row r="228" spans="1:48" ht="14.25" customHeight="1" x14ac:dyDescent="0.25">
      <c r="A228" s="2"/>
      <c r="B228" s="2"/>
      <c r="C228" s="2"/>
      <c r="D228" s="2"/>
      <c r="E228" s="2"/>
      <c r="F228" s="2"/>
      <c r="G228" s="26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81"/>
      <c r="AC228" s="2"/>
      <c r="AD228" s="2"/>
      <c r="AE228" s="281"/>
      <c r="AF228" s="2"/>
      <c r="AG228" s="2"/>
      <c r="AH228" s="2"/>
      <c r="AI228" s="28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</row>
    <row r="229" spans="1:48" ht="14.25" customHeight="1" x14ac:dyDescent="0.25">
      <c r="A229" s="2"/>
      <c r="B229" s="2"/>
      <c r="C229" s="2"/>
      <c r="D229" s="2"/>
      <c r="E229" s="2"/>
      <c r="F229" s="2"/>
      <c r="G229" s="26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81"/>
      <c r="AC229" s="2"/>
      <c r="AD229" s="2"/>
      <c r="AE229" s="281"/>
      <c r="AF229" s="2"/>
      <c r="AG229" s="2"/>
      <c r="AH229" s="2"/>
      <c r="AI229" s="28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</row>
    <row r="230" spans="1:48" ht="14.25" customHeight="1" x14ac:dyDescent="0.25">
      <c r="A230" s="2"/>
      <c r="B230" s="2"/>
      <c r="C230" s="2"/>
      <c r="D230" s="2"/>
      <c r="E230" s="2"/>
      <c r="F230" s="2"/>
      <c r="G230" s="26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81"/>
      <c r="AC230" s="2"/>
      <c r="AD230" s="2"/>
      <c r="AE230" s="281"/>
      <c r="AF230" s="2"/>
      <c r="AG230" s="2"/>
      <c r="AH230" s="2"/>
      <c r="AI230" s="28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</row>
    <row r="231" spans="1:48" ht="14.25" customHeight="1" x14ac:dyDescent="0.25">
      <c r="A231" s="2"/>
      <c r="B231" s="2"/>
      <c r="C231" s="2"/>
      <c r="D231" s="2"/>
      <c r="E231" s="2"/>
      <c r="F231" s="2"/>
      <c r="G231" s="26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81"/>
      <c r="AC231" s="2"/>
      <c r="AD231" s="2"/>
      <c r="AE231" s="281"/>
      <c r="AF231" s="2"/>
      <c r="AG231" s="2"/>
      <c r="AH231" s="2"/>
      <c r="AI231" s="28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</row>
    <row r="232" spans="1:48" ht="14.25" customHeight="1" x14ac:dyDescent="0.25">
      <c r="A232" s="2"/>
      <c r="B232" s="2"/>
      <c r="C232" s="2"/>
      <c r="D232" s="2"/>
      <c r="E232" s="2"/>
      <c r="F232" s="2"/>
      <c r="G232" s="26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81"/>
      <c r="AC232" s="2"/>
      <c r="AD232" s="2"/>
      <c r="AE232" s="281"/>
      <c r="AF232" s="2"/>
      <c r="AG232" s="2"/>
      <c r="AH232" s="2"/>
      <c r="AI232" s="28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</row>
    <row r="233" spans="1:48" ht="14.25" customHeight="1" x14ac:dyDescent="0.25">
      <c r="A233" s="2"/>
      <c r="B233" s="2"/>
      <c r="C233" s="2"/>
      <c r="D233" s="2"/>
      <c r="E233" s="2"/>
      <c r="F233" s="2"/>
      <c r="G233" s="26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81"/>
      <c r="AC233" s="2"/>
      <c r="AD233" s="2"/>
      <c r="AE233" s="281"/>
      <c r="AF233" s="2"/>
      <c r="AG233" s="2"/>
      <c r="AH233" s="2"/>
      <c r="AI233" s="28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</row>
    <row r="234" spans="1:48" ht="14.25" customHeight="1" x14ac:dyDescent="0.25">
      <c r="A234" s="2"/>
      <c r="B234" s="2"/>
      <c r="C234" s="2"/>
      <c r="D234" s="2"/>
      <c r="E234" s="2"/>
      <c r="F234" s="2"/>
      <c r="G234" s="26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81"/>
      <c r="AC234" s="2"/>
      <c r="AD234" s="2"/>
      <c r="AE234" s="281"/>
      <c r="AF234" s="2"/>
      <c r="AG234" s="2"/>
      <c r="AH234" s="2"/>
      <c r="AI234" s="28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</row>
    <row r="235" spans="1:48" ht="14.25" customHeight="1" x14ac:dyDescent="0.25">
      <c r="A235" s="2"/>
      <c r="B235" s="2"/>
      <c r="C235" s="2"/>
      <c r="D235" s="2"/>
      <c r="E235" s="2"/>
      <c r="F235" s="2"/>
      <c r="G235" s="26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81"/>
      <c r="AC235" s="2"/>
      <c r="AD235" s="2"/>
      <c r="AE235" s="281"/>
      <c r="AF235" s="2"/>
      <c r="AG235" s="2"/>
      <c r="AH235" s="2"/>
      <c r="AI235" s="28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</row>
    <row r="236" spans="1:48" ht="14.25" customHeight="1" x14ac:dyDescent="0.25">
      <c r="A236" s="2"/>
      <c r="B236" s="2"/>
      <c r="C236" s="2"/>
      <c r="D236" s="2"/>
      <c r="E236" s="2"/>
      <c r="F236" s="2"/>
      <c r="G236" s="26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81"/>
      <c r="AC236" s="2"/>
      <c r="AD236" s="2"/>
      <c r="AE236" s="281"/>
      <c r="AF236" s="2"/>
      <c r="AG236" s="2"/>
      <c r="AH236" s="2"/>
      <c r="AI236" s="28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</row>
    <row r="237" spans="1:48" ht="14.25" customHeight="1" x14ac:dyDescent="0.25">
      <c r="A237" s="2"/>
      <c r="B237" s="2"/>
      <c r="C237" s="2"/>
      <c r="D237" s="2"/>
      <c r="E237" s="2"/>
      <c r="F237" s="2"/>
      <c r="G237" s="26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81"/>
      <c r="AC237" s="2"/>
      <c r="AD237" s="2"/>
      <c r="AE237" s="281"/>
      <c r="AF237" s="2"/>
      <c r="AG237" s="2"/>
      <c r="AH237" s="2"/>
      <c r="AI237" s="28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</row>
    <row r="238" spans="1:48" ht="14.25" customHeight="1" x14ac:dyDescent="0.25">
      <c r="A238" s="2"/>
      <c r="B238" s="2"/>
      <c r="C238" s="2"/>
      <c r="D238" s="2"/>
      <c r="E238" s="2"/>
      <c r="F238" s="2"/>
      <c r="G238" s="26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81"/>
      <c r="AC238" s="2"/>
      <c r="AD238" s="2"/>
      <c r="AE238" s="281"/>
      <c r="AF238" s="2"/>
      <c r="AG238" s="2"/>
      <c r="AH238" s="2"/>
      <c r="AI238" s="28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</row>
    <row r="239" spans="1:48" ht="14.25" customHeight="1" x14ac:dyDescent="0.25">
      <c r="A239" s="2"/>
      <c r="B239" s="2"/>
      <c r="C239" s="2"/>
      <c r="D239" s="2"/>
      <c r="E239" s="2"/>
      <c r="F239" s="2"/>
      <c r="G239" s="26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81"/>
      <c r="AC239" s="2"/>
      <c r="AD239" s="2"/>
      <c r="AE239" s="281"/>
      <c r="AF239" s="2"/>
      <c r="AG239" s="2"/>
      <c r="AH239" s="2"/>
      <c r="AI239" s="28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</row>
    <row r="240" spans="1:48" ht="14.25" customHeight="1" x14ac:dyDescent="0.25">
      <c r="A240" s="2"/>
      <c r="B240" s="2"/>
      <c r="C240" s="2"/>
      <c r="D240" s="2"/>
      <c r="E240" s="2"/>
      <c r="F240" s="2"/>
      <c r="G240" s="26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81"/>
      <c r="AC240" s="2"/>
      <c r="AD240" s="2"/>
      <c r="AE240" s="281"/>
      <c r="AF240" s="2"/>
      <c r="AG240" s="2"/>
      <c r="AH240" s="2"/>
      <c r="AI240" s="28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</row>
    <row r="241" spans="1:48" ht="14.25" customHeight="1" x14ac:dyDescent="0.25">
      <c r="A241" s="2"/>
      <c r="B241" s="2"/>
      <c r="C241" s="2"/>
      <c r="D241" s="2"/>
      <c r="E241" s="2"/>
      <c r="F241" s="2"/>
      <c r="G241" s="26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81"/>
      <c r="AC241" s="2"/>
      <c r="AD241" s="2"/>
      <c r="AE241" s="281"/>
      <c r="AF241" s="2"/>
      <c r="AG241" s="2"/>
      <c r="AH241" s="2"/>
      <c r="AI241" s="28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</row>
    <row r="242" spans="1:48" ht="14.25" customHeight="1" x14ac:dyDescent="0.25">
      <c r="A242" s="2"/>
      <c r="B242" s="2"/>
      <c r="C242" s="2"/>
      <c r="D242" s="2"/>
      <c r="E242" s="2"/>
      <c r="F242" s="2"/>
      <c r="G242" s="26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81"/>
      <c r="AC242" s="2"/>
      <c r="AD242" s="2"/>
      <c r="AE242" s="281"/>
      <c r="AF242" s="2"/>
      <c r="AG242" s="2"/>
      <c r="AH242" s="2"/>
      <c r="AI242" s="28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</row>
    <row r="243" spans="1:48" ht="14.25" customHeight="1" x14ac:dyDescent="0.25">
      <c r="A243" s="2"/>
      <c r="B243" s="2"/>
      <c r="C243" s="2"/>
      <c r="D243" s="2"/>
      <c r="E243" s="2"/>
      <c r="F243" s="2"/>
      <c r="G243" s="26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81"/>
      <c r="AC243" s="2"/>
      <c r="AD243" s="2"/>
      <c r="AE243" s="281"/>
      <c r="AF243" s="2"/>
      <c r="AG243" s="2"/>
      <c r="AH243" s="2"/>
      <c r="AI243" s="28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</row>
    <row r="244" spans="1:48" ht="14.25" customHeight="1" x14ac:dyDescent="0.25">
      <c r="A244" s="2"/>
      <c r="B244" s="2"/>
      <c r="C244" s="2"/>
      <c r="D244" s="2"/>
      <c r="E244" s="2"/>
      <c r="F244" s="2"/>
      <c r="G244" s="26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81"/>
      <c r="AC244" s="2"/>
      <c r="AD244" s="2"/>
      <c r="AE244" s="281"/>
      <c r="AF244" s="2"/>
      <c r="AG244" s="2"/>
      <c r="AH244" s="2"/>
      <c r="AI244" s="28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</row>
    <row r="245" spans="1:48" ht="14.25" customHeight="1" x14ac:dyDescent="0.25">
      <c r="A245" s="2"/>
      <c r="B245" s="2"/>
      <c r="C245" s="2"/>
      <c r="D245" s="2"/>
      <c r="E245" s="2"/>
      <c r="F245" s="2"/>
      <c r="G245" s="26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81"/>
      <c r="AC245" s="2"/>
      <c r="AD245" s="2"/>
      <c r="AE245" s="281"/>
      <c r="AF245" s="2"/>
      <c r="AG245" s="2"/>
      <c r="AH245" s="2"/>
      <c r="AI245" s="28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</row>
    <row r="246" spans="1:48" ht="14.25" customHeight="1" x14ac:dyDescent="0.25">
      <c r="A246" s="2"/>
      <c r="B246" s="2"/>
      <c r="C246" s="2"/>
      <c r="D246" s="2"/>
      <c r="E246" s="2"/>
      <c r="F246" s="2"/>
      <c r="G246" s="26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81"/>
      <c r="AC246" s="2"/>
      <c r="AD246" s="2"/>
      <c r="AE246" s="281"/>
      <c r="AF246" s="2"/>
      <c r="AG246" s="2"/>
      <c r="AH246" s="2"/>
      <c r="AI246" s="28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</row>
    <row r="247" spans="1:48" ht="14.25" customHeight="1" x14ac:dyDescent="0.25">
      <c r="A247" s="2"/>
      <c r="B247" s="2"/>
      <c r="C247" s="2"/>
      <c r="D247" s="2"/>
      <c r="E247" s="2"/>
      <c r="F247" s="2"/>
      <c r="G247" s="26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81"/>
      <c r="AC247" s="2"/>
      <c r="AD247" s="2"/>
      <c r="AE247" s="281"/>
      <c r="AF247" s="2"/>
      <c r="AG247" s="2"/>
      <c r="AH247" s="2"/>
      <c r="AI247" s="28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</row>
    <row r="248" spans="1:48" ht="14.25" customHeight="1" x14ac:dyDescent="0.25">
      <c r="A248" s="2"/>
      <c r="B248" s="2"/>
      <c r="C248" s="2"/>
      <c r="D248" s="2"/>
      <c r="E248" s="2"/>
      <c r="F248" s="2"/>
      <c r="G248" s="26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81"/>
      <c r="AC248" s="2"/>
      <c r="AD248" s="2"/>
      <c r="AE248" s="281"/>
      <c r="AF248" s="2"/>
      <c r="AG248" s="2"/>
      <c r="AH248" s="2"/>
      <c r="AI248" s="28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</row>
    <row r="249" spans="1:48" ht="14.25" customHeight="1" x14ac:dyDescent="0.25">
      <c r="A249" s="2"/>
      <c r="B249" s="2"/>
      <c r="C249" s="2"/>
      <c r="D249" s="2"/>
      <c r="E249" s="2"/>
      <c r="F249" s="2"/>
      <c r="G249" s="26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81"/>
      <c r="AC249" s="2"/>
      <c r="AD249" s="2"/>
      <c r="AE249" s="281"/>
      <c r="AF249" s="2"/>
      <c r="AG249" s="2"/>
      <c r="AH249" s="2"/>
      <c r="AI249" s="28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</row>
    <row r="250" spans="1:48" ht="14.25" customHeight="1" x14ac:dyDescent="0.25">
      <c r="A250" s="2"/>
      <c r="B250" s="2"/>
      <c r="C250" s="2"/>
      <c r="D250" s="2"/>
      <c r="E250" s="2"/>
      <c r="F250" s="2"/>
      <c r="G250" s="26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81"/>
      <c r="AC250" s="2"/>
      <c r="AD250" s="2"/>
      <c r="AE250" s="281"/>
      <c r="AF250" s="2"/>
      <c r="AG250" s="2"/>
      <c r="AH250" s="2"/>
      <c r="AI250" s="28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</row>
    <row r="251" spans="1:48" ht="14.25" customHeight="1" x14ac:dyDescent="0.25">
      <c r="A251" s="2"/>
      <c r="B251" s="2"/>
      <c r="C251" s="2"/>
      <c r="D251" s="2"/>
      <c r="E251" s="2"/>
      <c r="F251" s="2"/>
      <c r="G251" s="26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81"/>
      <c r="AC251" s="2"/>
      <c r="AD251" s="2"/>
      <c r="AE251" s="281"/>
      <c r="AF251" s="2"/>
      <c r="AG251" s="2"/>
      <c r="AH251" s="2"/>
      <c r="AI251" s="28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</row>
    <row r="252" spans="1:48" ht="14.25" customHeight="1" x14ac:dyDescent="0.25">
      <c r="A252" s="2"/>
      <c r="B252" s="2"/>
      <c r="C252" s="2"/>
      <c r="D252" s="2"/>
      <c r="E252" s="2"/>
      <c r="F252" s="2"/>
      <c r="G252" s="26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81"/>
      <c r="AC252" s="2"/>
      <c r="AD252" s="2"/>
      <c r="AE252" s="281"/>
      <c r="AF252" s="2"/>
      <c r="AG252" s="2"/>
      <c r="AH252" s="2"/>
      <c r="AI252" s="28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</row>
    <row r="253" spans="1:48" ht="14.25" customHeight="1" x14ac:dyDescent="0.25">
      <c r="A253" s="2"/>
      <c r="B253" s="2"/>
      <c r="C253" s="2"/>
      <c r="D253" s="2"/>
      <c r="E253" s="2"/>
      <c r="F253" s="2"/>
      <c r="G253" s="26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81"/>
      <c r="AC253" s="2"/>
      <c r="AD253" s="2"/>
      <c r="AE253" s="281"/>
      <c r="AF253" s="2"/>
      <c r="AG253" s="2"/>
      <c r="AH253" s="2"/>
      <c r="AI253" s="28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</row>
    <row r="254" spans="1:48" ht="14.25" customHeight="1" x14ac:dyDescent="0.25">
      <c r="A254" s="2"/>
      <c r="B254" s="2"/>
      <c r="C254" s="2"/>
      <c r="D254" s="2"/>
      <c r="E254" s="2"/>
      <c r="F254" s="2"/>
      <c r="G254" s="26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81"/>
      <c r="AC254" s="2"/>
      <c r="AD254" s="2"/>
      <c r="AE254" s="281"/>
      <c r="AF254" s="2"/>
      <c r="AG254" s="2"/>
      <c r="AH254" s="2"/>
      <c r="AI254" s="28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</row>
    <row r="255" spans="1:48" ht="14.25" customHeight="1" x14ac:dyDescent="0.25">
      <c r="A255" s="2"/>
      <c r="B255" s="2"/>
      <c r="C255" s="2"/>
      <c r="D255" s="2"/>
      <c r="E255" s="2"/>
      <c r="F255" s="2"/>
      <c r="G255" s="26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81"/>
      <c r="AC255" s="2"/>
      <c r="AD255" s="2"/>
      <c r="AE255" s="281"/>
      <c r="AF255" s="2"/>
      <c r="AG255" s="2"/>
      <c r="AH255" s="2"/>
      <c r="AI255" s="28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</row>
    <row r="256" spans="1:48" ht="14.25" customHeight="1" x14ac:dyDescent="0.25">
      <c r="A256" s="2"/>
      <c r="B256" s="2"/>
      <c r="C256" s="2"/>
      <c r="D256" s="2"/>
      <c r="E256" s="2"/>
      <c r="F256" s="2"/>
      <c r="G256" s="26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81"/>
      <c r="AC256" s="2"/>
      <c r="AD256" s="2"/>
      <c r="AE256" s="281"/>
      <c r="AF256" s="2"/>
      <c r="AG256" s="2"/>
      <c r="AH256" s="2"/>
      <c r="AI256" s="28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</row>
    <row r="257" spans="1:48" ht="14.25" customHeight="1" x14ac:dyDescent="0.25">
      <c r="A257" s="2"/>
      <c r="B257" s="2"/>
      <c r="C257" s="2"/>
      <c r="D257" s="2"/>
      <c r="E257" s="2"/>
      <c r="F257" s="2"/>
      <c r="G257" s="26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81"/>
      <c r="AC257" s="2"/>
      <c r="AD257" s="2"/>
      <c r="AE257" s="281"/>
      <c r="AF257" s="2"/>
      <c r="AG257" s="2"/>
      <c r="AH257" s="2"/>
      <c r="AI257" s="28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</row>
    <row r="258" spans="1:48" ht="14.25" customHeight="1" x14ac:dyDescent="0.25">
      <c r="A258" s="2"/>
      <c r="B258" s="2"/>
      <c r="C258" s="2"/>
      <c r="D258" s="2"/>
      <c r="E258" s="2"/>
      <c r="F258" s="2"/>
      <c r="G258" s="26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81"/>
      <c r="AC258" s="2"/>
      <c r="AD258" s="2"/>
      <c r="AE258" s="281"/>
      <c r="AF258" s="2"/>
      <c r="AG258" s="2"/>
      <c r="AH258" s="2"/>
      <c r="AI258" s="28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</row>
    <row r="259" spans="1:48" ht="14.25" customHeight="1" x14ac:dyDescent="0.25">
      <c r="A259" s="2"/>
      <c r="B259" s="2"/>
      <c r="C259" s="2"/>
      <c r="D259" s="2"/>
      <c r="E259" s="2"/>
      <c r="F259" s="2"/>
      <c r="G259" s="26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81"/>
      <c r="AC259" s="2"/>
      <c r="AD259" s="2"/>
      <c r="AE259" s="281"/>
      <c r="AF259" s="2"/>
      <c r="AG259" s="2"/>
      <c r="AH259" s="2"/>
      <c r="AI259" s="28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</row>
    <row r="260" spans="1:48" ht="14.25" customHeight="1" x14ac:dyDescent="0.25">
      <c r="A260" s="2"/>
      <c r="B260" s="2"/>
      <c r="C260" s="2"/>
      <c r="D260" s="2"/>
      <c r="E260" s="2"/>
      <c r="F260" s="2"/>
      <c r="G260" s="26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81"/>
      <c r="AC260" s="2"/>
      <c r="AD260" s="2"/>
      <c r="AE260" s="281"/>
      <c r="AF260" s="2"/>
      <c r="AG260" s="2"/>
      <c r="AH260" s="2"/>
      <c r="AI260" s="28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</row>
    <row r="261" spans="1:48" ht="14.25" customHeight="1" x14ac:dyDescent="0.25">
      <c r="A261" s="2"/>
      <c r="B261" s="2"/>
      <c r="C261" s="2"/>
      <c r="D261" s="2"/>
      <c r="E261" s="2"/>
      <c r="F261" s="2"/>
      <c r="G261" s="26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81"/>
      <c r="AC261" s="2"/>
      <c r="AD261" s="2"/>
      <c r="AE261" s="281"/>
      <c r="AF261" s="2"/>
      <c r="AG261" s="2"/>
      <c r="AH261" s="2"/>
      <c r="AI261" s="28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</row>
    <row r="262" spans="1:48" ht="14.25" customHeight="1" x14ac:dyDescent="0.25">
      <c r="A262" s="2"/>
      <c r="B262" s="2"/>
      <c r="C262" s="2"/>
      <c r="D262" s="2"/>
      <c r="E262" s="2"/>
      <c r="F262" s="2"/>
      <c r="G262" s="26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81"/>
      <c r="AC262" s="2"/>
      <c r="AD262" s="2"/>
      <c r="AE262" s="281"/>
      <c r="AF262" s="2"/>
      <c r="AG262" s="2"/>
      <c r="AH262" s="2"/>
      <c r="AI262" s="28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</row>
    <row r="263" spans="1:48" ht="14.25" customHeight="1" x14ac:dyDescent="0.25">
      <c r="A263" s="2"/>
      <c r="B263" s="2"/>
      <c r="C263" s="2"/>
      <c r="D263" s="2"/>
      <c r="E263" s="2"/>
      <c r="F263" s="2"/>
      <c r="G263" s="26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81"/>
      <c r="AC263" s="2"/>
      <c r="AD263" s="2"/>
      <c r="AE263" s="281"/>
      <c r="AF263" s="2"/>
      <c r="AG263" s="2"/>
      <c r="AH263" s="2"/>
      <c r="AI263" s="28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</row>
    <row r="264" spans="1:48" ht="14.25" customHeight="1" x14ac:dyDescent="0.25">
      <c r="A264" s="2"/>
      <c r="B264" s="2"/>
      <c r="C264" s="2"/>
      <c r="D264" s="2"/>
      <c r="E264" s="2"/>
      <c r="F264" s="2"/>
      <c r="G264" s="26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81"/>
      <c r="AC264" s="2"/>
      <c r="AD264" s="2"/>
      <c r="AE264" s="281"/>
      <c r="AF264" s="2"/>
      <c r="AG264" s="2"/>
      <c r="AH264" s="2"/>
      <c r="AI264" s="28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</row>
    <row r="265" spans="1:48" ht="14.25" customHeight="1" x14ac:dyDescent="0.25">
      <c r="A265" s="2"/>
      <c r="B265" s="2"/>
      <c r="C265" s="2"/>
      <c r="D265" s="2"/>
      <c r="E265" s="2"/>
      <c r="F265" s="2"/>
      <c r="G265" s="26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81"/>
      <c r="AC265" s="2"/>
      <c r="AD265" s="2"/>
      <c r="AE265" s="281"/>
      <c r="AF265" s="2"/>
      <c r="AG265" s="2"/>
      <c r="AH265" s="2"/>
      <c r="AI265" s="28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</row>
    <row r="266" spans="1:48" ht="14.25" customHeight="1" x14ac:dyDescent="0.25">
      <c r="A266" s="2"/>
      <c r="B266" s="2"/>
      <c r="C266" s="2"/>
      <c r="D266" s="2"/>
      <c r="E266" s="2"/>
      <c r="F266" s="2"/>
      <c r="G266" s="26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81"/>
      <c r="AC266" s="2"/>
      <c r="AD266" s="2"/>
      <c r="AE266" s="281"/>
      <c r="AF266" s="2"/>
      <c r="AG266" s="2"/>
      <c r="AH266" s="2"/>
      <c r="AI266" s="28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</row>
    <row r="267" spans="1:48" ht="14.25" customHeight="1" x14ac:dyDescent="0.25">
      <c r="A267" s="2"/>
      <c r="B267" s="2"/>
      <c r="C267" s="2"/>
      <c r="D267" s="2"/>
      <c r="E267" s="2"/>
      <c r="F267" s="2"/>
      <c r="G267" s="26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81"/>
      <c r="AC267" s="2"/>
      <c r="AD267" s="2"/>
      <c r="AE267" s="281"/>
      <c r="AF267" s="2"/>
      <c r="AG267" s="2"/>
      <c r="AH267" s="2"/>
      <c r="AI267" s="28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</row>
    <row r="268" spans="1:48" ht="14.25" customHeight="1" x14ac:dyDescent="0.25">
      <c r="A268" s="2"/>
      <c r="B268" s="2"/>
      <c r="C268" s="2"/>
      <c r="D268" s="2"/>
      <c r="E268" s="2"/>
      <c r="F268" s="2"/>
      <c r="G268" s="26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81"/>
      <c r="AC268" s="2"/>
      <c r="AD268" s="2"/>
      <c r="AE268" s="281"/>
      <c r="AF268" s="2"/>
      <c r="AG268" s="2"/>
      <c r="AH268" s="2"/>
      <c r="AI268" s="28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</row>
    <row r="269" spans="1:48" ht="14.25" customHeight="1" x14ac:dyDescent="0.25">
      <c r="A269" s="2"/>
      <c r="B269" s="2"/>
      <c r="C269" s="2"/>
      <c r="D269" s="2"/>
      <c r="E269" s="2"/>
      <c r="F269" s="2"/>
      <c r="G269" s="26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81"/>
      <c r="AC269" s="2"/>
      <c r="AD269" s="2"/>
      <c r="AE269" s="281"/>
      <c r="AF269" s="2"/>
      <c r="AG269" s="2"/>
      <c r="AH269" s="2"/>
      <c r="AI269" s="28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</row>
    <row r="270" spans="1:48" ht="14.25" customHeight="1" x14ac:dyDescent="0.25">
      <c r="A270" s="2"/>
      <c r="B270" s="2"/>
      <c r="C270" s="2"/>
      <c r="D270" s="2"/>
      <c r="E270" s="2"/>
      <c r="F270" s="2"/>
      <c r="G270" s="26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81"/>
      <c r="AC270" s="2"/>
      <c r="AD270" s="2"/>
      <c r="AE270" s="281"/>
      <c r="AF270" s="2"/>
      <c r="AG270" s="2"/>
      <c r="AH270" s="2"/>
      <c r="AI270" s="28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</row>
    <row r="271" spans="1:48" ht="14.25" customHeight="1" x14ac:dyDescent="0.25">
      <c r="A271" s="2"/>
      <c r="B271" s="2"/>
      <c r="C271" s="2"/>
      <c r="D271" s="2"/>
      <c r="E271" s="2"/>
      <c r="F271" s="2"/>
      <c r="G271" s="26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81"/>
      <c r="AC271" s="2"/>
      <c r="AD271" s="2"/>
      <c r="AE271" s="281"/>
      <c r="AF271" s="2"/>
      <c r="AG271" s="2"/>
      <c r="AH271" s="2"/>
      <c r="AI271" s="28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</row>
    <row r="272" spans="1:48" ht="14.25" customHeight="1" x14ac:dyDescent="0.25">
      <c r="A272" s="2"/>
      <c r="B272" s="2"/>
      <c r="C272" s="2"/>
      <c r="D272" s="2"/>
      <c r="E272" s="2"/>
      <c r="F272" s="2"/>
      <c r="G272" s="26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81"/>
      <c r="AC272" s="2"/>
      <c r="AD272" s="2"/>
      <c r="AE272" s="281"/>
      <c r="AF272" s="2"/>
      <c r="AG272" s="2"/>
      <c r="AH272" s="2"/>
      <c r="AI272" s="28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</row>
    <row r="273" spans="1:48" ht="14.25" customHeight="1" x14ac:dyDescent="0.25">
      <c r="A273" s="2"/>
      <c r="B273" s="2"/>
      <c r="C273" s="2"/>
      <c r="D273" s="2"/>
      <c r="E273" s="2"/>
      <c r="F273" s="2"/>
      <c r="G273" s="26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81"/>
      <c r="AC273" s="2"/>
      <c r="AD273" s="2"/>
      <c r="AE273" s="281"/>
      <c r="AF273" s="2"/>
      <c r="AG273" s="2"/>
      <c r="AH273" s="2"/>
      <c r="AI273" s="28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</row>
    <row r="274" spans="1:48" ht="14.25" customHeight="1" x14ac:dyDescent="0.25">
      <c r="A274" s="2"/>
      <c r="B274" s="2"/>
      <c r="C274" s="2"/>
      <c r="D274" s="2"/>
      <c r="E274" s="2"/>
      <c r="F274" s="2"/>
      <c r="G274" s="26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81"/>
      <c r="AC274" s="2"/>
      <c r="AD274" s="2"/>
      <c r="AE274" s="281"/>
      <c r="AF274" s="2"/>
      <c r="AG274" s="2"/>
      <c r="AH274" s="2"/>
      <c r="AI274" s="28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</row>
    <row r="275" spans="1:48" ht="14.25" customHeight="1" x14ac:dyDescent="0.25">
      <c r="A275" s="2"/>
      <c r="B275" s="2"/>
      <c r="C275" s="2"/>
      <c r="D275" s="2"/>
      <c r="E275" s="2"/>
      <c r="F275" s="2"/>
      <c r="G275" s="26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81"/>
      <c r="AC275" s="2"/>
      <c r="AD275" s="2"/>
      <c r="AE275" s="281"/>
      <c r="AF275" s="2"/>
      <c r="AG275" s="2"/>
      <c r="AH275" s="2"/>
      <c r="AI275" s="28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</row>
    <row r="276" spans="1:48" ht="14.25" customHeight="1" x14ac:dyDescent="0.25">
      <c r="A276" s="2"/>
      <c r="B276" s="2"/>
      <c r="C276" s="2"/>
      <c r="D276" s="2"/>
      <c r="E276" s="2"/>
      <c r="F276" s="2"/>
      <c r="G276" s="26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81"/>
      <c r="AC276" s="2"/>
      <c r="AD276" s="2"/>
      <c r="AE276" s="281"/>
      <c r="AF276" s="2"/>
      <c r="AG276" s="2"/>
      <c r="AH276" s="2"/>
      <c r="AI276" s="28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</row>
    <row r="277" spans="1:48" ht="14.25" customHeight="1" x14ac:dyDescent="0.25">
      <c r="A277" s="2"/>
      <c r="B277" s="2"/>
      <c r="C277" s="2"/>
      <c r="D277" s="2"/>
      <c r="E277" s="2"/>
      <c r="F277" s="2"/>
      <c r="G277" s="26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81"/>
      <c r="AC277" s="2"/>
      <c r="AD277" s="2"/>
      <c r="AE277" s="281"/>
      <c r="AF277" s="2"/>
      <c r="AG277" s="2"/>
      <c r="AH277" s="2"/>
      <c r="AI277" s="28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</row>
    <row r="278" spans="1:48" ht="14.25" customHeight="1" x14ac:dyDescent="0.25">
      <c r="A278" s="2"/>
      <c r="B278" s="2"/>
      <c r="C278" s="2"/>
      <c r="D278" s="2"/>
      <c r="E278" s="2"/>
      <c r="F278" s="2"/>
      <c r="G278" s="26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81"/>
      <c r="AC278" s="2"/>
      <c r="AD278" s="2"/>
      <c r="AE278" s="281"/>
      <c r="AF278" s="2"/>
      <c r="AG278" s="2"/>
      <c r="AH278" s="2"/>
      <c r="AI278" s="28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</row>
    <row r="279" spans="1:48" ht="14.25" customHeight="1" x14ac:dyDescent="0.25">
      <c r="A279" s="2"/>
      <c r="B279" s="2"/>
      <c r="C279" s="2"/>
      <c r="D279" s="2"/>
      <c r="E279" s="2"/>
      <c r="F279" s="2"/>
      <c r="G279" s="26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81"/>
      <c r="AC279" s="2"/>
      <c r="AD279" s="2"/>
      <c r="AE279" s="281"/>
      <c r="AF279" s="2"/>
      <c r="AG279" s="2"/>
      <c r="AH279" s="2"/>
      <c r="AI279" s="28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</row>
    <row r="280" spans="1:48" ht="14.25" customHeight="1" x14ac:dyDescent="0.25">
      <c r="A280" s="2"/>
      <c r="B280" s="2"/>
      <c r="C280" s="2"/>
      <c r="D280" s="2"/>
      <c r="E280" s="2"/>
      <c r="F280" s="2"/>
      <c r="G280" s="26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81"/>
      <c r="AC280" s="2"/>
      <c r="AD280" s="2"/>
      <c r="AE280" s="281"/>
      <c r="AF280" s="2"/>
      <c r="AG280" s="2"/>
      <c r="AH280" s="2"/>
      <c r="AI280" s="28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</row>
    <row r="281" spans="1:48" ht="14.25" customHeight="1" x14ac:dyDescent="0.25">
      <c r="A281" s="2"/>
      <c r="B281" s="2"/>
      <c r="C281" s="2"/>
      <c r="D281" s="2"/>
      <c r="E281" s="2"/>
      <c r="F281" s="2"/>
      <c r="G281" s="26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81"/>
      <c r="AC281" s="2"/>
      <c r="AD281" s="2"/>
      <c r="AE281" s="281"/>
      <c r="AF281" s="2"/>
      <c r="AG281" s="2"/>
      <c r="AH281" s="2"/>
      <c r="AI281" s="28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</row>
    <row r="282" spans="1:48" ht="14.25" customHeight="1" x14ac:dyDescent="0.25">
      <c r="A282" s="2"/>
      <c r="B282" s="2"/>
      <c r="C282" s="2"/>
      <c r="D282" s="2"/>
      <c r="E282" s="2"/>
      <c r="F282" s="2"/>
      <c r="G282" s="26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81"/>
      <c r="AC282" s="2"/>
      <c r="AD282" s="2"/>
      <c r="AE282" s="281"/>
      <c r="AF282" s="2"/>
      <c r="AG282" s="2"/>
      <c r="AH282" s="2"/>
      <c r="AI282" s="28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</row>
    <row r="283" spans="1:48" ht="14.25" customHeight="1" x14ac:dyDescent="0.25">
      <c r="A283" s="2"/>
      <c r="B283" s="2"/>
      <c r="C283" s="2"/>
      <c r="D283" s="2"/>
      <c r="E283" s="2"/>
      <c r="F283" s="2"/>
      <c r="G283" s="26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81"/>
      <c r="AC283" s="2"/>
      <c r="AD283" s="2"/>
      <c r="AE283" s="281"/>
      <c r="AF283" s="2"/>
      <c r="AG283" s="2"/>
      <c r="AH283" s="2"/>
      <c r="AI283" s="28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</row>
    <row r="284" spans="1:48" ht="14.25" customHeight="1" x14ac:dyDescent="0.25">
      <c r="A284" s="2"/>
      <c r="B284" s="2"/>
      <c r="C284" s="2"/>
      <c r="D284" s="2"/>
      <c r="E284" s="2"/>
      <c r="F284" s="2"/>
      <c r="G284" s="26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81"/>
      <c r="AC284" s="2"/>
      <c r="AD284" s="2"/>
      <c r="AE284" s="281"/>
      <c r="AF284" s="2"/>
      <c r="AG284" s="2"/>
      <c r="AH284" s="2"/>
      <c r="AI284" s="28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</row>
    <row r="285" spans="1:48" ht="14.25" customHeight="1" x14ac:dyDescent="0.25">
      <c r="A285" s="2"/>
      <c r="B285" s="2"/>
      <c r="C285" s="2"/>
      <c r="D285" s="2"/>
      <c r="E285" s="2"/>
      <c r="F285" s="2"/>
      <c r="G285" s="26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81"/>
      <c r="AC285" s="2"/>
      <c r="AD285" s="2"/>
      <c r="AE285" s="281"/>
      <c r="AF285" s="2"/>
      <c r="AG285" s="2"/>
      <c r="AH285" s="2"/>
      <c r="AI285" s="28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</row>
    <row r="286" spans="1:48" ht="14.25" customHeight="1" x14ac:dyDescent="0.25">
      <c r="A286" s="2"/>
      <c r="B286" s="2"/>
      <c r="C286" s="2"/>
      <c r="D286" s="2"/>
      <c r="E286" s="2"/>
      <c r="F286" s="2"/>
      <c r="G286" s="26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81"/>
      <c r="AC286" s="2"/>
      <c r="AD286" s="2"/>
      <c r="AE286" s="281"/>
      <c r="AF286" s="2"/>
      <c r="AG286" s="2"/>
      <c r="AH286" s="2"/>
      <c r="AI286" s="28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</row>
    <row r="287" spans="1:48" ht="14.25" customHeight="1" x14ac:dyDescent="0.25">
      <c r="A287" s="2"/>
      <c r="B287" s="2"/>
      <c r="C287" s="2"/>
      <c r="D287" s="2"/>
      <c r="E287" s="2"/>
      <c r="F287" s="2"/>
      <c r="G287" s="26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81"/>
      <c r="AC287" s="2"/>
      <c r="AD287" s="2"/>
      <c r="AE287" s="281"/>
      <c r="AF287" s="2"/>
      <c r="AG287" s="2"/>
      <c r="AH287" s="2"/>
      <c r="AI287" s="28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</row>
    <row r="288" spans="1:48" ht="14.25" customHeight="1" x14ac:dyDescent="0.25">
      <c r="A288" s="2"/>
      <c r="B288" s="2"/>
      <c r="C288" s="2"/>
      <c r="D288" s="2"/>
      <c r="E288" s="2"/>
      <c r="F288" s="2"/>
      <c r="G288" s="26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81"/>
      <c r="AC288" s="2"/>
      <c r="AD288" s="2"/>
      <c r="AE288" s="281"/>
      <c r="AF288" s="2"/>
      <c r="AG288" s="2"/>
      <c r="AH288" s="2"/>
      <c r="AI288" s="28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</row>
    <row r="289" spans="1:48" ht="14.25" customHeight="1" x14ac:dyDescent="0.25">
      <c r="A289" s="2"/>
      <c r="B289" s="2"/>
      <c r="C289" s="2"/>
      <c r="D289" s="2"/>
      <c r="E289" s="2"/>
      <c r="F289" s="2"/>
      <c r="G289" s="26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81"/>
      <c r="AC289" s="2"/>
      <c r="AD289" s="2"/>
      <c r="AE289" s="281"/>
      <c r="AF289" s="2"/>
      <c r="AG289" s="2"/>
      <c r="AH289" s="2"/>
      <c r="AI289" s="28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</row>
    <row r="290" spans="1:48" ht="14.25" customHeight="1" x14ac:dyDescent="0.25">
      <c r="A290" s="2"/>
      <c r="B290" s="2"/>
      <c r="C290" s="2"/>
      <c r="D290" s="2"/>
      <c r="E290" s="2"/>
      <c r="F290" s="2"/>
      <c r="G290" s="26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81"/>
      <c r="AC290" s="2"/>
      <c r="AD290" s="2"/>
      <c r="AE290" s="281"/>
      <c r="AF290" s="2"/>
      <c r="AG290" s="2"/>
      <c r="AH290" s="2"/>
      <c r="AI290" s="28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</row>
    <row r="291" spans="1:48" ht="14.25" customHeight="1" x14ac:dyDescent="0.25">
      <c r="A291" s="2"/>
      <c r="B291" s="2"/>
      <c r="C291" s="2"/>
      <c r="D291" s="2"/>
      <c r="E291" s="2"/>
      <c r="F291" s="2"/>
      <c r="G291" s="26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81"/>
      <c r="AC291" s="2"/>
      <c r="AD291" s="2"/>
      <c r="AE291" s="281"/>
      <c r="AF291" s="2"/>
      <c r="AG291" s="2"/>
      <c r="AH291" s="2"/>
      <c r="AI291" s="28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</row>
    <row r="292" spans="1:48" ht="14.25" customHeight="1" x14ac:dyDescent="0.25">
      <c r="A292" s="2"/>
      <c r="B292" s="2"/>
      <c r="C292" s="2"/>
      <c r="D292" s="2"/>
      <c r="E292" s="2"/>
      <c r="F292" s="2"/>
      <c r="G292" s="26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81"/>
      <c r="AC292" s="2"/>
      <c r="AD292" s="2"/>
      <c r="AE292" s="281"/>
      <c r="AF292" s="2"/>
      <c r="AG292" s="2"/>
      <c r="AH292" s="2"/>
      <c r="AI292" s="28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</row>
    <row r="293" spans="1:48" ht="14.25" customHeight="1" x14ac:dyDescent="0.25">
      <c r="A293" s="2"/>
      <c r="B293" s="2"/>
      <c r="C293" s="2"/>
      <c r="D293" s="2"/>
      <c r="E293" s="2"/>
      <c r="F293" s="2"/>
      <c r="G293" s="26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81"/>
      <c r="AC293" s="2"/>
      <c r="AD293" s="2"/>
      <c r="AE293" s="281"/>
      <c r="AF293" s="2"/>
      <c r="AG293" s="2"/>
      <c r="AH293" s="2"/>
      <c r="AI293" s="28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</row>
    <row r="294" spans="1:48" ht="14.25" customHeight="1" x14ac:dyDescent="0.25">
      <c r="A294" s="2"/>
      <c r="B294" s="2"/>
      <c r="C294" s="2"/>
      <c r="D294" s="2"/>
      <c r="E294" s="2"/>
      <c r="F294" s="2"/>
      <c r="G294" s="26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81"/>
      <c r="AC294" s="2"/>
      <c r="AD294" s="2"/>
      <c r="AE294" s="281"/>
      <c r="AF294" s="2"/>
      <c r="AG294" s="2"/>
      <c r="AH294" s="2"/>
      <c r="AI294" s="28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</row>
    <row r="295" spans="1:48" ht="14.25" customHeight="1" x14ac:dyDescent="0.25">
      <c r="A295" s="2"/>
      <c r="B295" s="2"/>
      <c r="C295" s="2"/>
      <c r="D295" s="2"/>
      <c r="E295" s="2"/>
      <c r="F295" s="2"/>
      <c r="G295" s="26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81"/>
      <c r="AC295" s="2"/>
      <c r="AD295" s="2"/>
      <c r="AE295" s="281"/>
      <c r="AF295" s="2"/>
      <c r="AG295" s="2"/>
      <c r="AH295" s="2"/>
      <c r="AI295" s="28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</row>
    <row r="296" spans="1:48" ht="14.25" customHeight="1" x14ac:dyDescent="0.25">
      <c r="A296" s="2"/>
      <c r="B296" s="2"/>
      <c r="C296" s="2"/>
      <c r="D296" s="2"/>
      <c r="E296" s="2"/>
      <c r="F296" s="2"/>
      <c r="G296" s="26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81"/>
      <c r="AC296" s="2"/>
      <c r="AD296" s="2"/>
      <c r="AE296" s="281"/>
      <c r="AF296" s="2"/>
      <c r="AG296" s="2"/>
      <c r="AH296" s="2"/>
      <c r="AI296" s="28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</row>
    <row r="297" spans="1:48" ht="14.25" customHeight="1" x14ac:dyDescent="0.25">
      <c r="A297" s="2"/>
      <c r="B297" s="2"/>
      <c r="C297" s="2"/>
      <c r="D297" s="2"/>
      <c r="E297" s="2"/>
      <c r="F297" s="2"/>
      <c r="G297" s="26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81"/>
      <c r="AC297" s="2"/>
      <c r="AD297" s="2"/>
      <c r="AE297" s="281"/>
      <c r="AF297" s="2"/>
      <c r="AG297" s="2"/>
      <c r="AH297" s="2"/>
      <c r="AI297" s="28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</row>
    <row r="298" spans="1:48" ht="14.25" customHeight="1" x14ac:dyDescent="0.25">
      <c r="A298" s="2"/>
      <c r="B298" s="2"/>
      <c r="C298" s="2"/>
      <c r="D298" s="2"/>
      <c r="E298" s="2"/>
      <c r="F298" s="2"/>
      <c r="G298" s="26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81"/>
      <c r="AC298" s="2"/>
      <c r="AD298" s="2"/>
      <c r="AE298" s="281"/>
      <c r="AF298" s="2"/>
      <c r="AG298" s="2"/>
      <c r="AH298" s="2"/>
      <c r="AI298" s="28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</row>
    <row r="299" spans="1:48" ht="14.25" customHeight="1" x14ac:dyDescent="0.25">
      <c r="A299" s="2"/>
      <c r="B299" s="2"/>
      <c r="C299" s="2"/>
      <c r="D299" s="2"/>
      <c r="E299" s="2"/>
      <c r="F299" s="2"/>
      <c r="G299" s="26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81"/>
      <c r="AC299" s="2"/>
      <c r="AD299" s="2"/>
      <c r="AE299" s="281"/>
      <c r="AF299" s="2"/>
      <c r="AG299" s="2"/>
      <c r="AH299" s="2"/>
      <c r="AI299" s="28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</row>
    <row r="300" spans="1:48" ht="14.25" customHeight="1" x14ac:dyDescent="0.25">
      <c r="A300" s="2"/>
      <c r="B300" s="2"/>
      <c r="C300" s="2"/>
      <c r="D300" s="2"/>
      <c r="E300" s="2"/>
      <c r="F300" s="2"/>
      <c r="G300" s="26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81"/>
      <c r="AC300" s="2"/>
      <c r="AD300" s="2"/>
      <c r="AE300" s="281"/>
      <c r="AF300" s="2"/>
      <c r="AG300" s="2"/>
      <c r="AH300" s="2"/>
      <c r="AI300" s="28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</row>
    <row r="301" spans="1:48" ht="14.25" customHeight="1" x14ac:dyDescent="0.25">
      <c r="A301" s="2"/>
      <c r="B301" s="2"/>
      <c r="C301" s="2"/>
      <c r="D301" s="2"/>
      <c r="E301" s="2"/>
      <c r="F301" s="2"/>
      <c r="G301" s="26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81"/>
      <c r="AC301" s="2"/>
      <c r="AD301" s="2"/>
      <c r="AE301" s="281"/>
      <c r="AF301" s="2"/>
      <c r="AG301" s="2"/>
      <c r="AH301" s="2"/>
      <c r="AI301" s="28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</row>
    <row r="302" spans="1:48" ht="14.25" customHeight="1" x14ac:dyDescent="0.25">
      <c r="A302" s="2"/>
      <c r="B302" s="2"/>
      <c r="C302" s="2"/>
      <c r="D302" s="2"/>
      <c r="E302" s="2"/>
      <c r="F302" s="2"/>
      <c r="G302" s="26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81"/>
      <c r="AC302" s="2"/>
      <c r="AD302" s="2"/>
      <c r="AE302" s="281"/>
      <c r="AF302" s="2"/>
      <c r="AG302" s="2"/>
      <c r="AH302" s="2"/>
      <c r="AI302" s="28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</row>
    <row r="303" spans="1:48" ht="14.25" customHeight="1" x14ac:dyDescent="0.25">
      <c r="A303" s="2"/>
      <c r="B303" s="2"/>
      <c r="C303" s="2"/>
      <c r="D303" s="2"/>
      <c r="E303" s="2"/>
      <c r="F303" s="2"/>
      <c r="G303" s="26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81"/>
      <c r="AC303" s="2"/>
      <c r="AD303" s="2"/>
      <c r="AE303" s="281"/>
      <c r="AF303" s="2"/>
      <c r="AG303" s="2"/>
      <c r="AH303" s="2"/>
      <c r="AI303" s="28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</row>
    <row r="304" spans="1:48" ht="14.25" customHeight="1" x14ac:dyDescent="0.25">
      <c r="A304" s="2"/>
      <c r="B304" s="2"/>
      <c r="C304" s="2"/>
      <c r="D304" s="2"/>
      <c r="E304" s="2"/>
      <c r="F304" s="2"/>
      <c r="G304" s="26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81"/>
      <c r="AC304" s="2"/>
      <c r="AD304" s="2"/>
      <c r="AE304" s="281"/>
      <c r="AF304" s="2"/>
      <c r="AG304" s="2"/>
      <c r="AH304" s="2"/>
      <c r="AI304" s="28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</row>
    <row r="305" spans="1:48" ht="14.25" customHeight="1" x14ac:dyDescent="0.25">
      <c r="A305" s="2"/>
      <c r="B305" s="2"/>
      <c r="C305" s="2"/>
      <c r="D305" s="2"/>
      <c r="E305" s="2"/>
      <c r="F305" s="2"/>
      <c r="G305" s="26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81"/>
      <c r="AC305" s="2"/>
      <c r="AD305" s="2"/>
      <c r="AE305" s="281"/>
      <c r="AF305" s="2"/>
      <c r="AG305" s="2"/>
      <c r="AH305" s="2"/>
      <c r="AI305" s="28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</row>
    <row r="306" spans="1:48" ht="14.25" customHeight="1" x14ac:dyDescent="0.25">
      <c r="A306" s="2"/>
      <c r="B306" s="2"/>
      <c r="C306" s="2"/>
      <c r="D306" s="2"/>
      <c r="E306" s="2"/>
      <c r="F306" s="2"/>
      <c r="G306" s="26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81"/>
      <c r="AC306" s="2"/>
      <c r="AD306" s="2"/>
      <c r="AE306" s="281"/>
      <c r="AF306" s="2"/>
      <c r="AG306" s="2"/>
      <c r="AH306" s="2"/>
      <c r="AI306" s="28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</row>
    <row r="307" spans="1:48" ht="14.25" customHeight="1" x14ac:dyDescent="0.25">
      <c r="A307" s="2"/>
      <c r="B307" s="2"/>
      <c r="C307" s="2"/>
      <c r="D307" s="2"/>
      <c r="E307" s="2"/>
      <c r="F307" s="2"/>
      <c r="G307" s="26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81"/>
      <c r="AC307" s="2"/>
      <c r="AD307" s="2"/>
      <c r="AE307" s="281"/>
      <c r="AF307" s="2"/>
      <c r="AG307" s="2"/>
      <c r="AH307" s="2"/>
      <c r="AI307" s="28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</row>
    <row r="308" spans="1:48" ht="14.25" customHeight="1" x14ac:dyDescent="0.25">
      <c r="A308" s="2"/>
      <c r="B308" s="2"/>
      <c r="C308" s="2"/>
      <c r="D308" s="2"/>
      <c r="E308" s="2"/>
      <c r="F308" s="2"/>
      <c r="G308" s="26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81"/>
      <c r="AC308" s="2"/>
      <c r="AD308" s="2"/>
      <c r="AE308" s="281"/>
      <c r="AF308" s="2"/>
      <c r="AG308" s="2"/>
      <c r="AH308" s="2"/>
      <c r="AI308" s="28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</row>
    <row r="309" spans="1:48" ht="14.25" customHeight="1" x14ac:dyDescent="0.25">
      <c r="A309" s="2"/>
      <c r="B309" s="2"/>
      <c r="C309" s="2"/>
      <c r="D309" s="2"/>
      <c r="E309" s="2"/>
      <c r="F309" s="2"/>
      <c r="G309" s="26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81"/>
      <c r="AC309" s="2"/>
      <c r="AD309" s="2"/>
      <c r="AE309" s="281"/>
      <c r="AF309" s="2"/>
      <c r="AG309" s="2"/>
      <c r="AH309" s="2"/>
      <c r="AI309" s="28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</row>
    <row r="310" spans="1:48" ht="14.25" customHeight="1" x14ac:dyDescent="0.25">
      <c r="A310" s="2"/>
      <c r="B310" s="2"/>
      <c r="C310" s="2"/>
      <c r="D310" s="2"/>
      <c r="E310" s="2"/>
      <c r="F310" s="2"/>
      <c r="G310" s="26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81"/>
      <c r="AC310" s="2"/>
      <c r="AD310" s="2"/>
      <c r="AE310" s="281"/>
      <c r="AF310" s="2"/>
      <c r="AG310" s="2"/>
      <c r="AH310" s="2"/>
      <c r="AI310" s="28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</row>
    <row r="311" spans="1:48" ht="14.25" customHeight="1" x14ac:dyDescent="0.25">
      <c r="A311" s="2"/>
      <c r="B311" s="2"/>
      <c r="C311" s="2"/>
      <c r="D311" s="2"/>
      <c r="E311" s="2"/>
      <c r="F311" s="2"/>
      <c r="G311" s="26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81"/>
      <c r="AC311" s="2"/>
      <c r="AD311" s="2"/>
      <c r="AE311" s="281"/>
      <c r="AF311" s="2"/>
      <c r="AG311" s="2"/>
      <c r="AH311" s="2"/>
      <c r="AI311" s="28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</row>
    <row r="312" spans="1:48" ht="14.25" customHeight="1" x14ac:dyDescent="0.25">
      <c r="A312" s="2"/>
      <c r="B312" s="2"/>
      <c r="C312" s="2"/>
      <c r="D312" s="2"/>
      <c r="E312" s="2"/>
      <c r="F312" s="2"/>
      <c r="G312" s="26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81"/>
      <c r="AC312" s="2"/>
      <c r="AD312" s="2"/>
      <c r="AE312" s="281"/>
      <c r="AF312" s="2"/>
      <c r="AG312" s="2"/>
      <c r="AH312" s="2"/>
      <c r="AI312" s="28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</row>
    <row r="313" spans="1:48" ht="14.25" customHeight="1" x14ac:dyDescent="0.25">
      <c r="A313" s="2"/>
      <c r="B313" s="2"/>
      <c r="C313" s="2"/>
      <c r="D313" s="2"/>
      <c r="E313" s="2"/>
      <c r="F313" s="2"/>
      <c r="G313" s="26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81"/>
      <c r="AC313" s="2"/>
      <c r="AD313" s="2"/>
      <c r="AE313" s="281"/>
      <c r="AF313" s="2"/>
      <c r="AG313" s="2"/>
      <c r="AH313" s="2"/>
      <c r="AI313" s="28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</row>
    <row r="314" spans="1:48" ht="14.25" customHeight="1" x14ac:dyDescent="0.25">
      <c r="A314" s="2"/>
      <c r="B314" s="2"/>
      <c r="C314" s="2"/>
      <c r="D314" s="2"/>
      <c r="E314" s="2"/>
      <c r="F314" s="2"/>
      <c r="G314" s="26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81"/>
      <c r="AC314" s="2"/>
      <c r="AD314" s="2"/>
      <c r="AE314" s="281"/>
      <c r="AF314" s="2"/>
      <c r="AG314" s="2"/>
      <c r="AH314" s="2"/>
      <c r="AI314" s="28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</row>
    <row r="315" spans="1:48" ht="14.25" customHeight="1" x14ac:dyDescent="0.25">
      <c r="A315" s="2"/>
      <c r="B315" s="2"/>
      <c r="C315" s="2"/>
      <c r="D315" s="2"/>
      <c r="E315" s="2"/>
      <c r="F315" s="2"/>
      <c r="G315" s="26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81"/>
      <c r="AC315" s="2"/>
      <c r="AD315" s="2"/>
      <c r="AE315" s="281"/>
      <c r="AF315" s="2"/>
      <c r="AG315" s="2"/>
      <c r="AH315" s="2"/>
      <c r="AI315" s="28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</row>
    <row r="316" spans="1:48" ht="14.25" customHeight="1" x14ac:dyDescent="0.25">
      <c r="A316" s="2"/>
      <c r="B316" s="2"/>
      <c r="C316" s="2"/>
      <c r="D316" s="2"/>
      <c r="E316" s="2"/>
      <c r="F316" s="2"/>
      <c r="G316" s="26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81"/>
      <c r="AC316" s="2"/>
      <c r="AD316" s="2"/>
      <c r="AE316" s="281"/>
      <c r="AF316" s="2"/>
      <c r="AG316" s="2"/>
      <c r="AH316" s="2"/>
      <c r="AI316" s="28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</row>
    <row r="317" spans="1:48" ht="14.25" customHeight="1" x14ac:dyDescent="0.25">
      <c r="A317" s="2"/>
      <c r="B317" s="2"/>
      <c r="C317" s="2"/>
      <c r="D317" s="2"/>
      <c r="E317" s="2"/>
      <c r="F317" s="2"/>
      <c r="G317" s="26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81"/>
      <c r="AC317" s="2"/>
      <c r="AD317" s="2"/>
      <c r="AE317" s="281"/>
      <c r="AF317" s="2"/>
      <c r="AG317" s="2"/>
      <c r="AH317" s="2"/>
      <c r="AI317" s="28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</row>
    <row r="318" spans="1:48" ht="14.25" customHeight="1" x14ac:dyDescent="0.25">
      <c r="A318" s="2"/>
      <c r="B318" s="2"/>
      <c r="C318" s="2"/>
      <c r="D318" s="2"/>
      <c r="E318" s="2"/>
      <c r="F318" s="2"/>
      <c r="G318" s="26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81"/>
      <c r="AC318" s="2"/>
      <c r="AD318" s="2"/>
      <c r="AE318" s="281"/>
      <c r="AF318" s="2"/>
      <c r="AG318" s="2"/>
      <c r="AH318" s="2"/>
      <c r="AI318" s="28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</row>
    <row r="319" spans="1:48" ht="14.25" customHeight="1" x14ac:dyDescent="0.25">
      <c r="A319" s="2"/>
      <c r="B319" s="2"/>
      <c r="C319" s="2"/>
      <c r="D319" s="2"/>
      <c r="E319" s="2"/>
      <c r="F319" s="2"/>
      <c r="G319" s="26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81"/>
      <c r="AC319" s="2"/>
      <c r="AD319" s="2"/>
      <c r="AE319" s="281"/>
      <c r="AF319" s="2"/>
      <c r="AG319" s="2"/>
      <c r="AH319" s="2"/>
      <c r="AI319" s="28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</row>
    <row r="320" spans="1:48" ht="14.25" customHeight="1" x14ac:dyDescent="0.25">
      <c r="A320" s="2"/>
      <c r="B320" s="2"/>
      <c r="C320" s="2"/>
      <c r="D320" s="2"/>
      <c r="E320" s="2"/>
      <c r="F320" s="2"/>
      <c r="G320" s="26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81"/>
      <c r="AC320" s="2"/>
      <c r="AD320" s="2"/>
      <c r="AE320" s="281"/>
      <c r="AF320" s="2"/>
      <c r="AG320" s="2"/>
      <c r="AH320" s="2"/>
      <c r="AI320" s="28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</row>
    <row r="321" spans="1:48" ht="14.25" customHeight="1" x14ac:dyDescent="0.25">
      <c r="A321" s="2"/>
      <c r="B321" s="2"/>
      <c r="C321" s="2"/>
      <c r="D321" s="2"/>
      <c r="E321" s="2"/>
      <c r="F321" s="2"/>
      <c r="G321" s="26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81"/>
      <c r="AC321" s="2"/>
      <c r="AD321" s="2"/>
      <c r="AE321" s="281"/>
      <c r="AF321" s="2"/>
      <c r="AG321" s="2"/>
      <c r="AH321" s="2"/>
      <c r="AI321" s="28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</row>
    <row r="322" spans="1:48" ht="14.25" customHeight="1" x14ac:dyDescent="0.25">
      <c r="A322" s="2"/>
      <c r="B322" s="2"/>
      <c r="C322" s="2"/>
      <c r="D322" s="2"/>
      <c r="E322" s="2"/>
      <c r="F322" s="2"/>
      <c r="G322" s="26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81"/>
      <c r="AC322" s="2"/>
      <c r="AD322" s="2"/>
      <c r="AE322" s="281"/>
      <c r="AF322" s="2"/>
      <c r="AG322" s="2"/>
      <c r="AH322" s="2"/>
      <c r="AI322" s="28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</row>
    <row r="323" spans="1:48" ht="14.25" customHeight="1" x14ac:dyDescent="0.25">
      <c r="A323" s="2"/>
      <c r="B323" s="2"/>
      <c r="C323" s="2"/>
      <c r="D323" s="2"/>
      <c r="E323" s="2"/>
      <c r="F323" s="2"/>
      <c r="G323" s="26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81"/>
      <c r="AC323" s="2"/>
      <c r="AD323" s="2"/>
      <c r="AE323" s="281"/>
      <c r="AF323" s="2"/>
      <c r="AG323" s="2"/>
      <c r="AH323" s="2"/>
      <c r="AI323" s="28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</row>
    <row r="324" spans="1:48" ht="14.25" customHeight="1" x14ac:dyDescent="0.25">
      <c r="A324" s="2"/>
      <c r="B324" s="2"/>
      <c r="C324" s="2"/>
      <c r="D324" s="2"/>
      <c r="E324" s="2"/>
      <c r="F324" s="2"/>
      <c r="G324" s="26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81"/>
      <c r="AC324" s="2"/>
      <c r="AD324" s="2"/>
      <c r="AE324" s="281"/>
      <c r="AF324" s="2"/>
      <c r="AG324" s="2"/>
      <c r="AH324" s="2"/>
      <c r="AI324" s="28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</row>
    <row r="325" spans="1:48" ht="14.25" customHeight="1" x14ac:dyDescent="0.25">
      <c r="A325" s="2"/>
      <c r="B325" s="2"/>
      <c r="C325" s="2"/>
      <c r="D325" s="2"/>
      <c r="E325" s="2"/>
      <c r="F325" s="2"/>
      <c r="G325" s="26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81"/>
      <c r="AC325" s="2"/>
      <c r="AD325" s="2"/>
      <c r="AE325" s="281"/>
      <c r="AF325" s="2"/>
      <c r="AG325" s="2"/>
      <c r="AH325" s="2"/>
      <c r="AI325" s="28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</row>
    <row r="326" spans="1:48" ht="14.25" customHeight="1" x14ac:dyDescent="0.25">
      <c r="A326" s="2"/>
      <c r="B326" s="2"/>
      <c r="C326" s="2"/>
      <c r="D326" s="2"/>
      <c r="E326" s="2"/>
      <c r="F326" s="2"/>
      <c r="G326" s="26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81"/>
      <c r="AC326" s="2"/>
      <c r="AD326" s="2"/>
      <c r="AE326" s="281"/>
      <c r="AF326" s="2"/>
      <c r="AG326" s="2"/>
      <c r="AH326" s="2"/>
      <c r="AI326" s="28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</row>
    <row r="327" spans="1:48" ht="14.25" customHeight="1" x14ac:dyDescent="0.25">
      <c r="A327" s="2"/>
      <c r="B327" s="2"/>
      <c r="C327" s="2"/>
      <c r="D327" s="2"/>
      <c r="E327" s="2"/>
      <c r="F327" s="2"/>
      <c r="G327" s="26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81"/>
      <c r="AC327" s="2"/>
      <c r="AD327" s="2"/>
      <c r="AE327" s="281"/>
      <c r="AF327" s="2"/>
      <c r="AG327" s="2"/>
      <c r="AH327" s="2"/>
      <c r="AI327" s="28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</row>
    <row r="328" spans="1:48" ht="14.25" customHeight="1" x14ac:dyDescent="0.25">
      <c r="A328" s="2"/>
      <c r="B328" s="2"/>
      <c r="C328" s="2"/>
      <c r="D328" s="2"/>
      <c r="E328" s="2"/>
      <c r="F328" s="2"/>
      <c r="G328" s="26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81"/>
      <c r="AC328" s="2"/>
      <c r="AD328" s="2"/>
      <c r="AE328" s="281"/>
      <c r="AF328" s="2"/>
      <c r="AG328" s="2"/>
      <c r="AH328" s="2"/>
      <c r="AI328" s="28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</row>
    <row r="329" spans="1:48" ht="14.25" customHeight="1" x14ac:dyDescent="0.25">
      <c r="A329" s="2"/>
      <c r="B329" s="2"/>
      <c r="C329" s="2"/>
      <c r="D329" s="2"/>
      <c r="E329" s="2"/>
      <c r="F329" s="2"/>
      <c r="G329" s="26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81"/>
      <c r="AC329" s="2"/>
      <c r="AD329" s="2"/>
      <c r="AE329" s="281"/>
      <c r="AF329" s="2"/>
      <c r="AG329" s="2"/>
      <c r="AH329" s="2"/>
      <c r="AI329" s="28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</row>
    <row r="330" spans="1:48" ht="14.25" customHeight="1" x14ac:dyDescent="0.25">
      <c r="A330" s="2"/>
      <c r="B330" s="2"/>
      <c r="C330" s="2"/>
      <c r="D330" s="2"/>
      <c r="E330" s="2"/>
      <c r="F330" s="2"/>
      <c r="G330" s="26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81"/>
      <c r="AC330" s="2"/>
      <c r="AD330" s="2"/>
      <c r="AE330" s="281"/>
      <c r="AF330" s="2"/>
      <c r="AG330" s="2"/>
      <c r="AH330" s="2"/>
      <c r="AI330" s="28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</row>
    <row r="331" spans="1:48" ht="14.25" customHeight="1" x14ac:dyDescent="0.25">
      <c r="A331" s="2"/>
      <c r="B331" s="2"/>
      <c r="C331" s="2"/>
      <c r="D331" s="2"/>
      <c r="E331" s="2"/>
      <c r="F331" s="2"/>
      <c r="G331" s="26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81"/>
      <c r="AC331" s="2"/>
      <c r="AD331" s="2"/>
      <c r="AE331" s="281"/>
      <c r="AF331" s="2"/>
      <c r="AG331" s="2"/>
      <c r="AH331" s="2"/>
      <c r="AI331" s="28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</row>
    <row r="332" spans="1:48" ht="14.25" customHeight="1" x14ac:dyDescent="0.25">
      <c r="A332" s="2"/>
      <c r="B332" s="2"/>
      <c r="C332" s="2"/>
      <c r="D332" s="2"/>
      <c r="E332" s="2"/>
      <c r="F332" s="2"/>
      <c r="G332" s="26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81"/>
      <c r="AC332" s="2"/>
      <c r="AD332" s="2"/>
      <c r="AE332" s="281"/>
      <c r="AF332" s="2"/>
      <c r="AG332" s="2"/>
      <c r="AH332" s="2"/>
      <c r="AI332" s="28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</row>
    <row r="333" spans="1:48" ht="14.25" customHeight="1" x14ac:dyDescent="0.25">
      <c r="A333" s="2"/>
      <c r="B333" s="2"/>
      <c r="C333" s="2"/>
      <c r="D333" s="2"/>
      <c r="E333" s="2"/>
      <c r="F333" s="2"/>
      <c r="G333" s="26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81"/>
      <c r="AC333" s="2"/>
      <c r="AD333" s="2"/>
      <c r="AE333" s="281"/>
      <c r="AF333" s="2"/>
      <c r="AG333" s="2"/>
      <c r="AH333" s="2"/>
      <c r="AI333" s="28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</row>
    <row r="334" spans="1:48" ht="14.25" customHeight="1" x14ac:dyDescent="0.25">
      <c r="A334" s="2"/>
      <c r="B334" s="2"/>
      <c r="C334" s="2"/>
      <c r="D334" s="2"/>
      <c r="E334" s="2"/>
      <c r="F334" s="2"/>
      <c r="G334" s="26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81"/>
      <c r="AC334" s="2"/>
      <c r="AD334" s="2"/>
      <c r="AE334" s="281"/>
      <c r="AF334" s="2"/>
      <c r="AG334" s="2"/>
      <c r="AH334" s="2"/>
      <c r="AI334" s="28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</row>
    <row r="335" spans="1:48" ht="14.25" customHeight="1" x14ac:dyDescent="0.25">
      <c r="A335" s="2"/>
      <c r="B335" s="2"/>
      <c r="C335" s="2"/>
      <c r="D335" s="2"/>
      <c r="E335" s="2"/>
      <c r="F335" s="2"/>
      <c r="G335" s="26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81"/>
      <c r="AC335" s="2"/>
      <c r="AD335" s="2"/>
      <c r="AE335" s="281"/>
      <c r="AF335" s="2"/>
      <c r="AG335" s="2"/>
      <c r="AH335" s="2"/>
      <c r="AI335" s="28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</row>
    <row r="336" spans="1:48" ht="14.25" customHeight="1" x14ac:dyDescent="0.25">
      <c r="A336" s="2"/>
      <c r="B336" s="2"/>
      <c r="C336" s="2"/>
      <c r="D336" s="2"/>
      <c r="E336" s="2"/>
      <c r="F336" s="2"/>
      <c r="G336" s="26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81"/>
      <c r="AC336" s="2"/>
      <c r="AD336" s="2"/>
      <c r="AE336" s="281"/>
      <c r="AF336" s="2"/>
      <c r="AG336" s="2"/>
      <c r="AH336" s="2"/>
      <c r="AI336" s="28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</row>
    <row r="337" spans="1:48" ht="14.25" customHeight="1" x14ac:dyDescent="0.25">
      <c r="A337" s="2"/>
      <c r="B337" s="2"/>
      <c r="C337" s="2"/>
      <c r="D337" s="2"/>
      <c r="E337" s="2"/>
      <c r="F337" s="2"/>
      <c r="G337" s="26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81"/>
      <c r="AC337" s="2"/>
      <c r="AD337" s="2"/>
      <c r="AE337" s="281"/>
      <c r="AF337" s="2"/>
      <c r="AG337" s="2"/>
      <c r="AH337" s="2"/>
      <c r="AI337" s="28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</row>
    <row r="338" spans="1:48" ht="14.25" customHeight="1" x14ac:dyDescent="0.25">
      <c r="A338" s="2"/>
      <c r="B338" s="2"/>
      <c r="C338" s="2"/>
      <c r="D338" s="2"/>
      <c r="E338" s="2"/>
      <c r="F338" s="2"/>
      <c r="G338" s="26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81"/>
      <c r="AC338" s="2"/>
      <c r="AD338" s="2"/>
      <c r="AE338" s="281"/>
      <c r="AF338" s="2"/>
      <c r="AG338" s="2"/>
      <c r="AH338" s="2"/>
      <c r="AI338" s="28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</row>
    <row r="339" spans="1:48" ht="14.25" customHeight="1" x14ac:dyDescent="0.25">
      <c r="A339" s="2"/>
      <c r="B339" s="2"/>
      <c r="C339" s="2"/>
      <c r="D339" s="2"/>
      <c r="E339" s="2"/>
      <c r="F339" s="2"/>
      <c r="G339" s="26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81"/>
      <c r="AC339" s="2"/>
      <c r="AD339" s="2"/>
      <c r="AE339" s="281"/>
      <c r="AF339" s="2"/>
      <c r="AG339" s="2"/>
      <c r="AH339" s="2"/>
      <c r="AI339" s="28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</row>
    <row r="340" spans="1:48" ht="14.25" customHeight="1" x14ac:dyDescent="0.25">
      <c r="A340" s="2"/>
      <c r="B340" s="2"/>
      <c r="C340" s="2"/>
      <c r="D340" s="2"/>
      <c r="E340" s="2"/>
      <c r="F340" s="2"/>
      <c r="G340" s="26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81"/>
      <c r="AC340" s="2"/>
      <c r="AD340" s="2"/>
      <c r="AE340" s="281"/>
      <c r="AF340" s="2"/>
      <c r="AG340" s="2"/>
      <c r="AH340" s="2"/>
      <c r="AI340" s="28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</row>
    <row r="341" spans="1:48" ht="14.25" customHeight="1" x14ac:dyDescent="0.25">
      <c r="A341" s="2"/>
      <c r="B341" s="2"/>
      <c r="C341" s="2"/>
      <c r="D341" s="2"/>
      <c r="E341" s="2"/>
      <c r="F341" s="2"/>
      <c r="G341" s="26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81"/>
      <c r="AC341" s="2"/>
      <c r="AD341" s="2"/>
      <c r="AE341" s="281"/>
      <c r="AF341" s="2"/>
      <c r="AG341" s="2"/>
      <c r="AH341" s="2"/>
      <c r="AI341" s="28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</row>
    <row r="342" spans="1:48" ht="14.25" customHeight="1" x14ac:dyDescent="0.25">
      <c r="A342" s="2"/>
      <c r="B342" s="2"/>
      <c r="C342" s="2"/>
      <c r="D342" s="2"/>
      <c r="E342" s="2"/>
      <c r="F342" s="2"/>
      <c r="G342" s="26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81"/>
      <c r="AC342" s="2"/>
      <c r="AD342" s="2"/>
      <c r="AE342" s="281"/>
      <c r="AF342" s="2"/>
      <c r="AG342" s="2"/>
      <c r="AH342" s="2"/>
      <c r="AI342" s="28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</row>
    <row r="343" spans="1:48" ht="14.25" customHeight="1" x14ac:dyDescent="0.25">
      <c r="A343" s="2"/>
      <c r="B343" s="2"/>
      <c r="C343" s="2"/>
      <c r="D343" s="2"/>
      <c r="E343" s="2"/>
      <c r="F343" s="2"/>
      <c r="G343" s="26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81"/>
      <c r="AC343" s="2"/>
      <c r="AD343" s="2"/>
      <c r="AE343" s="281"/>
      <c r="AF343" s="2"/>
      <c r="AG343" s="2"/>
      <c r="AH343" s="2"/>
      <c r="AI343" s="28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</row>
    <row r="344" spans="1:48" ht="14.25" customHeight="1" x14ac:dyDescent="0.25">
      <c r="A344" s="2"/>
      <c r="B344" s="2"/>
      <c r="C344" s="2"/>
      <c r="D344" s="2"/>
      <c r="E344" s="2"/>
      <c r="F344" s="2"/>
      <c r="G344" s="26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81"/>
      <c r="AC344" s="2"/>
      <c r="AD344" s="2"/>
      <c r="AE344" s="281"/>
      <c r="AF344" s="2"/>
      <c r="AG344" s="2"/>
      <c r="AH344" s="2"/>
      <c r="AI344" s="28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</row>
    <row r="345" spans="1:48" ht="14.25" customHeight="1" x14ac:dyDescent="0.25">
      <c r="A345" s="2"/>
      <c r="B345" s="2"/>
      <c r="C345" s="2"/>
      <c r="D345" s="2"/>
      <c r="E345" s="2"/>
      <c r="F345" s="2"/>
      <c r="G345" s="26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81"/>
      <c r="AC345" s="2"/>
      <c r="AD345" s="2"/>
      <c r="AE345" s="281"/>
      <c r="AF345" s="2"/>
      <c r="AG345" s="2"/>
      <c r="AH345" s="2"/>
      <c r="AI345" s="28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</row>
    <row r="346" spans="1:48" ht="14.25" customHeight="1" x14ac:dyDescent="0.25">
      <c r="A346" s="2"/>
      <c r="B346" s="2"/>
      <c r="C346" s="2"/>
      <c r="D346" s="2"/>
      <c r="E346" s="2"/>
      <c r="F346" s="2"/>
      <c r="G346" s="26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81"/>
      <c r="AC346" s="2"/>
      <c r="AD346" s="2"/>
      <c r="AE346" s="281"/>
      <c r="AF346" s="2"/>
      <c r="AG346" s="2"/>
      <c r="AH346" s="2"/>
      <c r="AI346" s="28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</row>
    <row r="347" spans="1:48" ht="14.25" customHeight="1" x14ac:dyDescent="0.25">
      <c r="A347" s="2"/>
      <c r="B347" s="2"/>
      <c r="C347" s="2"/>
      <c r="D347" s="2"/>
      <c r="E347" s="2"/>
      <c r="F347" s="2"/>
      <c r="G347" s="26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81"/>
      <c r="AC347" s="2"/>
      <c r="AD347" s="2"/>
      <c r="AE347" s="281"/>
      <c r="AF347" s="2"/>
      <c r="AG347" s="2"/>
      <c r="AH347" s="2"/>
      <c r="AI347" s="28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</row>
    <row r="348" spans="1:48" ht="14.25" customHeight="1" x14ac:dyDescent="0.25">
      <c r="A348" s="2"/>
      <c r="B348" s="2"/>
      <c r="C348" s="2"/>
      <c r="D348" s="2"/>
      <c r="E348" s="2"/>
      <c r="F348" s="2"/>
      <c r="G348" s="26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81"/>
      <c r="AC348" s="2"/>
      <c r="AD348" s="2"/>
      <c r="AE348" s="281"/>
      <c r="AF348" s="2"/>
      <c r="AG348" s="2"/>
      <c r="AH348" s="2"/>
      <c r="AI348" s="28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</row>
    <row r="349" spans="1:48" ht="14.25" customHeight="1" x14ac:dyDescent="0.25">
      <c r="A349" s="2"/>
      <c r="B349" s="2"/>
      <c r="C349" s="2"/>
      <c r="D349" s="2"/>
      <c r="E349" s="2"/>
      <c r="F349" s="2"/>
      <c r="G349" s="26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81"/>
      <c r="AC349" s="2"/>
      <c r="AD349" s="2"/>
      <c r="AE349" s="281"/>
      <c r="AF349" s="2"/>
      <c r="AG349" s="2"/>
      <c r="AH349" s="2"/>
      <c r="AI349" s="28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</row>
    <row r="350" spans="1:48" ht="14.25" customHeight="1" x14ac:dyDescent="0.25">
      <c r="A350" s="2"/>
      <c r="B350" s="2"/>
      <c r="C350" s="2"/>
      <c r="D350" s="2"/>
      <c r="E350" s="2"/>
      <c r="F350" s="2"/>
      <c r="G350" s="26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81"/>
      <c r="AC350" s="2"/>
      <c r="AD350" s="2"/>
      <c r="AE350" s="281"/>
      <c r="AF350" s="2"/>
      <c r="AG350" s="2"/>
      <c r="AH350" s="2"/>
      <c r="AI350" s="28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</row>
    <row r="351" spans="1:48" ht="14.25" customHeight="1" x14ac:dyDescent="0.25">
      <c r="A351" s="2"/>
      <c r="B351" s="2"/>
      <c r="C351" s="2"/>
      <c r="D351" s="2"/>
      <c r="E351" s="2"/>
      <c r="F351" s="2"/>
      <c r="G351" s="26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81"/>
      <c r="AC351" s="2"/>
      <c r="AD351" s="2"/>
      <c r="AE351" s="281"/>
      <c r="AF351" s="2"/>
      <c r="AG351" s="2"/>
      <c r="AH351" s="2"/>
      <c r="AI351" s="28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</row>
    <row r="352" spans="1:48" ht="14.25" customHeight="1" x14ac:dyDescent="0.25">
      <c r="A352" s="2"/>
      <c r="B352" s="2"/>
      <c r="C352" s="2"/>
      <c r="D352" s="2"/>
      <c r="E352" s="2"/>
      <c r="F352" s="2"/>
      <c r="G352" s="26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81"/>
      <c r="AC352" s="2"/>
      <c r="AD352" s="2"/>
      <c r="AE352" s="281"/>
      <c r="AF352" s="2"/>
      <c r="AG352" s="2"/>
      <c r="AH352" s="2"/>
      <c r="AI352" s="28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</row>
    <row r="353" spans="1:48" ht="14.25" customHeight="1" x14ac:dyDescent="0.25">
      <c r="A353" s="2"/>
      <c r="B353" s="2"/>
      <c r="C353" s="2"/>
      <c r="D353" s="2"/>
      <c r="E353" s="2"/>
      <c r="F353" s="2"/>
      <c r="G353" s="26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81"/>
      <c r="AC353" s="2"/>
      <c r="AD353" s="2"/>
      <c r="AE353" s="281"/>
      <c r="AF353" s="2"/>
      <c r="AG353" s="2"/>
      <c r="AH353" s="2"/>
      <c r="AI353" s="28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</row>
    <row r="354" spans="1:48" ht="14.25" customHeight="1" x14ac:dyDescent="0.25">
      <c r="A354" s="2"/>
      <c r="B354" s="2"/>
      <c r="C354" s="2"/>
      <c r="D354" s="2"/>
      <c r="E354" s="2"/>
      <c r="F354" s="2"/>
      <c r="G354" s="26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81"/>
      <c r="AC354" s="2"/>
      <c r="AD354" s="2"/>
      <c r="AE354" s="281"/>
      <c r="AF354" s="2"/>
      <c r="AG354" s="2"/>
      <c r="AH354" s="2"/>
      <c r="AI354" s="28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</row>
    <row r="355" spans="1:48" ht="14.25" customHeight="1" x14ac:dyDescent="0.25">
      <c r="A355" s="2"/>
      <c r="B355" s="2"/>
      <c r="C355" s="2"/>
      <c r="D355" s="2"/>
      <c r="E355" s="2"/>
      <c r="F355" s="2"/>
      <c r="G355" s="26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81"/>
      <c r="AC355" s="2"/>
      <c r="AD355" s="2"/>
      <c r="AE355" s="281"/>
      <c r="AF355" s="2"/>
      <c r="AG355" s="2"/>
      <c r="AH355" s="2"/>
      <c r="AI355" s="28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</row>
    <row r="356" spans="1:48" ht="14.25" customHeight="1" x14ac:dyDescent="0.25">
      <c r="A356" s="2"/>
      <c r="B356" s="2"/>
      <c r="C356" s="2"/>
      <c r="D356" s="2"/>
      <c r="E356" s="2"/>
      <c r="F356" s="2"/>
      <c r="G356" s="26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81"/>
      <c r="AC356" s="2"/>
      <c r="AD356" s="2"/>
      <c r="AE356" s="281"/>
      <c r="AF356" s="2"/>
      <c r="AG356" s="2"/>
      <c r="AH356" s="2"/>
      <c r="AI356" s="28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</row>
    <row r="357" spans="1:48" ht="14.25" customHeight="1" x14ac:dyDescent="0.25">
      <c r="A357" s="2"/>
      <c r="B357" s="2"/>
      <c r="C357" s="2"/>
      <c r="D357" s="2"/>
      <c r="E357" s="2"/>
      <c r="F357" s="2"/>
      <c r="G357" s="26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81"/>
      <c r="AC357" s="2"/>
      <c r="AD357" s="2"/>
      <c r="AE357" s="281"/>
      <c r="AF357" s="2"/>
      <c r="AG357" s="2"/>
      <c r="AH357" s="2"/>
      <c r="AI357" s="28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</row>
    <row r="358" spans="1:48" ht="14.25" customHeight="1" x14ac:dyDescent="0.25">
      <c r="A358" s="2"/>
      <c r="B358" s="2"/>
      <c r="C358" s="2"/>
      <c r="D358" s="2"/>
      <c r="E358" s="2"/>
      <c r="F358" s="2"/>
      <c r="G358" s="26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81"/>
      <c r="AC358" s="2"/>
      <c r="AD358" s="2"/>
      <c r="AE358" s="281"/>
      <c r="AF358" s="2"/>
      <c r="AG358" s="2"/>
      <c r="AH358" s="2"/>
      <c r="AI358" s="28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</row>
    <row r="359" spans="1:48" ht="14.25" customHeight="1" x14ac:dyDescent="0.25">
      <c r="A359" s="2"/>
      <c r="B359" s="2"/>
      <c r="C359" s="2"/>
      <c r="D359" s="2"/>
      <c r="E359" s="2"/>
      <c r="F359" s="2"/>
      <c r="G359" s="26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81"/>
      <c r="AC359" s="2"/>
      <c r="AD359" s="2"/>
      <c r="AE359" s="281"/>
      <c r="AF359" s="2"/>
      <c r="AG359" s="2"/>
      <c r="AH359" s="2"/>
      <c r="AI359" s="28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</row>
    <row r="360" spans="1:48" ht="14.25" customHeight="1" x14ac:dyDescent="0.25">
      <c r="A360" s="2"/>
      <c r="B360" s="2"/>
      <c r="C360" s="2"/>
      <c r="D360" s="2"/>
      <c r="E360" s="2"/>
      <c r="F360" s="2"/>
      <c r="G360" s="26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81"/>
      <c r="AC360" s="2"/>
      <c r="AD360" s="2"/>
      <c r="AE360" s="281"/>
      <c r="AF360" s="2"/>
      <c r="AG360" s="2"/>
      <c r="AH360" s="2"/>
      <c r="AI360" s="28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</row>
    <row r="361" spans="1:48" ht="14.25" customHeight="1" x14ac:dyDescent="0.25">
      <c r="A361" s="2"/>
      <c r="B361" s="2"/>
      <c r="C361" s="2"/>
      <c r="D361" s="2"/>
      <c r="E361" s="2"/>
      <c r="F361" s="2"/>
      <c r="G361" s="26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81"/>
      <c r="AC361" s="2"/>
      <c r="AD361" s="2"/>
      <c r="AE361" s="281"/>
      <c r="AF361" s="2"/>
      <c r="AG361" s="2"/>
      <c r="AH361" s="2"/>
      <c r="AI361" s="28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</row>
    <row r="362" spans="1:48" ht="14.25" customHeight="1" x14ac:dyDescent="0.25">
      <c r="A362" s="2"/>
      <c r="B362" s="2"/>
      <c r="C362" s="2"/>
      <c r="D362" s="2"/>
      <c r="E362" s="2"/>
      <c r="F362" s="2"/>
      <c r="G362" s="26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81"/>
      <c r="AC362" s="2"/>
      <c r="AD362" s="2"/>
      <c r="AE362" s="281"/>
      <c r="AF362" s="2"/>
      <c r="AG362" s="2"/>
      <c r="AH362" s="2"/>
      <c r="AI362" s="28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</row>
    <row r="363" spans="1:48" ht="14.25" customHeight="1" x14ac:dyDescent="0.25">
      <c r="A363" s="2"/>
      <c r="B363" s="2"/>
      <c r="C363" s="2"/>
      <c r="D363" s="2"/>
      <c r="E363" s="2"/>
      <c r="F363" s="2"/>
      <c r="G363" s="26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81"/>
      <c r="AC363" s="2"/>
      <c r="AD363" s="2"/>
      <c r="AE363" s="281"/>
      <c r="AF363" s="2"/>
      <c r="AG363" s="2"/>
      <c r="AH363" s="2"/>
      <c r="AI363" s="28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</row>
    <row r="364" spans="1:48" ht="14.25" customHeight="1" x14ac:dyDescent="0.25">
      <c r="A364" s="2"/>
      <c r="B364" s="2"/>
      <c r="C364" s="2"/>
      <c r="D364" s="2"/>
      <c r="E364" s="2"/>
      <c r="F364" s="2"/>
      <c r="G364" s="26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81"/>
      <c r="AC364" s="2"/>
      <c r="AD364" s="2"/>
      <c r="AE364" s="281"/>
      <c r="AF364" s="2"/>
      <c r="AG364" s="2"/>
      <c r="AH364" s="2"/>
      <c r="AI364" s="28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</row>
    <row r="365" spans="1:48" ht="14.25" customHeight="1" x14ac:dyDescent="0.25">
      <c r="A365" s="2"/>
      <c r="B365" s="2"/>
      <c r="C365" s="2"/>
      <c r="D365" s="2"/>
      <c r="E365" s="2"/>
      <c r="F365" s="2"/>
      <c r="G365" s="26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81"/>
      <c r="AC365" s="2"/>
      <c r="AD365" s="2"/>
      <c r="AE365" s="281"/>
      <c r="AF365" s="2"/>
      <c r="AG365" s="2"/>
      <c r="AH365" s="2"/>
      <c r="AI365" s="28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</row>
    <row r="366" spans="1:48" ht="14.25" customHeight="1" x14ac:dyDescent="0.25">
      <c r="A366" s="2"/>
      <c r="B366" s="2"/>
      <c r="C366" s="2"/>
      <c r="D366" s="2"/>
      <c r="E366" s="2"/>
      <c r="F366" s="2"/>
      <c r="G366" s="26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81"/>
      <c r="AC366" s="2"/>
      <c r="AD366" s="2"/>
      <c r="AE366" s="281"/>
      <c r="AF366" s="2"/>
      <c r="AG366" s="2"/>
      <c r="AH366" s="2"/>
      <c r="AI366" s="28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</row>
    <row r="367" spans="1:48" ht="14.25" customHeight="1" x14ac:dyDescent="0.25">
      <c r="A367" s="2"/>
      <c r="B367" s="2"/>
      <c r="C367" s="2"/>
      <c r="D367" s="2"/>
      <c r="E367" s="2"/>
      <c r="F367" s="2"/>
      <c r="G367" s="26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81"/>
      <c r="AC367" s="2"/>
      <c r="AD367" s="2"/>
      <c r="AE367" s="281"/>
      <c r="AF367" s="2"/>
      <c r="AG367" s="2"/>
      <c r="AH367" s="2"/>
      <c r="AI367" s="28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</row>
    <row r="368" spans="1:48" ht="14.25" customHeight="1" x14ac:dyDescent="0.25">
      <c r="A368" s="2"/>
      <c r="B368" s="2"/>
      <c r="C368" s="2"/>
      <c r="D368" s="2"/>
      <c r="E368" s="2"/>
      <c r="F368" s="2"/>
      <c r="G368" s="26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81"/>
      <c r="AC368" s="2"/>
      <c r="AD368" s="2"/>
      <c r="AE368" s="281"/>
      <c r="AF368" s="2"/>
      <c r="AG368" s="2"/>
      <c r="AH368" s="2"/>
      <c r="AI368" s="28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</row>
    <row r="369" spans="1:48" ht="14.25" customHeight="1" x14ac:dyDescent="0.25">
      <c r="A369" s="2"/>
      <c r="B369" s="2"/>
      <c r="C369" s="2"/>
      <c r="D369" s="2"/>
      <c r="E369" s="2"/>
      <c r="F369" s="2"/>
      <c r="G369" s="26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81"/>
      <c r="AC369" s="2"/>
      <c r="AD369" s="2"/>
      <c r="AE369" s="281"/>
      <c r="AF369" s="2"/>
      <c r="AG369" s="2"/>
      <c r="AH369" s="2"/>
      <c r="AI369" s="28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</row>
    <row r="370" spans="1:48" ht="14.25" customHeight="1" x14ac:dyDescent="0.25">
      <c r="A370" s="2"/>
      <c r="B370" s="2"/>
      <c r="C370" s="2"/>
      <c r="D370" s="2"/>
      <c r="E370" s="2"/>
      <c r="F370" s="2"/>
      <c r="G370" s="26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81"/>
      <c r="AC370" s="2"/>
      <c r="AD370" s="2"/>
      <c r="AE370" s="281"/>
      <c r="AF370" s="2"/>
      <c r="AG370" s="2"/>
      <c r="AH370" s="2"/>
      <c r="AI370" s="28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</row>
    <row r="371" spans="1:48" ht="14.25" customHeight="1" x14ac:dyDescent="0.25">
      <c r="A371" s="2"/>
      <c r="B371" s="2"/>
      <c r="C371" s="2"/>
      <c r="D371" s="2"/>
      <c r="E371" s="2"/>
      <c r="F371" s="2"/>
      <c r="G371" s="26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81"/>
      <c r="AC371" s="2"/>
      <c r="AD371" s="2"/>
      <c r="AE371" s="281"/>
      <c r="AF371" s="2"/>
      <c r="AG371" s="2"/>
      <c r="AH371" s="2"/>
      <c r="AI371" s="28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</row>
    <row r="372" spans="1:48" ht="14.25" customHeight="1" x14ac:dyDescent="0.25">
      <c r="A372" s="2"/>
      <c r="B372" s="2"/>
      <c r="C372" s="2"/>
      <c r="D372" s="2"/>
      <c r="E372" s="2"/>
      <c r="F372" s="2"/>
      <c r="G372" s="26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81"/>
      <c r="AC372" s="2"/>
      <c r="AD372" s="2"/>
      <c r="AE372" s="281"/>
      <c r="AF372" s="2"/>
      <c r="AG372" s="2"/>
      <c r="AH372" s="2"/>
      <c r="AI372" s="28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</row>
    <row r="373" spans="1:48" ht="14.25" customHeight="1" x14ac:dyDescent="0.25">
      <c r="A373" s="2"/>
      <c r="B373" s="2"/>
      <c r="C373" s="2"/>
      <c r="D373" s="2"/>
      <c r="E373" s="2"/>
      <c r="F373" s="2"/>
      <c r="G373" s="26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81"/>
      <c r="AC373" s="2"/>
      <c r="AD373" s="2"/>
      <c r="AE373" s="281"/>
      <c r="AF373" s="2"/>
      <c r="AG373" s="2"/>
      <c r="AH373" s="2"/>
      <c r="AI373" s="28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</row>
    <row r="374" spans="1:48" ht="14.25" customHeight="1" x14ac:dyDescent="0.25">
      <c r="A374" s="2"/>
      <c r="B374" s="2"/>
      <c r="C374" s="2"/>
      <c r="D374" s="2"/>
      <c r="E374" s="2"/>
      <c r="F374" s="2"/>
      <c r="G374" s="26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81"/>
      <c r="AC374" s="2"/>
      <c r="AD374" s="2"/>
      <c r="AE374" s="281"/>
      <c r="AF374" s="2"/>
      <c r="AG374" s="2"/>
      <c r="AH374" s="2"/>
      <c r="AI374" s="28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</row>
    <row r="375" spans="1:48" ht="14.25" customHeight="1" x14ac:dyDescent="0.25">
      <c r="A375" s="2"/>
      <c r="B375" s="2"/>
      <c r="C375" s="2"/>
      <c r="D375" s="2"/>
      <c r="E375" s="2"/>
      <c r="F375" s="2"/>
      <c r="G375" s="26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81"/>
      <c r="AC375" s="2"/>
      <c r="AD375" s="2"/>
      <c r="AE375" s="281"/>
      <c r="AF375" s="2"/>
      <c r="AG375" s="2"/>
      <c r="AH375" s="2"/>
      <c r="AI375" s="28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</row>
    <row r="376" spans="1:48" ht="14.25" customHeight="1" x14ac:dyDescent="0.25">
      <c r="A376" s="2"/>
      <c r="B376" s="2"/>
      <c r="C376" s="2"/>
      <c r="D376" s="2"/>
      <c r="E376" s="2"/>
      <c r="F376" s="2"/>
      <c r="G376" s="26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81"/>
      <c r="AC376" s="2"/>
      <c r="AD376" s="2"/>
      <c r="AE376" s="281"/>
      <c r="AF376" s="2"/>
      <c r="AG376" s="2"/>
      <c r="AH376" s="2"/>
      <c r="AI376" s="28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</row>
    <row r="377" spans="1:48" ht="14.25" customHeight="1" x14ac:dyDescent="0.25">
      <c r="A377" s="2"/>
      <c r="B377" s="2"/>
      <c r="C377" s="2"/>
      <c r="D377" s="2"/>
      <c r="E377" s="2"/>
      <c r="F377" s="2"/>
      <c r="G377" s="26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81"/>
      <c r="AC377" s="2"/>
      <c r="AD377" s="2"/>
      <c r="AE377" s="281"/>
      <c r="AF377" s="2"/>
      <c r="AG377" s="2"/>
      <c r="AH377" s="2"/>
      <c r="AI377" s="28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</row>
    <row r="378" spans="1:48" ht="14.25" customHeight="1" x14ac:dyDescent="0.25">
      <c r="A378" s="2"/>
      <c r="B378" s="2"/>
      <c r="C378" s="2"/>
      <c r="D378" s="2"/>
      <c r="E378" s="2"/>
      <c r="F378" s="2"/>
      <c r="G378" s="26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81"/>
      <c r="AC378" s="2"/>
      <c r="AD378" s="2"/>
      <c r="AE378" s="281"/>
      <c r="AF378" s="2"/>
      <c r="AG378" s="2"/>
      <c r="AH378" s="2"/>
      <c r="AI378" s="28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</row>
    <row r="379" spans="1:48" ht="14.25" customHeight="1" x14ac:dyDescent="0.25">
      <c r="A379" s="2"/>
      <c r="B379" s="2"/>
      <c r="C379" s="2"/>
      <c r="D379" s="2"/>
      <c r="E379" s="2"/>
      <c r="F379" s="2"/>
      <c r="G379" s="26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81"/>
      <c r="AC379" s="2"/>
      <c r="AD379" s="2"/>
      <c r="AE379" s="281"/>
      <c r="AF379" s="2"/>
      <c r="AG379" s="2"/>
      <c r="AH379" s="2"/>
      <c r="AI379" s="28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</row>
    <row r="380" spans="1:48" ht="14.25" customHeight="1" x14ac:dyDescent="0.25">
      <c r="A380" s="2"/>
      <c r="B380" s="2"/>
      <c r="C380" s="2"/>
      <c r="D380" s="2"/>
      <c r="E380" s="2"/>
      <c r="F380" s="2"/>
      <c r="G380" s="26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81"/>
      <c r="AC380" s="2"/>
      <c r="AD380" s="2"/>
      <c r="AE380" s="281"/>
      <c r="AF380" s="2"/>
      <c r="AG380" s="2"/>
      <c r="AH380" s="2"/>
      <c r="AI380" s="28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</row>
    <row r="381" spans="1:48" ht="14.25" customHeight="1" x14ac:dyDescent="0.25">
      <c r="A381" s="2"/>
      <c r="B381" s="2"/>
      <c r="C381" s="2"/>
      <c r="D381" s="2"/>
      <c r="E381" s="2"/>
      <c r="F381" s="2"/>
      <c r="G381" s="26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81"/>
      <c r="AC381" s="2"/>
      <c r="AD381" s="2"/>
      <c r="AE381" s="281"/>
      <c r="AF381" s="2"/>
      <c r="AG381" s="2"/>
      <c r="AH381" s="2"/>
      <c r="AI381" s="28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</row>
    <row r="382" spans="1:48" ht="14.25" customHeight="1" x14ac:dyDescent="0.25">
      <c r="A382" s="2"/>
      <c r="B382" s="2"/>
      <c r="C382" s="2"/>
      <c r="D382" s="2"/>
      <c r="E382" s="2"/>
      <c r="F382" s="2"/>
      <c r="G382" s="26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81"/>
      <c r="AC382" s="2"/>
      <c r="AD382" s="2"/>
      <c r="AE382" s="281"/>
      <c r="AF382" s="2"/>
      <c r="AG382" s="2"/>
      <c r="AH382" s="2"/>
      <c r="AI382" s="28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</row>
    <row r="383" spans="1:48" ht="14.25" customHeight="1" x14ac:dyDescent="0.25">
      <c r="A383" s="2"/>
      <c r="B383" s="2"/>
      <c r="C383" s="2"/>
      <c r="D383" s="2"/>
      <c r="E383" s="2"/>
      <c r="F383" s="2"/>
      <c r="G383" s="26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81"/>
      <c r="AC383" s="2"/>
      <c r="AD383" s="2"/>
      <c r="AE383" s="281"/>
      <c r="AF383" s="2"/>
      <c r="AG383" s="2"/>
      <c r="AH383" s="2"/>
      <c r="AI383" s="28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</row>
    <row r="384" spans="1:48" ht="14.25" customHeight="1" x14ac:dyDescent="0.25">
      <c r="A384" s="2"/>
      <c r="B384" s="2"/>
      <c r="C384" s="2"/>
      <c r="D384" s="2"/>
      <c r="E384" s="2"/>
      <c r="F384" s="2"/>
      <c r="G384" s="26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81"/>
      <c r="AC384" s="2"/>
      <c r="AD384" s="2"/>
      <c r="AE384" s="281"/>
      <c r="AF384" s="2"/>
      <c r="AG384" s="2"/>
      <c r="AH384" s="2"/>
      <c r="AI384" s="28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</row>
    <row r="385" spans="1:48" ht="14.25" customHeight="1" x14ac:dyDescent="0.25">
      <c r="A385" s="2"/>
      <c r="B385" s="2"/>
      <c r="C385" s="2"/>
      <c r="D385" s="2"/>
      <c r="E385" s="2"/>
      <c r="F385" s="2"/>
      <c r="G385" s="26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81"/>
      <c r="AC385" s="2"/>
      <c r="AD385" s="2"/>
      <c r="AE385" s="281"/>
      <c r="AF385" s="2"/>
      <c r="AG385" s="2"/>
      <c r="AH385" s="2"/>
      <c r="AI385" s="28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</row>
    <row r="386" spans="1:48" ht="14.25" customHeight="1" x14ac:dyDescent="0.25">
      <c r="A386" s="2"/>
      <c r="B386" s="2"/>
      <c r="C386" s="2"/>
      <c r="D386" s="2"/>
      <c r="E386" s="2"/>
      <c r="F386" s="2"/>
      <c r="G386" s="26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81"/>
      <c r="AC386" s="2"/>
      <c r="AD386" s="2"/>
      <c r="AE386" s="281"/>
      <c r="AF386" s="2"/>
      <c r="AG386" s="2"/>
      <c r="AH386" s="2"/>
      <c r="AI386" s="28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</row>
    <row r="387" spans="1:48" ht="14.25" customHeight="1" x14ac:dyDescent="0.25">
      <c r="A387" s="2"/>
      <c r="B387" s="2"/>
      <c r="C387" s="2"/>
      <c r="D387" s="2"/>
      <c r="E387" s="2"/>
      <c r="F387" s="2"/>
      <c r="G387" s="26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81"/>
      <c r="AC387" s="2"/>
      <c r="AD387" s="2"/>
      <c r="AE387" s="281"/>
      <c r="AF387" s="2"/>
      <c r="AG387" s="2"/>
      <c r="AH387" s="2"/>
      <c r="AI387" s="28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</row>
    <row r="388" spans="1:48" ht="14.25" customHeight="1" x14ac:dyDescent="0.25">
      <c r="A388" s="2"/>
      <c r="B388" s="2"/>
      <c r="C388" s="2"/>
      <c r="D388" s="2"/>
      <c r="E388" s="2"/>
      <c r="F388" s="2"/>
      <c r="G388" s="26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81"/>
      <c r="AC388" s="2"/>
      <c r="AD388" s="2"/>
      <c r="AE388" s="281"/>
      <c r="AF388" s="2"/>
      <c r="AG388" s="2"/>
      <c r="AH388" s="2"/>
      <c r="AI388" s="28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</row>
    <row r="389" spans="1:48" ht="14.25" customHeight="1" x14ac:dyDescent="0.25">
      <c r="A389" s="2"/>
      <c r="B389" s="2"/>
      <c r="C389" s="2"/>
      <c r="D389" s="2"/>
      <c r="E389" s="2"/>
      <c r="F389" s="2"/>
      <c r="G389" s="26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81"/>
      <c r="AC389" s="2"/>
      <c r="AD389" s="2"/>
      <c r="AE389" s="281"/>
      <c r="AF389" s="2"/>
      <c r="AG389" s="2"/>
      <c r="AH389" s="2"/>
      <c r="AI389" s="28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</row>
    <row r="390" spans="1:48" ht="14.25" customHeight="1" x14ac:dyDescent="0.25">
      <c r="A390" s="2"/>
      <c r="B390" s="2"/>
      <c r="C390" s="2"/>
      <c r="D390" s="2"/>
      <c r="E390" s="2"/>
      <c r="F390" s="2"/>
      <c r="G390" s="26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81"/>
      <c r="AC390" s="2"/>
      <c r="AD390" s="2"/>
      <c r="AE390" s="281"/>
      <c r="AF390" s="2"/>
      <c r="AG390" s="2"/>
      <c r="AH390" s="2"/>
      <c r="AI390" s="28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</row>
    <row r="391" spans="1:48" ht="14.25" customHeight="1" x14ac:dyDescent="0.25">
      <c r="A391" s="2"/>
      <c r="B391" s="2"/>
      <c r="C391" s="2"/>
      <c r="D391" s="2"/>
      <c r="E391" s="2"/>
      <c r="F391" s="2"/>
      <c r="G391" s="26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81"/>
      <c r="AC391" s="2"/>
      <c r="AD391" s="2"/>
      <c r="AE391" s="281"/>
      <c r="AF391" s="2"/>
      <c r="AG391" s="2"/>
      <c r="AH391" s="2"/>
      <c r="AI391" s="28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</row>
    <row r="392" spans="1:48" ht="14.25" customHeight="1" x14ac:dyDescent="0.25">
      <c r="A392" s="2"/>
      <c r="B392" s="2"/>
      <c r="C392" s="2"/>
      <c r="D392" s="2"/>
      <c r="E392" s="2"/>
      <c r="F392" s="2"/>
      <c r="G392" s="26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81"/>
      <c r="AC392" s="2"/>
      <c r="AD392" s="2"/>
      <c r="AE392" s="281"/>
      <c r="AF392" s="2"/>
      <c r="AG392" s="2"/>
      <c r="AH392" s="2"/>
      <c r="AI392" s="28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</row>
    <row r="393" spans="1:48" ht="14.25" customHeight="1" x14ac:dyDescent="0.25">
      <c r="A393" s="2"/>
      <c r="B393" s="2"/>
      <c r="C393" s="2"/>
      <c r="D393" s="2"/>
      <c r="E393" s="2"/>
      <c r="F393" s="2"/>
      <c r="G393" s="26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81"/>
      <c r="AC393" s="2"/>
      <c r="AD393" s="2"/>
      <c r="AE393" s="281"/>
      <c r="AF393" s="2"/>
      <c r="AG393" s="2"/>
      <c r="AH393" s="2"/>
      <c r="AI393" s="28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</row>
    <row r="394" spans="1:48" ht="14.25" customHeight="1" x14ac:dyDescent="0.25">
      <c r="A394" s="2"/>
      <c r="B394" s="2"/>
      <c r="C394" s="2"/>
      <c r="D394" s="2"/>
      <c r="E394" s="2"/>
      <c r="F394" s="2"/>
      <c r="G394" s="26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81"/>
      <c r="AC394" s="2"/>
      <c r="AD394" s="2"/>
      <c r="AE394" s="281"/>
      <c r="AF394" s="2"/>
      <c r="AG394" s="2"/>
      <c r="AH394" s="2"/>
      <c r="AI394" s="28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</row>
    <row r="395" spans="1:48" ht="14.25" customHeight="1" x14ac:dyDescent="0.25">
      <c r="A395" s="2"/>
      <c r="B395" s="2"/>
      <c r="C395" s="2"/>
      <c r="D395" s="2"/>
      <c r="E395" s="2"/>
      <c r="F395" s="2"/>
      <c r="G395" s="26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81"/>
      <c r="AC395" s="2"/>
      <c r="AD395" s="2"/>
      <c r="AE395" s="281"/>
      <c r="AF395" s="2"/>
      <c r="AG395" s="2"/>
      <c r="AH395" s="2"/>
      <c r="AI395" s="28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</row>
    <row r="396" spans="1:48" ht="14.25" customHeight="1" x14ac:dyDescent="0.25">
      <c r="A396" s="2"/>
      <c r="B396" s="2"/>
      <c r="C396" s="2"/>
      <c r="D396" s="2"/>
      <c r="E396" s="2"/>
      <c r="F396" s="2"/>
      <c r="G396" s="26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81"/>
      <c r="AC396" s="2"/>
      <c r="AD396" s="2"/>
      <c r="AE396" s="281"/>
      <c r="AF396" s="2"/>
      <c r="AG396" s="2"/>
      <c r="AH396" s="2"/>
      <c r="AI396" s="28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</row>
    <row r="397" spans="1:48" ht="14.25" customHeight="1" x14ac:dyDescent="0.25">
      <c r="A397" s="2"/>
      <c r="B397" s="2"/>
      <c r="C397" s="2"/>
      <c r="D397" s="2"/>
      <c r="E397" s="2"/>
      <c r="F397" s="2"/>
      <c r="G397" s="26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81"/>
      <c r="AC397" s="2"/>
      <c r="AD397" s="2"/>
      <c r="AE397" s="281"/>
      <c r="AF397" s="2"/>
      <c r="AG397" s="2"/>
      <c r="AH397" s="2"/>
      <c r="AI397" s="28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</row>
    <row r="398" spans="1:48" ht="14.25" customHeight="1" x14ac:dyDescent="0.25">
      <c r="A398" s="2"/>
      <c r="B398" s="2"/>
      <c r="C398" s="2"/>
      <c r="D398" s="2"/>
      <c r="E398" s="2"/>
      <c r="F398" s="2"/>
      <c r="G398" s="26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81"/>
      <c r="AC398" s="2"/>
      <c r="AD398" s="2"/>
      <c r="AE398" s="281"/>
      <c r="AF398" s="2"/>
      <c r="AG398" s="2"/>
      <c r="AH398" s="2"/>
      <c r="AI398" s="28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</row>
    <row r="399" spans="1:48" ht="14.25" customHeight="1" x14ac:dyDescent="0.25">
      <c r="A399" s="2"/>
      <c r="B399" s="2"/>
      <c r="C399" s="2"/>
      <c r="D399" s="2"/>
      <c r="E399" s="2"/>
      <c r="F399" s="2"/>
      <c r="G399" s="26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81"/>
      <c r="AC399" s="2"/>
      <c r="AD399" s="2"/>
      <c r="AE399" s="281"/>
      <c r="AF399" s="2"/>
      <c r="AG399" s="2"/>
      <c r="AH399" s="2"/>
      <c r="AI399" s="28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</row>
    <row r="400" spans="1:48" ht="14.25" customHeight="1" x14ac:dyDescent="0.25">
      <c r="A400" s="2"/>
      <c r="B400" s="2"/>
      <c r="C400" s="2"/>
      <c r="D400" s="2"/>
      <c r="E400" s="2"/>
      <c r="F400" s="2"/>
      <c r="G400" s="26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81"/>
      <c r="AC400" s="2"/>
      <c r="AD400" s="2"/>
      <c r="AE400" s="281"/>
      <c r="AF400" s="2"/>
      <c r="AG400" s="2"/>
      <c r="AH400" s="2"/>
      <c r="AI400" s="28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</row>
    <row r="401" spans="1:48" ht="14.25" customHeight="1" x14ac:dyDescent="0.25">
      <c r="A401" s="2"/>
      <c r="B401" s="2"/>
      <c r="C401" s="2"/>
      <c r="D401" s="2"/>
      <c r="E401" s="2"/>
      <c r="F401" s="2"/>
      <c r="G401" s="26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81"/>
      <c r="AC401" s="2"/>
      <c r="AD401" s="2"/>
      <c r="AE401" s="281"/>
      <c r="AF401" s="2"/>
      <c r="AG401" s="2"/>
      <c r="AH401" s="2"/>
      <c r="AI401" s="28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</row>
    <row r="402" spans="1:48" ht="14.25" customHeight="1" x14ac:dyDescent="0.25">
      <c r="A402" s="2"/>
      <c r="B402" s="2"/>
      <c r="C402" s="2"/>
      <c r="D402" s="2"/>
      <c r="E402" s="2"/>
      <c r="F402" s="2"/>
      <c r="G402" s="26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81"/>
      <c r="AC402" s="2"/>
      <c r="AD402" s="2"/>
      <c r="AE402" s="281"/>
      <c r="AF402" s="2"/>
      <c r="AG402" s="2"/>
      <c r="AH402" s="2"/>
      <c r="AI402" s="28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</row>
    <row r="403" spans="1:48" ht="14.25" customHeight="1" x14ac:dyDescent="0.25">
      <c r="A403" s="2"/>
      <c r="B403" s="2"/>
      <c r="C403" s="2"/>
      <c r="D403" s="2"/>
      <c r="E403" s="2"/>
      <c r="F403" s="2"/>
      <c r="G403" s="26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81"/>
      <c r="AC403" s="2"/>
      <c r="AD403" s="2"/>
      <c r="AE403" s="281"/>
      <c r="AF403" s="2"/>
      <c r="AG403" s="2"/>
      <c r="AH403" s="2"/>
      <c r="AI403" s="28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</row>
    <row r="404" spans="1:48" ht="14.25" customHeight="1" x14ac:dyDescent="0.25">
      <c r="A404" s="2"/>
      <c r="B404" s="2"/>
      <c r="C404" s="2"/>
      <c r="D404" s="2"/>
      <c r="E404" s="2"/>
      <c r="F404" s="2"/>
      <c r="G404" s="26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81"/>
      <c r="AC404" s="2"/>
      <c r="AD404" s="2"/>
      <c r="AE404" s="281"/>
      <c r="AF404" s="2"/>
      <c r="AG404" s="2"/>
      <c r="AH404" s="2"/>
      <c r="AI404" s="28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</row>
    <row r="405" spans="1:48" ht="14.25" customHeight="1" x14ac:dyDescent="0.25">
      <c r="A405" s="2"/>
      <c r="B405" s="2"/>
      <c r="C405" s="2"/>
      <c r="D405" s="2"/>
      <c r="E405" s="2"/>
      <c r="F405" s="2"/>
      <c r="G405" s="26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81"/>
      <c r="AC405" s="2"/>
      <c r="AD405" s="2"/>
      <c r="AE405" s="281"/>
      <c r="AF405" s="2"/>
      <c r="AG405" s="2"/>
      <c r="AH405" s="2"/>
      <c r="AI405" s="28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</row>
    <row r="406" spans="1:48" ht="14.25" customHeight="1" x14ac:dyDescent="0.25">
      <c r="A406" s="2"/>
      <c r="B406" s="2"/>
      <c r="C406" s="2"/>
      <c r="D406" s="2"/>
      <c r="E406" s="2"/>
      <c r="F406" s="2"/>
      <c r="G406" s="26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81"/>
      <c r="AC406" s="2"/>
      <c r="AD406" s="2"/>
      <c r="AE406" s="281"/>
      <c r="AF406" s="2"/>
      <c r="AG406" s="2"/>
      <c r="AH406" s="2"/>
      <c r="AI406" s="28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</row>
    <row r="407" spans="1:48" ht="14.25" customHeight="1" x14ac:dyDescent="0.25">
      <c r="A407" s="2"/>
      <c r="B407" s="2"/>
      <c r="C407" s="2"/>
      <c r="D407" s="2"/>
      <c r="E407" s="2"/>
      <c r="F407" s="2"/>
      <c r="G407" s="26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81"/>
      <c r="AC407" s="2"/>
      <c r="AD407" s="2"/>
      <c r="AE407" s="281"/>
      <c r="AF407" s="2"/>
      <c r="AG407" s="2"/>
      <c r="AH407" s="2"/>
      <c r="AI407" s="28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</row>
    <row r="408" spans="1:48" ht="14.25" customHeight="1" x14ac:dyDescent="0.25">
      <c r="A408" s="2"/>
      <c r="B408" s="2"/>
      <c r="C408" s="2"/>
      <c r="D408" s="2"/>
      <c r="E408" s="2"/>
      <c r="F408" s="2"/>
      <c r="G408" s="26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81"/>
      <c r="AC408" s="2"/>
      <c r="AD408" s="2"/>
      <c r="AE408" s="281"/>
      <c r="AF408" s="2"/>
      <c r="AG408" s="2"/>
      <c r="AH408" s="2"/>
      <c r="AI408" s="28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</row>
    <row r="409" spans="1:48" ht="14.25" customHeight="1" x14ac:dyDescent="0.25">
      <c r="A409" s="2"/>
      <c r="B409" s="2"/>
      <c r="C409" s="2"/>
      <c r="D409" s="2"/>
      <c r="E409" s="2"/>
      <c r="F409" s="2"/>
      <c r="G409" s="26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81"/>
      <c r="AC409" s="2"/>
      <c r="AD409" s="2"/>
      <c r="AE409" s="281"/>
      <c r="AF409" s="2"/>
      <c r="AG409" s="2"/>
      <c r="AH409" s="2"/>
      <c r="AI409" s="28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</row>
    <row r="410" spans="1:48" ht="14.25" customHeight="1" x14ac:dyDescent="0.25">
      <c r="A410" s="2"/>
      <c r="B410" s="2"/>
      <c r="C410" s="2"/>
      <c r="D410" s="2"/>
      <c r="E410" s="2"/>
      <c r="F410" s="2"/>
      <c r="G410" s="26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81"/>
      <c r="AC410" s="2"/>
      <c r="AD410" s="2"/>
      <c r="AE410" s="281"/>
      <c r="AF410" s="2"/>
      <c r="AG410" s="2"/>
      <c r="AH410" s="2"/>
      <c r="AI410" s="28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</row>
    <row r="411" spans="1:48" ht="14.25" customHeight="1" x14ac:dyDescent="0.25">
      <c r="A411" s="2"/>
      <c r="B411" s="2"/>
      <c r="C411" s="2"/>
      <c r="D411" s="2"/>
      <c r="E411" s="2"/>
      <c r="F411" s="2"/>
      <c r="G411" s="26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81"/>
      <c r="AC411" s="2"/>
      <c r="AD411" s="2"/>
      <c r="AE411" s="281"/>
      <c r="AF411" s="2"/>
      <c r="AG411" s="2"/>
      <c r="AH411" s="2"/>
      <c r="AI411" s="28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</row>
    <row r="412" spans="1:48" ht="14.25" customHeight="1" x14ac:dyDescent="0.25">
      <c r="A412" s="2"/>
      <c r="B412" s="2"/>
      <c r="C412" s="2"/>
      <c r="D412" s="2"/>
      <c r="E412" s="2"/>
      <c r="F412" s="2"/>
      <c r="G412" s="26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81"/>
      <c r="AC412" s="2"/>
      <c r="AD412" s="2"/>
      <c r="AE412" s="281"/>
      <c r="AF412" s="2"/>
      <c r="AG412" s="2"/>
      <c r="AH412" s="2"/>
      <c r="AI412" s="28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</row>
    <row r="413" spans="1:48" ht="14.25" customHeight="1" x14ac:dyDescent="0.25">
      <c r="A413" s="2"/>
      <c r="B413" s="2"/>
      <c r="C413" s="2"/>
      <c r="D413" s="2"/>
      <c r="E413" s="2"/>
      <c r="F413" s="2"/>
      <c r="G413" s="26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81"/>
      <c r="AC413" s="2"/>
      <c r="AD413" s="2"/>
      <c r="AE413" s="281"/>
      <c r="AF413" s="2"/>
      <c r="AG413" s="2"/>
      <c r="AH413" s="2"/>
      <c r="AI413" s="28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</row>
    <row r="414" spans="1:48" ht="14.25" customHeight="1" x14ac:dyDescent="0.25">
      <c r="A414" s="2"/>
      <c r="B414" s="2"/>
      <c r="C414" s="2"/>
      <c r="D414" s="2"/>
      <c r="E414" s="2"/>
      <c r="F414" s="2"/>
      <c r="G414" s="26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81"/>
      <c r="AC414" s="2"/>
      <c r="AD414" s="2"/>
      <c r="AE414" s="281"/>
      <c r="AF414" s="2"/>
      <c r="AG414" s="2"/>
      <c r="AH414" s="2"/>
      <c r="AI414" s="28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</row>
    <row r="415" spans="1:48" ht="14.25" customHeight="1" x14ac:dyDescent="0.25">
      <c r="A415" s="2"/>
      <c r="B415" s="2"/>
      <c r="C415" s="2"/>
      <c r="D415" s="2"/>
      <c r="E415" s="2"/>
      <c r="F415" s="2"/>
      <c r="G415" s="26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81"/>
      <c r="AC415" s="2"/>
      <c r="AD415" s="2"/>
      <c r="AE415" s="281"/>
      <c r="AF415" s="2"/>
      <c r="AG415" s="2"/>
      <c r="AH415" s="2"/>
      <c r="AI415" s="28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</row>
    <row r="416" spans="1:48" ht="14.25" customHeight="1" x14ac:dyDescent="0.25">
      <c r="A416" s="2"/>
      <c r="B416" s="2"/>
      <c r="C416" s="2"/>
      <c r="D416" s="2"/>
      <c r="E416" s="2"/>
      <c r="F416" s="2"/>
      <c r="G416" s="26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81"/>
      <c r="AC416" s="2"/>
      <c r="AD416" s="2"/>
      <c r="AE416" s="281"/>
      <c r="AF416" s="2"/>
      <c r="AG416" s="2"/>
      <c r="AH416" s="2"/>
      <c r="AI416" s="28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</row>
    <row r="417" spans="1:48" ht="14.25" customHeight="1" x14ac:dyDescent="0.25">
      <c r="A417" s="2"/>
      <c r="B417" s="2"/>
      <c r="C417" s="2"/>
      <c r="D417" s="2"/>
      <c r="E417" s="2"/>
      <c r="F417" s="2"/>
      <c r="G417" s="26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81"/>
      <c r="AC417" s="2"/>
      <c r="AD417" s="2"/>
      <c r="AE417" s="281"/>
      <c r="AF417" s="2"/>
      <c r="AG417" s="2"/>
      <c r="AH417" s="2"/>
      <c r="AI417" s="28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</row>
    <row r="418" spans="1:48" ht="14.25" customHeight="1" x14ac:dyDescent="0.25">
      <c r="A418" s="2"/>
      <c r="B418" s="2"/>
      <c r="C418" s="2"/>
      <c r="D418" s="2"/>
      <c r="E418" s="2"/>
      <c r="F418" s="2"/>
      <c r="G418" s="26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81"/>
      <c r="AC418" s="2"/>
      <c r="AD418" s="2"/>
      <c r="AE418" s="281"/>
      <c r="AF418" s="2"/>
      <c r="AG418" s="2"/>
      <c r="AH418" s="2"/>
      <c r="AI418" s="28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</row>
    <row r="419" spans="1:48" ht="14.25" customHeight="1" x14ac:dyDescent="0.25">
      <c r="A419" s="2"/>
      <c r="B419" s="2"/>
      <c r="C419" s="2"/>
      <c r="D419" s="2"/>
      <c r="E419" s="2"/>
      <c r="F419" s="2"/>
      <c r="G419" s="26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81"/>
      <c r="AC419" s="2"/>
      <c r="AD419" s="2"/>
      <c r="AE419" s="281"/>
      <c r="AF419" s="2"/>
      <c r="AG419" s="2"/>
      <c r="AH419" s="2"/>
      <c r="AI419" s="28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</row>
    <row r="420" spans="1:48" ht="14.25" customHeight="1" x14ac:dyDescent="0.25">
      <c r="A420" s="2"/>
      <c r="B420" s="2"/>
      <c r="C420" s="2"/>
      <c r="D420" s="2"/>
      <c r="E420" s="2"/>
      <c r="F420" s="2"/>
      <c r="G420" s="26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81"/>
      <c r="AC420" s="2"/>
      <c r="AD420" s="2"/>
      <c r="AE420" s="281"/>
      <c r="AF420" s="2"/>
      <c r="AG420" s="2"/>
      <c r="AH420" s="2"/>
      <c r="AI420" s="28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</row>
    <row r="421" spans="1:48" ht="14.25" customHeight="1" x14ac:dyDescent="0.25">
      <c r="A421" s="2"/>
      <c r="B421" s="2"/>
      <c r="C421" s="2"/>
      <c r="D421" s="2"/>
      <c r="E421" s="2"/>
      <c r="F421" s="2"/>
      <c r="G421" s="26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81"/>
      <c r="AC421" s="2"/>
      <c r="AD421" s="2"/>
      <c r="AE421" s="281"/>
      <c r="AF421" s="2"/>
      <c r="AG421" s="2"/>
      <c r="AH421" s="2"/>
      <c r="AI421" s="28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</row>
    <row r="422" spans="1:48" ht="14.25" customHeight="1" x14ac:dyDescent="0.25">
      <c r="A422" s="2"/>
      <c r="B422" s="2"/>
      <c r="C422" s="2"/>
      <c r="D422" s="2"/>
      <c r="E422" s="2"/>
      <c r="F422" s="2"/>
      <c r="G422" s="26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81"/>
      <c r="AC422" s="2"/>
      <c r="AD422" s="2"/>
      <c r="AE422" s="281"/>
      <c r="AF422" s="2"/>
      <c r="AG422" s="2"/>
      <c r="AH422" s="2"/>
      <c r="AI422" s="28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</row>
    <row r="423" spans="1:48" ht="14.25" customHeight="1" x14ac:dyDescent="0.25">
      <c r="A423" s="2"/>
      <c r="B423" s="2"/>
      <c r="C423" s="2"/>
      <c r="D423" s="2"/>
      <c r="E423" s="2"/>
      <c r="F423" s="2"/>
      <c r="G423" s="26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81"/>
      <c r="AC423" s="2"/>
      <c r="AD423" s="2"/>
      <c r="AE423" s="281"/>
      <c r="AF423" s="2"/>
      <c r="AG423" s="2"/>
      <c r="AH423" s="2"/>
      <c r="AI423" s="28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</row>
    <row r="424" spans="1:48" ht="14.25" customHeight="1" x14ac:dyDescent="0.25">
      <c r="A424" s="2"/>
      <c r="B424" s="2"/>
      <c r="C424" s="2"/>
      <c r="D424" s="2"/>
      <c r="E424" s="2"/>
      <c r="F424" s="2"/>
      <c r="G424" s="26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81"/>
      <c r="AC424" s="2"/>
      <c r="AD424" s="2"/>
      <c r="AE424" s="281"/>
      <c r="AF424" s="2"/>
      <c r="AG424" s="2"/>
      <c r="AH424" s="2"/>
      <c r="AI424" s="28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</row>
    <row r="425" spans="1:48" ht="14.25" customHeight="1" x14ac:dyDescent="0.25">
      <c r="A425" s="2"/>
      <c r="B425" s="2"/>
      <c r="C425" s="2"/>
      <c r="D425" s="2"/>
      <c r="E425" s="2"/>
      <c r="F425" s="2"/>
      <c r="G425" s="26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81"/>
      <c r="AC425" s="2"/>
      <c r="AD425" s="2"/>
      <c r="AE425" s="281"/>
      <c r="AF425" s="2"/>
      <c r="AG425" s="2"/>
      <c r="AH425" s="2"/>
      <c r="AI425" s="28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</row>
    <row r="426" spans="1:48" ht="14.25" customHeight="1" x14ac:dyDescent="0.25">
      <c r="A426" s="2"/>
      <c r="B426" s="2"/>
      <c r="C426" s="2"/>
      <c r="D426" s="2"/>
      <c r="E426" s="2"/>
      <c r="F426" s="2"/>
      <c r="G426" s="26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81"/>
      <c r="AC426" s="2"/>
      <c r="AD426" s="2"/>
      <c r="AE426" s="281"/>
      <c r="AF426" s="2"/>
      <c r="AG426" s="2"/>
      <c r="AH426" s="2"/>
      <c r="AI426" s="28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</row>
    <row r="427" spans="1:48" ht="14.25" customHeight="1" x14ac:dyDescent="0.25">
      <c r="A427" s="2"/>
      <c r="B427" s="2"/>
      <c r="C427" s="2"/>
      <c r="D427" s="2"/>
      <c r="E427" s="2"/>
      <c r="F427" s="2"/>
      <c r="G427" s="26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81"/>
      <c r="AC427" s="2"/>
      <c r="AD427" s="2"/>
      <c r="AE427" s="281"/>
      <c r="AF427" s="2"/>
      <c r="AG427" s="2"/>
      <c r="AH427" s="2"/>
      <c r="AI427" s="28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</row>
    <row r="428" spans="1:48" ht="14.25" customHeight="1" x14ac:dyDescent="0.25">
      <c r="A428" s="2"/>
      <c r="B428" s="2"/>
      <c r="C428" s="2"/>
      <c r="D428" s="2"/>
      <c r="E428" s="2"/>
      <c r="F428" s="2"/>
      <c r="G428" s="26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81"/>
      <c r="AC428" s="2"/>
      <c r="AD428" s="2"/>
      <c r="AE428" s="281"/>
      <c r="AF428" s="2"/>
      <c r="AG428" s="2"/>
      <c r="AH428" s="2"/>
      <c r="AI428" s="28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</row>
    <row r="429" spans="1:48" ht="14.25" customHeight="1" x14ac:dyDescent="0.25">
      <c r="A429" s="2"/>
      <c r="B429" s="2"/>
      <c r="C429" s="2"/>
      <c r="D429" s="2"/>
      <c r="E429" s="2"/>
      <c r="F429" s="2"/>
      <c r="G429" s="26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81"/>
      <c r="AC429" s="2"/>
      <c r="AD429" s="2"/>
      <c r="AE429" s="281"/>
      <c r="AF429" s="2"/>
      <c r="AG429" s="2"/>
      <c r="AH429" s="2"/>
      <c r="AI429" s="28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</row>
    <row r="430" spans="1:48" ht="14.25" customHeight="1" x14ac:dyDescent="0.25">
      <c r="A430" s="2"/>
      <c r="B430" s="2"/>
      <c r="C430" s="2"/>
      <c r="D430" s="2"/>
      <c r="E430" s="2"/>
      <c r="F430" s="2"/>
      <c r="G430" s="26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81"/>
      <c r="AC430" s="2"/>
      <c r="AD430" s="2"/>
      <c r="AE430" s="281"/>
      <c r="AF430" s="2"/>
      <c r="AG430" s="2"/>
      <c r="AH430" s="2"/>
      <c r="AI430" s="28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</row>
    <row r="431" spans="1:48" ht="14.25" customHeight="1" x14ac:dyDescent="0.25">
      <c r="A431" s="2"/>
      <c r="B431" s="2"/>
      <c r="C431" s="2"/>
      <c r="D431" s="2"/>
      <c r="E431" s="2"/>
      <c r="F431" s="2"/>
      <c r="G431" s="26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81"/>
      <c r="AC431" s="2"/>
      <c r="AD431" s="2"/>
      <c r="AE431" s="281"/>
      <c r="AF431" s="2"/>
      <c r="AG431" s="2"/>
      <c r="AH431" s="2"/>
      <c r="AI431" s="28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</row>
    <row r="432" spans="1:48" ht="14.25" customHeight="1" x14ac:dyDescent="0.25">
      <c r="A432" s="2"/>
      <c r="B432" s="2"/>
      <c r="C432" s="2"/>
      <c r="D432" s="2"/>
      <c r="E432" s="2"/>
      <c r="F432" s="2"/>
      <c r="G432" s="26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81"/>
      <c r="AC432" s="2"/>
      <c r="AD432" s="2"/>
      <c r="AE432" s="281"/>
      <c r="AF432" s="2"/>
      <c r="AG432" s="2"/>
      <c r="AH432" s="2"/>
      <c r="AI432" s="28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</row>
    <row r="433" spans="1:48" ht="14.25" customHeight="1" x14ac:dyDescent="0.25">
      <c r="A433" s="2"/>
      <c r="B433" s="2"/>
      <c r="C433" s="2"/>
      <c r="D433" s="2"/>
      <c r="E433" s="2"/>
      <c r="F433" s="2"/>
      <c r="G433" s="26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81"/>
      <c r="AC433" s="2"/>
      <c r="AD433" s="2"/>
      <c r="AE433" s="281"/>
      <c r="AF433" s="2"/>
      <c r="AG433" s="2"/>
      <c r="AH433" s="2"/>
      <c r="AI433" s="28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</row>
    <row r="434" spans="1:48" ht="14.25" customHeight="1" x14ac:dyDescent="0.25">
      <c r="A434" s="2"/>
      <c r="B434" s="2"/>
      <c r="C434" s="2"/>
      <c r="D434" s="2"/>
      <c r="E434" s="2"/>
      <c r="F434" s="2"/>
      <c r="G434" s="26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81"/>
      <c r="AC434" s="2"/>
      <c r="AD434" s="2"/>
      <c r="AE434" s="281"/>
      <c r="AF434" s="2"/>
      <c r="AG434" s="2"/>
      <c r="AH434" s="2"/>
      <c r="AI434" s="28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</row>
    <row r="435" spans="1:48" ht="14.25" customHeight="1" x14ac:dyDescent="0.25">
      <c r="A435" s="2"/>
      <c r="B435" s="2"/>
      <c r="C435" s="2"/>
      <c r="D435" s="2"/>
      <c r="E435" s="2"/>
      <c r="F435" s="2"/>
      <c r="G435" s="26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81"/>
      <c r="AC435" s="2"/>
      <c r="AD435" s="2"/>
      <c r="AE435" s="281"/>
      <c r="AF435" s="2"/>
      <c r="AG435" s="2"/>
      <c r="AH435" s="2"/>
      <c r="AI435" s="28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</row>
    <row r="436" spans="1:48" ht="14.25" customHeight="1" x14ac:dyDescent="0.25">
      <c r="A436" s="2"/>
      <c r="B436" s="2"/>
      <c r="C436" s="2"/>
      <c r="D436" s="2"/>
      <c r="E436" s="2"/>
      <c r="F436" s="2"/>
      <c r="G436" s="26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81"/>
      <c r="AC436" s="2"/>
      <c r="AD436" s="2"/>
      <c r="AE436" s="281"/>
      <c r="AF436" s="2"/>
      <c r="AG436" s="2"/>
      <c r="AH436" s="2"/>
      <c r="AI436" s="28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</row>
    <row r="437" spans="1:48" ht="14.25" customHeight="1" x14ac:dyDescent="0.25">
      <c r="A437" s="2"/>
      <c r="B437" s="2"/>
      <c r="C437" s="2"/>
      <c r="D437" s="2"/>
      <c r="E437" s="2"/>
      <c r="F437" s="2"/>
      <c r="G437" s="26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81"/>
      <c r="AC437" s="2"/>
      <c r="AD437" s="2"/>
      <c r="AE437" s="281"/>
      <c r="AF437" s="2"/>
      <c r="AG437" s="2"/>
      <c r="AH437" s="2"/>
      <c r="AI437" s="28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</row>
    <row r="438" spans="1:48" ht="14.25" customHeight="1" x14ac:dyDescent="0.25">
      <c r="A438" s="2"/>
      <c r="B438" s="2"/>
      <c r="C438" s="2"/>
      <c r="D438" s="2"/>
      <c r="E438" s="2"/>
      <c r="F438" s="2"/>
      <c r="G438" s="26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81"/>
      <c r="AC438" s="2"/>
      <c r="AD438" s="2"/>
      <c r="AE438" s="281"/>
      <c r="AF438" s="2"/>
      <c r="AG438" s="2"/>
      <c r="AH438" s="2"/>
      <c r="AI438" s="28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</row>
    <row r="439" spans="1:48" ht="14.25" customHeight="1" x14ac:dyDescent="0.25">
      <c r="A439" s="2"/>
      <c r="B439" s="2"/>
      <c r="C439" s="2"/>
      <c r="D439" s="2"/>
      <c r="E439" s="2"/>
      <c r="F439" s="2"/>
      <c r="G439" s="26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81"/>
      <c r="AC439" s="2"/>
      <c r="AD439" s="2"/>
      <c r="AE439" s="281"/>
      <c r="AF439" s="2"/>
      <c r="AG439" s="2"/>
      <c r="AH439" s="2"/>
      <c r="AI439" s="28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</row>
    <row r="440" spans="1:48" ht="14.25" customHeight="1" x14ac:dyDescent="0.25">
      <c r="A440" s="2"/>
      <c r="B440" s="2"/>
      <c r="C440" s="2"/>
      <c r="D440" s="2"/>
      <c r="E440" s="2"/>
      <c r="F440" s="2"/>
      <c r="G440" s="26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81"/>
      <c r="AC440" s="2"/>
      <c r="AD440" s="2"/>
      <c r="AE440" s="281"/>
      <c r="AF440" s="2"/>
      <c r="AG440" s="2"/>
      <c r="AH440" s="2"/>
      <c r="AI440" s="28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</row>
    <row r="441" spans="1:48" ht="14.25" customHeight="1" x14ac:dyDescent="0.25">
      <c r="A441" s="2"/>
      <c r="B441" s="2"/>
      <c r="C441" s="2"/>
      <c r="D441" s="2"/>
      <c r="E441" s="2"/>
      <c r="F441" s="2"/>
      <c r="G441" s="26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81"/>
      <c r="AC441" s="2"/>
      <c r="AD441" s="2"/>
      <c r="AE441" s="281"/>
      <c r="AF441" s="2"/>
      <c r="AG441" s="2"/>
      <c r="AH441" s="2"/>
      <c r="AI441" s="28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</row>
    <row r="442" spans="1:48" ht="14.25" customHeight="1" x14ac:dyDescent="0.25">
      <c r="A442" s="2"/>
      <c r="B442" s="2"/>
      <c r="C442" s="2"/>
      <c r="D442" s="2"/>
      <c r="E442" s="2"/>
      <c r="F442" s="2"/>
      <c r="G442" s="26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81"/>
      <c r="AC442" s="2"/>
      <c r="AD442" s="2"/>
      <c r="AE442" s="281"/>
      <c r="AF442" s="2"/>
      <c r="AG442" s="2"/>
      <c r="AH442" s="2"/>
      <c r="AI442" s="28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</row>
    <row r="443" spans="1:48" ht="14.25" customHeight="1" x14ac:dyDescent="0.25">
      <c r="A443" s="2"/>
      <c r="B443" s="2"/>
      <c r="C443" s="2"/>
      <c r="D443" s="2"/>
      <c r="E443" s="2"/>
      <c r="F443" s="2"/>
      <c r="G443" s="26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81"/>
      <c r="AC443" s="2"/>
      <c r="AD443" s="2"/>
      <c r="AE443" s="281"/>
      <c r="AF443" s="2"/>
      <c r="AG443" s="2"/>
      <c r="AH443" s="2"/>
      <c r="AI443" s="28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</row>
    <row r="444" spans="1:48" ht="14.25" customHeight="1" x14ac:dyDescent="0.25">
      <c r="A444" s="2"/>
      <c r="B444" s="2"/>
      <c r="C444" s="2"/>
      <c r="D444" s="2"/>
      <c r="E444" s="2"/>
      <c r="F444" s="2"/>
      <c r="G444" s="26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81"/>
      <c r="AC444" s="2"/>
      <c r="AD444" s="2"/>
      <c r="AE444" s="281"/>
      <c r="AF444" s="2"/>
      <c r="AG444" s="2"/>
      <c r="AH444" s="2"/>
      <c r="AI444" s="28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</row>
    <row r="445" spans="1:48" ht="14.25" customHeight="1" x14ac:dyDescent="0.25">
      <c r="A445" s="2"/>
      <c r="B445" s="2"/>
      <c r="C445" s="2"/>
      <c r="D445" s="2"/>
      <c r="E445" s="2"/>
      <c r="F445" s="2"/>
      <c r="G445" s="26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81"/>
      <c r="AC445" s="2"/>
      <c r="AD445" s="2"/>
      <c r="AE445" s="281"/>
      <c r="AF445" s="2"/>
      <c r="AG445" s="2"/>
      <c r="AH445" s="2"/>
      <c r="AI445" s="28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</row>
    <row r="446" spans="1:48" ht="14.25" customHeight="1" x14ac:dyDescent="0.25">
      <c r="A446" s="2"/>
      <c r="B446" s="2"/>
      <c r="C446" s="2"/>
      <c r="D446" s="2"/>
      <c r="E446" s="2"/>
      <c r="F446" s="2"/>
      <c r="G446" s="26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81"/>
      <c r="AC446" s="2"/>
      <c r="AD446" s="2"/>
      <c r="AE446" s="281"/>
      <c r="AF446" s="2"/>
      <c r="AG446" s="2"/>
      <c r="AH446" s="2"/>
      <c r="AI446" s="28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</row>
    <row r="447" spans="1:48" ht="14.25" customHeight="1" x14ac:dyDescent="0.25">
      <c r="A447" s="2"/>
      <c r="B447" s="2"/>
      <c r="C447" s="2"/>
      <c r="D447" s="2"/>
      <c r="E447" s="2"/>
      <c r="F447" s="2"/>
      <c r="G447" s="26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81"/>
      <c r="AC447" s="2"/>
      <c r="AD447" s="2"/>
      <c r="AE447" s="281"/>
      <c r="AF447" s="2"/>
      <c r="AG447" s="2"/>
      <c r="AH447" s="2"/>
      <c r="AI447" s="28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</row>
    <row r="448" spans="1:48" ht="14.25" customHeight="1" x14ac:dyDescent="0.25">
      <c r="A448" s="2"/>
      <c r="B448" s="2"/>
      <c r="C448" s="2"/>
      <c r="D448" s="2"/>
      <c r="E448" s="2"/>
      <c r="F448" s="2"/>
      <c r="G448" s="26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81"/>
      <c r="AC448" s="2"/>
      <c r="AD448" s="2"/>
      <c r="AE448" s="281"/>
      <c r="AF448" s="2"/>
      <c r="AG448" s="2"/>
      <c r="AH448" s="2"/>
      <c r="AI448" s="28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</row>
    <row r="449" spans="1:48" ht="14.25" customHeight="1" x14ac:dyDescent="0.25">
      <c r="A449" s="2"/>
      <c r="B449" s="2"/>
      <c r="C449" s="2"/>
      <c r="D449" s="2"/>
      <c r="E449" s="2"/>
      <c r="F449" s="2"/>
      <c r="G449" s="26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81"/>
      <c r="AC449" s="2"/>
      <c r="AD449" s="2"/>
      <c r="AE449" s="281"/>
      <c r="AF449" s="2"/>
      <c r="AG449" s="2"/>
      <c r="AH449" s="2"/>
      <c r="AI449" s="28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</row>
    <row r="450" spans="1:48" ht="14.25" customHeight="1" x14ac:dyDescent="0.25">
      <c r="A450" s="2"/>
      <c r="B450" s="2"/>
      <c r="C450" s="2"/>
      <c r="D450" s="2"/>
      <c r="E450" s="2"/>
      <c r="F450" s="2"/>
      <c r="G450" s="26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81"/>
      <c r="AC450" s="2"/>
      <c r="AD450" s="2"/>
      <c r="AE450" s="281"/>
      <c r="AF450" s="2"/>
      <c r="AG450" s="2"/>
      <c r="AH450" s="2"/>
      <c r="AI450" s="28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</row>
    <row r="451" spans="1:48" ht="14.25" customHeight="1" x14ac:dyDescent="0.25">
      <c r="A451" s="2"/>
      <c r="B451" s="2"/>
      <c r="C451" s="2"/>
      <c r="D451" s="2"/>
      <c r="E451" s="2"/>
      <c r="F451" s="2"/>
      <c r="G451" s="26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81"/>
      <c r="AC451" s="2"/>
      <c r="AD451" s="2"/>
      <c r="AE451" s="281"/>
      <c r="AF451" s="2"/>
      <c r="AG451" s="2"/>
      <c r="AH451" s="2"/>
      <c r="AI451" s="28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</row>
    <row r="452" spans="1:48" ht="14.25" customHeight="1" x14ac:dyDescent="0.25">
      <c r="A452" s="2"/>
      <c r="B452" s="2"/>
      <c r="C452" s="2"/>
      <c r="D452" s="2"/>
      <c r="E452" s="2"/>
      <c r="F452" s="2"/>
      <c r="G452" s="26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81"/>
      <c r="AC452" s="2"/>
      <c r="AD452" s="2"/>
      <c r="AE452" s="281"/>
      <c r="AF452" s="2"/>
      <c r="AG452" s="2"/>
      <c r="AH452" s="2"/>
      <c r="AI452" s="28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</row>
    <row r="453" spans="1:48" ht="14.25" customHeight="1" x14ac:dyDescent="0.25">
      <c r="A453" s="2"/>
      <c r="B453" s="2"/>
      <c r="C453" s="2"/>
      <c r="D453" s="2"/>
      <c r="E453" s="2"/>
      <c r="F453" s="2"/>
      <c r="G453" s="26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81"/>
      <c r="AC453" s="2"/>
      <c r="AD453" s="2"/>
      <c r="AE453" s="281"/>
      <c r="AF453" s="2"/>
      <c r="AG453" s="2"/>
      <c r="AH453" s="2"/>
      <c r="AI453" s="28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</row>
    <row r="454" spans="1:48" ht="14.25" customHeight="1" x14ac:dyDescent="0.25">
      <c r="A454" s="2"/>
      <c r="B454" s="2"/>
      <c r="C454" s="2"/>
      <c r="D454" s="2"/>
      <c r="E454" s="2"/>
      <c r="F454" s="2"/>
      <c r="G454" s="26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81"/>
      <c r="AC454" s="2"/>
      <c r="AD454" s="2"/>
      <c r="AE454" s="281"/>
      <c r="AF454" s="2"/>
      <c r="AG454" s="2"/>
      <c r="AH454" s="2"/>
      <c r="AI454" s="28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</row>
    <row r="455" spans="1:48" ht="14.25" customHeight="1" x14ac:dyDescent="0.25">
      <c r="A455" s="2"/>
      <c r="B455" s="2"/>
      <c r="C455" s="2"/>
      <c r="D455" s="2"/>
      <c r="E455" s="2"/>
      <c r="F455" s="2"/>
      <c r="G455" s="26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81"/>
      <c r="AC455" s="2"/>
      <c r="AD455" s="2"/>
      <c r="AE455" s="281"/>
      <c r="AF455" s="2"/>
      <c r="AG455" s="2"/>
      <c r="AH455" s="2"/>
      <c r="AI455" s="28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</row>
    <row r="456" spans="1:48" ht="14.25" customHeight="1" x14ac:dyDescent="0.25">
      <c r="A456" s="2"/>
      <c r="B456" s="2"/>
      <c r="C456" s="2"/>
      <c r="D456" s="2"/>
      <c r="E456" s="2"/>
      <c r="F456" s="2"/>
      <c r="G456" s="26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81"/>
      <c r="AC456" s="2"/>
      <c r="AD456" s="2"/>
      <c r="AE456" s="281"/>
      <c r="AF456" s="2"/>
      <c r="AG456" s="2"/>
      <c r="AH456" s="2"/>
      <c r="AI456" s="28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</row>
    <row r="457" spans="1:48" ht="14.25" customHeight="1" x14ac:dyDescent="0.25">
      <c r="A457" s="2"/>
      <c r="B457" s="2"/>
      <c r="C457" s="2"/>
      <c r="D457" s="2"/>
      <c r="E457" s="2"/>
      <c r="F457" s="2"/>
      <c r="G457" s="26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81"/>
      <c r="AC457" s="2"/>
      <c r="AD457" s="2"/>
      <c r="AE457" s="281"/>
      <c r="AF457" s="2"/>
      <c r="AG457" s="2"/>
      <c r="AH457" s="2"/>
      <c r="AI457" s="28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</row>
    <row r="458" spans="1:48" ht="14.25" customHeight="1" x14ac:dyDescent="0.25">
      <c r="A458" s="2"/>
      <c r="B458" s="2"/>
      <c r="C458" s="2"/>
      <c r="D458" s="2"/>
      <c r="E458" s="2"/>
      <c r="F458" s="2"/>
      <c r="G458" s="26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81"/>
      <c r="AC458" s="2"/>
      <c r="AD458" s="2"/>
      <c r="AE458" s="281"/>
      <c r="AF458" s="2"/>
      <c r="AG458" s="2"/>
      <c r="AH458" s="2"/>
      <c r="AI458" s="28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</row>
    <row r="459" spans="1:48" ht="14.25" customHeight="1" x14ac:dyDescent="0.25">
      <c r="A459" s="2"/>
      <c r="B459" s="2"/>
      <c r="C459" s="2"/>
      <c r="D459" s="2"/>
      <c r="E459" s="2"/>
      <c r="F459" s="2"/>
      <c r="G459" s="26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81"/>
      <c r="AC459" s="2"/>
      <c r="AD459" s="2"/>
      <c r="AE459" s="281"/>
      <c r="AF459" s="2"/>
      <c r="AG459" s="2"/>
      <c r="AH459" s="2"/>
      <c r="AI459" s="28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</row>
    <row r="460" spans="1:48" ht="14.25" customHeight="1" x14ac:dyDescent="0.25">
      <c r="A460" s="2"/>
      <c r="B460" s="2"/>
      <c r="C460" s="2"/>
      <c r="D460" s="2"/>
      <c r="E460" s="2"/>
      <c r="F460" s="2"/>
      <c r="G460" s="26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81"/>
      <c r="AC460" s="2"/>
      <c r="AD460" s="2"/>
      <c r="AE460" s="281"/>
      <c r="AF460" s="2"/>
      <c r="AG460" s="2"/>
      <c r="AH460" s="2"/>
      <c r="AI460" s="28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</row>
    <row r="461" spans="1:48" ht="14.25" customHeight="1" x14ac:dyDescent="0.25">
      <c r="A461" s="2"/>
      <c r="B461" s="2"/>
      <c r="C461" s="2"/>
      <c r="D461" s="2"/>
      <c r="E461" s="2"/>
      <c r="F461" s="2"/>
      <c r="G461" s="26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81"/>
      <c r="AC461" s="2"/>
      <c r="AD461" s="2"/>
      <c r="AE461" s="281"/>
      <c r="AF461" s="2"/>
      <c r="AG461" s="2"/>
      <c r="AH461" s="2"/>
      <c r="AI461" s="28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</row>
    <row r="462" spans="1:48" ht="14.25" customHeight="1" x14ac:dyDescent="0.25">
      <c r="A462" s="2"/>
      <c r="B462" s="2"/>
      <c r="C462" s="2"/>
      <c r="D462" s="2"/>
      <c r="E462" s="2"/>
      <c r="F462" s="2"/>
      <c r="G462" s="26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81"/>
      <c r="AC462" s="2"/>
      <c r="AD462" s="2"/>
      <c r="AE462" s="281"/>
      <c r="AF462" s="2"/>
      <c r="AG462" s="2"/>
      <c r="AH462" s="2"/>
      <c r="AI462" s="28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1:48" ht="14.25" customHeight="1" x14ac:dyDescent="0.25">
      <c r="A463" s="2"/>
      <c r="B463" s="2"/>
      <c r="C463" s="2"/>
      <c r="D463" s="2"/>
      <c r="E463" s="2"/>
      <c r="F463" s="2"/>
      <c r="G463" s="26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81"/>
      <c r="AC463" s="2"/>
      <c r="AD463" s="2"/>
      <c r="AE463" s="281"/>
      <c r="AF463" s="2"/>
      <c r="AG463" s="2"/>
      <c r="AH463" s="2"/>
      <c r="AI463" s="28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1:48" ht="14.25" customHeight="1" x14ac:dyDescent="0.25">
      <c r="A464" s="2"/>
      <c r="B464" s="2"/>
      <c r="C464" s="2"/>
      <c r="D464" s="2"/>
      <c r="E464" s="2"/>
      <c r="F464" s="2"/>
      <c r="G464" s="26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81"/>
      <c r="AC464" s="2"/>
      <c r="AD464" s="2"/>
      <c r="AE464" s="281"/>
      <c r="AF464" s="2"/>
      <c r="AG464" s="2"/>
      <c r="AH464" s="2"/>
      <c r="AI464" s="28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1:48" ht="14.25" customHeight="1" x14ac:dyDescent="0.25">
      <c r="A465" s="2"/>
      <c r="B465" s="2"/>
      <c r="C465" s="2"/>
      <c r="D465" s="2"/>
      <c r="E465" s="2"/>
      <c r="F465" s="2"/>
      <c r="G465" s="26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81"/>
      <c r="AC465" s="2"/>
      <c r="AD465" s="2"/>
      <c r="AE465" s="281"/>
      <c r="AF465" s="2"/>
      <c r="AG465" s="2"/>
      <c r="AH465" s="2"/>
      <c r="AI465" s="28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1:48" ht="14.25" customHeight="1" x14ac:dyDescent="0.25">
      <c r="A466" s="2"/>
      <c r="B466" s="2"/>
      <c r="C466" s="2"/>
      <c r="D466" s="2"/>
      <c r="E466" s="2"/>
      <c r="F466" s="2"/>
      <c r="G466" s="26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81"/>
      <c r="AC466" s="2"/>
      <c r="AD466" s="2"/>
      <c r="AE466" s="281"/>
      <c r="AF466" s="2"/>
      <c r="AG466" s="2"/>
      <c r="AH466" s="2"/>
      <c r="AI466" s="28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</row>
    <row r="467" spans="1:48" ht="14.25" customHeight="1" x14ac:dyDescent="0.25">
      <c r="A467" s="2"/>
      <c r="B467" s="2"/>
      <c r="C467" s="2"/>
      <c r="D467" s="2"/>
      <c r="E467" s="2"/>
      <c r="F467" s="2"/>
      <c r="G467" s="26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81"/>
      <c r="AC467" s="2"/>
      <c r="AD467" s="2"/>
      <c r="AE467" s="281"/>
      <c r="AF467" s="2"/>
      <c r="AG467" s="2"/>
      <c r="AH467" s="2"/>
      <c r="AI467" s="28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</row>
    <row r="468" spans="1:48" ht="14.25" customHeight="1" x14ac:dyDescent="0.25">
      <c r="A468" s="2"/>
      <c r="B468" s="2"/>
      <c r="C468" s="2"/>
      <c r="D468" s="2"/>
      <c r="E468" s="2"/>
      <c r="F468" s="2"/>
      <c r="G468" s="26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81"/>
      <c r="AC468" s="2"/>
      <c r="AD468" s="2"/>
      <c r="AE468" s="281"/>
      <c r="AF468" s="2"/>
      <c r="AG468" s="2"/>
      <c r="AH468" s="2"/>
      <c r="AI468" s="28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</row>
    <row r="469" spans="1:48" ht="14.25" customHeight="1" x14ac:dyDescent="0.25">
      <c r="A469" s="2"/>
      <c r="B469" s="2"/>
      <c r="C469" s="2"/>
      <c r="D469" s="2"/>
      <c r="E469" s="2"/>
      <c r="F469" s="2"/>
      <c r="G469" s="26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81"/>
      <c r="AC469" s="2"/>
      <c r="AD469" s="2"/>
      <c r="AE469" s="281"/>
      <c r="AF469" s="2"/>
      <c r="AG469" s="2"/>
      <c r="AH469" s="2"/>
      <c r="AI469" s="28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</row>
    <row r="470" spans="1:48" ht="14.25" customHeight="1" x14ac:dyDescent="0.25">
      <c r="A470" s="2"/>
      <c r="B470" s="2"/>
      <c r="C470" s="2"/>
      <c r="D470" s="2"/>
      <c r="E470" s="2"/>
      <c r="F470" s="2"/>
      <c r="G470" s="26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81"/>
      <c r="AC470" s="2"/>
      <c r="AD470" s="2"/>
      <c r="AE470" s="281"/>
      <c r="AF470" s="2"/>
      <c r="AG470" s="2"/>
      <c r="AH470" s="2"/>
      <c r="AI470" s="28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</row>
    <row r="471" spans="1:48" ht="14.25" customHeight="1" x14ac:dyDescent="0.25">
      <c r="A471" s="2"/>
      <c r="B471" s="2"/>
      <c r="C471" s="2"/>
      <c r="D471" s="2"/>
      <c r="E471" s="2"/>
      <c r="F471" s="2"/>
      <c r="G471" s="26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81"/>
      <c r="AC471" s="2"/>
      <c r="AD471" s="2"/>
      <c r="AE471" s="281"/>
      <c r="AF471" s="2"/>
      <c r="AG471" s="2"/>
      <c r="AH471" s="2"/>
      <c r="AI471" s="28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</row>
    <row r="472" spans="1:48" ht="14.25" customHeight="1" x14ac:dyDescent="0.25">
      <c r="A472" s="2"/>
      <c r="B472" s="2"/>
      <c r="C472" s="2"/>
      <c r="D472" s="2"/>
      <c r="E472" s="2"/>
      <c r="F472" s="2"/>
      <c r="G472" s="26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81"/>
      <c r="AC472" s="2"/>
      <c r="AD472" s="2"/>
      <c r="AE472" s="281"/>
      <c r="AF472" s="2"/>
      <c r="AG472" s="2"/>
      <c r="AH472" s="2"/>
      <c r="AI472" s="28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</row>
    <row r="473" spans="1:48" ht="14.25" customHeight="1" x14ac:dyDescent="0.25">
      <c r="A473" s="2"/>
      <c r="B473" s="2"/>
      <c r="C473" s="2"/>
      <c r="D473" s="2"/>
      <c r="E473" s="2"/>
      <c r="F473" s="2"/>
      <c r="G473" s="26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81"/>
      <c r="AC473" s="2"/>
      <c r="AD473" s="2"/>
      <c r="AE473" s="281"/>
      <c r="AF473" s="2"/>
      <c r="AG473" s="2"/>
      <c r="AH473" s="2"/>
      <c r="AI473" s="28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</row>
    <row r="474" spans="1:48" ht="14.25" customHeight="1" x14ac:dyDescent="0.25">
      <c r="A474" s="2"/>
      <c r="B474" s="2"/>
      <c r="C474" s="2"/>
      <c r="D474" s="2"/>
      <c r="E474" s="2"/>
      <c r="F474" s="2"/>
      <c r="G474" s="26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81"/>
      <c r="AC474" s="2"/>
      <c r="AD474" s="2"/>
      <c r="AE474" s="281"/>
      <c r="AF474" s="2"/>
      <c r="AG474" s="2"/>
      <c r="AH474" s="2"/>
      <c r="AI474" s="28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</row>
    <row r="475" spans="1:48" ht="14.25" customHeight="1" x14ac:dyDescent="0.25">
      <c r="A475" s="2"/>
      <c r="B475" s="2"/>
      <c r="C475" s="2"/>
      <c r="D475" s="2"/>
      <c r="E475" s="2"/>
      <c r="F475" s="2"/>
      <c r="G475" s="26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81"/>
      <c r="AC475" s="2"/>
      <c r="AD475" s="2"/>
      <c r="AE475" s="281"/>
      <c r="AF475" s="2"/>
      <c r="AG475" s="2"/>
      <c r="AH475" s="2"/>
      <c r="AI475" s="28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</row>
    <row r="476" spans="1:48" ht="14.25" customHeight="1" x14ac:dyDescent="0.25">
      <c r="A476" s="2"/>
      <c r="B476" s="2"/>
      <c r="C476" s="2"/>
      <c r="D476" s="2"/>
      <c r="E476" s="2"/>
      <c r="F476" s="2"/>
      <c r="G476" s="26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81"/>
      <c r="AC476" s="2"/>
      <c r="AD476" s="2"/>
      <c r="AE476" s="281"/>
      <c r="AF476" s="2"/>
      <c r="AG476" s="2"/>
      <c r="AH476" s="2"/>
      <c r="AI476" s="28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</row>
    <row r="477" spans="1:48" ht="14.25" customHeight="1" x14ac:dyDescent="0.25">
      <c r="A477" s="2"/>
      <c r="B477" s="2"/>
      <c r="C477" s="2"/>
      <c r="D477" s="2"/>
      <c r="E477" s="2"/>
      <c r="F477" s="2"/>
      <c r="G477" s="26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81"/>
      <c r="AC477" s="2"/>
      <c r="AD477" s="2"/>
      <c r="AE477" s="281"/>
      <c r="AF477" s="2"/>
      <c r="AG477" s="2"/>
      <c r="AH477" s="2"/>
      <c r="AI477" s="28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</row>
    <row r="478" spans="1:48" ht="14.25" customHeight="1" x14ac:dyDescent="0.25">
      <c r="A478" s="2"/>
      <c r="B478" s="2"/>
      <c r="C478" s="2"/>
      <c r="D478" s="2"/>
      <c r="E478" s="2"/>
      <c r="F478" s="2"/>
      <c r="G478" s="26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81"/>
      <c r="AC478" s="2"/>
      <c r="AD478" s="2"/>
      <c r="AE478" s="281"/>
      <c r="AF478" s="2"/>
      <c r="AG478" s="2"/>
      <c r="AH478" s="2"/>
      <c r="AI478" s="28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</row>
    <row r="479" spans="1:48" ht="14.25" customHeight="1" x14ac:dyDescent="0.25">
      <c r="A479" s="2"/>
      <c r="B479" s="2"/>
      <c r="C479" s="2"/>
      <c r="D479" s="2"/>
      <c r="E479" s="2"/>
      <c r="F479" s="2"/>
      <c r="G479" s="26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81"/>
      <c r="AC479" s="2"/>
      <c r="AD479" s="2"/>
      <c r="AE479" s="281"/>
      <c r="AF479" s="2"/>
      <c r="AG479" s="2"/>
      <c r="AH479" s="2"/>
      <c r="AI479" s="28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</row>
    <row r="480" spans="1:48" ht="14.25" customHeight="1" x14ac:dyDescent="0.25">
      <c r="A480" s="2"/>
      <c r="B480" s="2"/>
      <c r="C480" s="2"/>
      <c r="D480" s="2"/>
      <c r="E480" s="2"/>
      <c r="F480" s="2"/>
      <c r="G480" s="26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81"/>
      <c r="AC480" s="2"/>
      <c r="AD480" s="2"/>
      <c r="AE480" s="281"/>
      <c r="AF480" s="2"/>
      <c r="AG480" s="2"/>
      <c r="AH480" s="2"/>
      <c r="AI480" s="28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</row>
    <row r="481" spans="1:48" ht="14.25" customHeight="1" x14ac:dyDescent="0.25">
      <c r="A481" s="2"/>
      <c r="B481" s="2"/>
      <c r="C481" s="2"/>
      <c r="D481" s="2"/>
      <c r="E481" s="2"/>
      <c r="F481" s="2"/>
      <c r="G481" s="26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81"/>
      <c r="AC481" s="2"/>
      <c r="AD481" s="2"/>
      <c r="AE481" s="281"/>
      <c r="AF481" s="2"/>
      <c r="AG481" s="2"/>
      <c r="AH481" s="2"/>
      <c r="AI481" s="28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</row>
    <row r="482" spans="1:48" ht="14.25" customHeight="1" x14ac:dyDescent="0.25">
      <c r="A482" s="2"/>
      <c r="B482" s="2"/>
      <c r="C482" s="2"/>
      <c r="D482" s="2"/>
      <c r="E482" s="2"/>
      <c r="F482" s="2"/>
      <c r="G482" s="26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81"/>
      <c r="AC482" s="2"/>
      <c r="AD482" s="2"/>
      <c r="AE482" s="281"/>
      <c r="AF482" s="2"/>
      <c r="AG482" s="2"/>
      <c r="AH482" s="2"/>
      <c r="AI482" s="28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</row>
    <row r="483" spans="1:48" ht="14.25" customHeight="1" x14ac:dyDescent="0.25">
      <c r="A483" s="2"/>
      <c r="B483" s="2"/>
      <c r="C483" s="2"/>
      <c r="D483" s="2"/>
      <c r="E483" s="2"/>
      <c r="F483" s="2"/>
      <c r="G483" s="26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81"/>
      <c r="AC483" s="2"/>
      <c r="AD483" s="2"/>
      <c r="AE483" s="281"/>
      <c r="AF483" s="2"/>
      <c r="AG483" s="2"/>
      <c r="AH483" s="2"/>
      <c r="AI483" s="28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</row>
    <row r="484" spans="1:48" ht="14.25" customHeight="1" x14ac:dyDescent="0.25">
      <c r="A484" s="2"/>
      <c r="B484" s="2"/>
      <c r="C484" s="2"/>
      <c r="D484" s="2"/>
      <c r="E484" s="2"/>
      <c r="F484" s="2"/>
      <c r="G484" s="26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81"/>
      <c r="AC484" s="2"/>
      <c r="AD484" s="2"/>
      <c r="AE484" s="281"/>
      <c r="AF484" s="2"/>
      <c r="AG484" s="2"/>
      <c r="AH484" s="2"/>
      <c r="AI484" s="28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</row>
    <row r="485" spans="1:48" ht="14.25" customHeight="1" x14ac:dyDescent="0.25">
      <c r="A485" s="2"/>
      <c r="B485" s="2"/>
      <c r="C485" s="2"/>
      <c r="D485" s="2"/>
      <c r="E485" s="2"/>
      <c r="F485" s="2"/>
      <c r="G485" s="26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81"/>
      <c r="AC485" s="2"/>
      <c r="AD485" s="2"/>
      <c r="AE485" s="281"/>
      <c r="AF485" s="2"/>
      <c r="AG485" s="2"/>
      <c r="AH485" s="2"/>
      <c r="AI485" s="28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</row>
    <row r="486" spans="1:48" ht="14.25" customHeight="1" x14ac:dyDescent="0.25">
      <c r="A486" s="2"/>
      <c r="B486" s="2"/>
      <c r="C486" s="2"/>
      <c r="D486" s="2"/>
      <c r="E486" s="2"/>
      <c r="F486" s="2"/>
      <c r="G486" s="26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81"/>
      <c r="AC486" s="2"/>
      <c r="AD486" s="2"/>
      <c r="AE486" s="281"/>
      <c r="AF486" s="2"/>
      <c r="AG486" s="2"/>
      <c r="AH486" s="2"/>
      <c r="AI486" s="28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</row>
    <row r="487" spans="1:48" ht="14.25" customHeight="1" x14ac:dyDescent="0.25">
      <c r="A487" s="2"/>
      <c r="B487" s="2"/>
      <c r="C487" s="2"/>
      <c r="D487" s="2"/>
      <c r="E487" s="2"/>
      <c r="F487" s="2"/>
      <c r="G487" s="26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81"/>
      <c r="AC487" s="2"/>
      <c r="AD487" s="2"/>
      <c r="AE487" s="281"/>
      <c r="AF487" s="2"/>
      <c r="AG487" s="2"/>
      <c r="AH487" s="2"/>
      <c r="AI487" s="28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</row>
    <row r="488" spans="1:48" ht="14.25" customHeight="1" x14ac:dyDescent="0.25">
      <c r="A488" s="2"/>
      <c r="B488" s="2"/>
      <c r="C488" s="2"/>
      <c r="D488" s="2"/>
      <c r="E488" s="2"/>
      <c r="F488" s="2"/>
      <c r="G488" s="26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81"/>
      <c r="AC488" s="2"/>
      <c r="AD488" s="2"/>
      <c r="AE488" s="281"/>
      <c r="AF488" s="2"/>
      <c r="AG488" s="2"/>
      <c r="AH488" s="2"/>
      <c r="AI488" s="28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</row>
    <row r="489" spans="1:48" ht="14.25" customHeight="1" x14ac:dyDescent="0.25">
      <c r="A489" s="2"/>
      <c r="B489" s="2"/>
      <c r="C489" s="2"/>
      <c r="D489" s="2"/>
      <c r="E489" s="2"/>
      <c r="F489" s="2"/>
      <c r="G489" s="26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81"/>
      <c r="AC489" s="2"/>
      <c r="AD489" s="2"/>
      <c r="AE489" s="281"/>
      <c r="AF489" s="2"/>
      <c r="AG489" s="2"/>
      <c r="AH489" s="2"/>
      <c r="AI489" s="28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</row>
    <row r="490" spans="1:48" ht="14.25" customHeight="1" x14ac:dyDescent="0.25">
      <c r="A490" s="2"/>
      <c r="B490" s="2"/>
      <c r="C490" s="2"/>
      <c r="D490" s="2"/>
      <c r="E490" s="2"/>
      <c r="F490" s="2"/>
      <c r="G490" s="26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81"/>
      <c r="AC490" s="2"/>
      <c r="AD490" s="2"/>
      <c r="AE490" s="281"/>
      <c r="AF490" s="2"/>
      <c r="AG490" s="2"/>
      <c r="AH490" s="2"/>
      <c r="AI490" s="28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</row>
    <row r="491" spans="1:48" ht="14.25" customHeight="1" x14ac:dyDescent="0.25">
      <c r="A491" s="2"/>
      <c r="B491" s="2"/>
      <c r="C491" s="2"/>
      <c r="D491" s="2"/>
      <c r="E491" s="2"/>
      <c r="F491" s="2"/>
      <c r="G491" s="26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81"/>
      <c r="AC491" s="2"/>
      <c r="AD491" s="2"/>
      <c r="AE491" s="281"/>
      <c r="AF491" s="2"/>
      <c r="AG491" s="2"/>
      <c r="AH491" s="2"/>
      <c r="AI491" s="28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</row>
    <row r="492" spans="1:48" ht="14.25" customHeight="1" x14ac:dyDescent="0.25">
      <c r="A492" s="2"/>
      <c r="B492" s="2"/>
      <c r="C492" s="2"/>
      <c r="D492" s="2"/>
      <c r="E492" s="2"/>
      <c r="F492" s="2"/>
      <c r="G492" s="26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81"/>
      <c r="AC492" s="2"/>
      <c r="AD492" s="2"/>
      <c r="AE492" s="281"/>
      <c r="AF492" s="2"/>
      <c r="AG492" s="2"/>
      <c r="AH492" s="2"/>
      <c r="AI492" s="28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</row>
    <row r="493" spans="1:48" ht="14.25" customHeight="1" x14ac:dyDescent="0.25">
      <c r="A493" s="2"/>
      <c r="B493" s="2"/>
      <c r="C493" s="2"/>
      <c r="D493" s="2"/>
      <c r="E493" s="2"/>
      <c r="F493" s="2"/>
      <c r="G493" s="26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81"/>
      <c r="AC493" s="2"/>
      <c r="AD493" s="2"/>
      <c r="AE493" s="281"/>
      <c r="AF493" s="2"/>
      <c r="AG493" s="2"/>
      <c r="AH493" s="2"/>
      <c r="AI493" s="28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</row>
    <row r="494" spans="1:48" ht="14.25" customHeight="1" x14ac:dyDescent="0.25">
      <c r="A494" s="2"/>
      <c r="B494" s="2"/>
      <c r="C494" s="2"/>
      <c r="D494" s="2"/>
      <c r="E494" s="2"/>
      <c r="F494" s="2"/>
      <c r="G494" s="26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81"/>
      <c r="AC494" s="2"/>
      <c r="AD494" s="2"/>
      <c r="AE494" s="281"/>
      <c r="AF494" s="2"/>
      <c r="AG494" s="2"/>
      <c r="AH494" s="2"/>
      <c r="AI494" s="28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</row>
    <row r="495" spans="1:48" ht="14.25" customHeight="1" x14ac:dyDescent="0.25">
      <c r="A495" s="2"/>
      <c r="B495" s="2"/>
      <c r="C495" s="2"/>
      <c r="D495" s="2"/>
      <c r="E495" s="2"/>
      <c r="F495" s="2"/>
      <c r="G495" s="26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81"/>
      <c r="AC495" s="2"/>
      <c r="AD495" s="2"/>
      <c r="AE495" s="281"/>
      <c r="AF495" s="2"/>
      <c r="AG495" s="2"/>
      <c r="AH495" s="2"/>
      <c r="AI495" s="28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</row>
    <row r="496" spans="1:48" ht="14.25" customHeight="1" x14ac:dyDescent="0.25">
      <c r="A496" s="2"/>
      <c r="B496" s="2"/>
      <c r="C496" s="2"/>
      <c r="D496" s="2"/>
      <c r="E496" s="2"/>
      <c r="F496" s="2"/>
      <c r="G496" s="26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81"/>
      <c r="AC496" s="2"/>
      <c r="AD496" s="2"/>
      <c r="AE496" s="281"/>
      <c r="AF496" s="2"/>
      <c r="AG496" s="2"/>
      <c r="AH496" s="2"/>
      <c r="AI496" s="28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</row>
    <row r="497" spans="1:48" ht="14.25" customHeight="1" x14ac:dyDescent="0.25">
      <c r="A497" s="2"/>
      <c r="B497" s="2"/>
      <c r="C497" s="2"/>
      <c r="D497" s="2"/>
      <c r="E497" s="2"/>
      <c r="F497" s="2"/>
      <c r="G497" s="26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81"/>
      <c r="AC497" s="2"/>
      <c r="AD497" s="2"/>
      <c r="AE497" s="281"/>
      <c r="AF497" s="2"/>
      <c r="AG497" s="2"/>
      <c r="AH497" s="2"/>
      <c r="AI497" s="28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</row>
    <row r="498" spans="1:48" ht="14.25" customHeight="1" x14ac:dyDescent="0.25">
      <c r="A498" s="2"/>
      <c r="B498" s="2"/>
      <c r="C498" s="2"/>
      <c r="D498" s="2"/>
      <c r="E498" s="2"/>
      <c r="F498" s="2"/>
      <c r="G498" s="26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81"/>
      <c r="AC498" s="2"/>
      <c r="AD498" s="2"/>
      <c r="AE498" s="281"/>
      <c r="AF498" s="2"/>
      <c r="AG498" s="2"/>
      <c r="AH498" s="2"/>
      <c r="AI498" s="28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</row>
    <row r="499" spans="1:48" ht="14.25" customHeight="1" x14ac:dyDescent="0.25">
      <c r="A499" s="2"/>
      <c r="B499" s="2"/>
      <c r="C499" s="2"/>
      <c r="D499" s="2"/>
      <c r="E499" s="2"/>
      <c r="F499" s="2"/>
      <c r="G499" s="26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81"/>
      <c r="AC499" s="2"/>
      <c r="AD499" s="2"/>
      <c r="AE499" s="281"/>
      <c r="AF499" s="2"/>
      <c r="AG499" s="2"/>
      <c r="AH499" s="2"/>
      <c r="AI499" s="28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</row>
    <row r="500" spans="1:48" ht="14.25" customHeight="1" x14ac:dyDescent="0.25">
      <c r="A500" s="2"/>
      <c r="B500" s="2"/>
      <c r="C500" s="2"/>
      <c r="D500" s="2"/>
      <c r="E500" s="2"/>
      <c r="F500" s="2"/>
      <c r="G500" s="26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81"/>
      <c r="AC500" s="2"/>
      <c r="AD500" s="2"/>
      <c r="AE500" s="281"/>
      <c r="AF500" s="2"/>
      <c r="AG500" s="2"/>
      <c r="AH500" s="2"/>
      <c r="AI500" s="28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</row>
    <row r="501" spans="1:48" ht="14.25" customHeight="1" x14ac:dyDescent="0.25">
      <c r="A501" s="2"/>
      <c r="B501" s="2"/>
      <c r="C501" s="2"/>
      <c r="D501" s="2"/>
      <c r="E501" s="2"/>
      <c r="F501" s="2"/>
      <c r="G501" s="26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81"/>
      <c r="AC501" s="2"/>
      <c r="AD501" s="2"/>
      <c r="AE501" s="281"/>
      <c r="AF501" s="2"/>
      <c r="AG501" s="2"/>
      <c r="AH501" s="2"/>
      <c r="AI501" s="28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</row>
    <row r="502" spans="1:48" ht="14.25" customHeight="1" x14ac:dyDescent="0.25">
      <c r="A502" s="2"/>
      <c r="B502" s="2"/>
      <c r="C502" s="2"/>
      <c r="D502" s="2"/>
      <c r="E502" s="2"/>
      <c r="F502" s="2"/>
      <c r="G502" s="26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81"/>
      <c r="AC502" s="2"/>
      <c r="AD502" s="2"/>
      <c r="AE502" s="281"/>
      <c r="AF502" s="2"/>
      <c r="AG502" s="2"/>
      <c r="AH502" s="2"/>
      <c r="AI502" s="28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</row>
    <row r="503" spans="1:48" ht="14.25" customHeight="1" x14ac:dyDescent="0.25">
      <c r="A503" s="2"/>
      <c r="B503" s="2"/>
      <c r="C503" s="2"/>
      <c r="D503" s="2"/>
      <c r="E503" s="2"/>
      <c r="F503" s="2"/>
      <c r="G503" s="26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81"/>
      <c r="AC503" s="2"/>
      <c r="AD503" s="2"/>
      <c r="AE503" s="281"/>
      <c r="AF503" s="2"/>
      <c r="AG503" s="2"/>
      <c r="AH503" s="2"/>
      <c r="AI503" s="28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</row>
    <row r="504" spans="1:48" ht="14.25" customHeight="1" x14ac:dyDescent="0.25">
      <c r="A504" s="2"/>
      <c r="B504" s="2"/>
      <c r="C504" s="2"/>
      <c r="D504" s="2"/>
      <c r="E504" s="2"/>
      <c r="F504" s="2"/>
      <c r="G504" s="26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81"/>
      <c r="AC504" s="2"/>
      <c r="AD504" s="2"/>
      <c r="AE504" s="281"/>
      <c r="AF504" s="2"/>
      <c r="AG504" s="2"/>
      <c r="AH504" s="2"/>
      <c r="AI504" s="28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</row>
    <row r="505" spans="1:48" ht="14.25" customHeight="1" x14ac:dyDescent="0.25">
      <c r="A505" s="2"/>
      <c r="B505" s="2"/>
      <c r="C505" s="2"/>
      <c r="D505" s="2"/>
      <c r="E505" s="2"/>
      <c r="F505" s="2"/>
      <c r="G505" s="26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81"/>
      <c r="AC505" s="2"/>
      <c r="AD505" s="2"/>
      <c r="AE505" s="281"/>
      <c r="AF505" s="2"/>
      <c r="AG505" s="2"/>
      <c r="AH505" s="2"/>
      <c r="AI505" s="28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</row>
    <row r="506" spans="1:48" ht="14.25" customHeight="1" x14ac:dyDescent="0.25">
      <c r="A506" s="2"/>
      <c r="B506" s="2"/>
      <c r="C506" s="2"/>
      <c r="D506" s="2"/>
      <c r="E506" s="2"/>
      <c r="F506" s="2"/>
      <c r="G506" s="26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81"/>
      <c r="AC506" s="2"/>
      <c r="AD506" s="2"/>
      <c r="AE506" s="281"/>
      <c r="AF506" s="2"/>
      <c r="AG506" s="2"/>
      <c r="AH506" s="2"/>
      <c r="AI506" s="28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</row>
    <row r="507" spans="1:48" ht="14.25" customHeight="1" x14ac:dyDescent="0.25">
      <c r="A507" s="2"/>
      <c r="B507" s="2"/>
      <c r="C507" s="2"/>
      <c r="D507" s="2"/>
      <c r="E507" s="2"/>
      <c r="F507" s="2"/>
      <c r="G507" s="26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81"/>
      <c r="AC507" s="2"/>
      <c r="AD507" s="2"/>
      <c r="AE507" s="281"/>
      <c r="AF507" s="2"/>
      <c r="AG507" s="2"/>
      <c r="AH507" s="2"/>
      <c r="AI507" s="28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</row>
    <row r="508" spans="1:48" ht="14.25" customHeight="1" x14ac:dyDescent="0.25">
      <c r="A508" s="2"/>
      <c r="B508" s="2"/>
      <c r="C508" s="2"/>
      <c r="D508" s="2"/>
      <c r="E508" s="2"/>
      <c r="F508" s="2"/>
      <c r="G508" s="26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81"/>
      <c r="AC508" s="2"/>
      <c r="AD508" s="2"/>
      <c r="AE508" s="281"/>
      <c r="AF508" s="2"/>
      <c r="AG508" s="2"/>
      <c r="AH508" s="2"/>
      <c r="AI508" s="28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</row>
    <row r="509" spans="1:48" ht="14.25" customHeight="1" x14ac:dyDescent="0.25">
      <c r="A509" s="2"/>
      <c r="B509" s="2"/>
      <c r="C509" s="2"/>
      <c r="D509" s="2"/>
      <c r="E509" s="2"/>
      <c r="F509" s="2"/>
      <c r="G509" s="26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81"/>
      <c r="AC509" s="2"/>
      <c r="AD509" s="2"/>
      <c r="AE509" s="281"/>
      <c r="AF509" s="2"/>
      <c r="AG509" s="2"/>
      <c r="AH509" s="2"/>
      <c r="AI509" s="28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</row>
    <row r="510" spans="1:48" ht="14.25" customHeight="1" x14ac:dyDescent="0.25">
      <c r="A510" s="2"/>
      <c r="B510" s="2"/>
      <c r="C510" s="2"/>
      <c r="D510" s="2"/>
      <c r="E510" s="2"/>
      <c r="F510" s="2"/>
      <c r="G510" s="26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81"/>
      <c r="AC510" s="2"/>
      <c r="AD510" s="2"/>
      <c r="AE510" s="281"/>
      <c r="AF510" s="2"/>
      <c r="AG510" s="2"/>
      <c r="AH510" s="2"/>
      <c r="AI510" s="28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</row>
    <row r="511" spans="1:48" ht="14.25" customHeight="1" x14ac:dyDescent="0.25">
      <c r="A511" s="2"/>
      <c r="B511" s="2"/>
      <c r="C511" s="2"/>
      <c r="D511" s="2"/>
      <c r="E511" s="2"/>
      <c r="F511" s="2"/>
      <c r="G511" s="26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81"/>
      <c r="AC511" s="2"/>
      <c r="AD511" s="2"/>
      <c r="AE511" s="281"/>
      <c r="AF511" s="2"/>
      <c r="AG511" s="2"/>
      <c r="AH511" s="2"/>
      <c r="AI511" s="28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</row>
    <row r="512" spans="1:48" ht="14.25" customHeight="1" x14ac:dyDescent="0.25">
      <c r="A512" s="2"/>
      <c r="B512" s="2"/>
      <c r="C512" s="2"/>
      <c r="D512" s="2"/>
      <c r="E512" s="2"/>
      <c r="F512" s="2"/>
      <c r="G512" s="26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81"/>
      <c r="AC512" s="2"/>
      <c r="AD512" s="2"/>
      <c r="AE512" s="281"/>
      <c r="AF512" s="2"/>
      <c r="AG512" s="2"/>
      <c r="AH512" s="2"/>
      <c r="AI512" s="28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</row>
    <row r="513" spans="1:48" ht="14.25" customHeight="1" x14ac:dyDescent="0.25">
      <c r="A513" s="2"/>
      <c r="B513" s="2"/>
      <c r="C513" s="2"/>
      <c r="D513" s="2"/>
      <c r="E513" s="2"/>
      <c r="F513" s="2"/>
      <c r="G513" s="26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81"/>
      <c r="AC513" s="2"/>
      <c r="AD513" s="2"/>
      <c r="AE513" s="281"/>
      <c r="AF513" s="2"/>
      <c r="AG513" s="2"/>
      <c r="AH513" s="2"/>
      <c r="AI513" s="28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</row>
    <row r="514" spans="1:48" ht="14.25" customHeight="1" x14ac:dyDescent="0.25">
      <c r="A514" s="2"/>
      <c r="B514" s="2"/>
      <c r="C514" s="2"/>
      <c r="D514" s="2"/>
      <c r="E514" s="2"/>
      <c r="F514" s="2"/>
      <c r="G514" s="26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81"/>
      <c r="AC514" s="2"/>
      <c r="AD514" s="2"/>
      <c r="AE514" s="281"/>
      <c r="AF514" s="2"/>
      <c r="AG514" s="2"/>
      <c r="AH514" s="2"/>
      <c r="AI514" s="28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</row>
    <row r="515" spans="1:48" ht="14.25" customHeight="1" x14ac:dyDescent="0.25">
      <c r="A515" s="2"/>
      <c r="B515" s="2"/>
      <c r="C515" s="2"/>
      <c r="D515" s="2"/>
      <c r="E515" s="2"/>
      <c r="F515" s="2"/>
      <c r="G515" s="26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81"/>
      <c r="AC515" s="2"/>
      <c r="AD515" s="2"/>
      <c r="AE515" s="281"/>
      <c r="AF515" s="2"/>
      <c r="AG515" s="2"/>
      <c r="AH515" s="2"/>
      <c r="AI515" s="28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</row>
    <row r="516" spans="1:48" ht="14.25" customHeight="1" x14ac:dyDescent="0.25">
      <c r="A516" s="2"/>
      <c r="B516" s="2"/>
      <c r="C516" s="2"/>
      <c r="D516" s="2"/>
      <c r="E516" s="2"/>
      <c r="F516" s="2"/>
      <c r="G516" s="26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81"/>
      <c r="AC516" s="2"/>
      <c r="AD516" s="2"/>
      <c r="AE516" s="281"/>
      <c r="AF516" s="2"/>
      <c r="AG516" s="2"/>
      <c r="AH516" s="2"/>
      <c r="AI516" s="28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</row>
    <row r="517" spans="1:48" ht="14.25" customHeight="1" x14ac:dyDescent="0.25">
      <c r="A517" s="2"/>
      <c r="B517" s="2"/>
      <c r="C517" s="2"/>
      <c r="D517" s="2"/>
      <c r="E517" s="2"/>
      <c r="F517" s="2"/>
      <c r="G517" s="26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81"/>
      <c r="AC517" s="2"/>
      <c r="AD517" s="2"/>
      <c r="AE517" s="281"/>
      <c r="AF517" s="2"/>
      <c r="AG517" s="2"/>
      <c r="AH517" s="2"/>
      <c r="AI517" s="28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</row>
    <row r="518" spans="1:48" ht="14.25" customHeight="1" x14ac:dyDescent="0.25">
      <c r="A518" s="2"/>
      <c r="B518" s="2"/>
      <c r="C518" s="2"/>
      <c r="D518" s="2"/>
      <c r="E518" s="2"/>
      <c r="F518" s="2"/>
      <c r="G518" s="26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81"/>
      <c r="AC518" s="2"/>
      <c r="AD518" s="2"/>
      <c r="AE518" s="281"/>
      <c r="AF518" s="2"/>
      <c r="AG518" s="2"/>
      <c r="AH518" s="2"/>
      <c r="AI518" s="28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</row>
    <row r="519" spans="1:48" ht="14.25" customHeight="1" x14ac:dyDescent="0.25">
      <c r="A519" s="2"/>
      <c r="B519" s="2"/>
      <c r="C519" s="2"/>
      <c r="D519" s="2"/>
      <c r="E519" s="2"/>
      <c r="F519" s="2"/>
      <c r="G519" s="26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81"/>
      <c r="AC519" s="2"/>
      <c r="AD519" s="2"/>
      <c r="AE519" s="281"/>
      <c r="AF519" s="2"/>
      <c r="AG519" s="2"/>
      <c r="AH519" s="2"/>
      <c r="AI519" s="28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</row>
    <row r="520" spans="1:48" ht="14.25" customHeight="1" x14ac:dyDescent="0.25">
      <c r="A520" s="2"/>
      <c r="B520" s="2"/>
      <c r="C520" s="2"/>
      <c r="D520" s="2"/>
      <c r="E520" s="2"/>
      <c r="F520" s="2"/>
      <c r="G520" s="26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81"/>
      <c r="AC520" s="2"/>
      <c r="AD520" s="2"/>
      <c r="AE520" s="281"/>
      <c r="AF520" s="2"/>
      <c r="AG520" s="2"/>
      <c r="AH520" s="2"/>
      <c r="AI520" s="28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</row>
    <row r="521" spans="1:48" ht="14.25" customHeight="1" x14ac:dyDescent="0.25">
      <c r="A521" s="2"/>
      <c r="B521" s="2"/>
      <c r="C521" s="2"/>
      <c r="D521" s="2"/>
      <c r="E521" s="2"/>
      <c r="F521" s="2"/>
      <c r="G521" s="26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81"/>
      <c r="AC521" s="2"/>
      <c r="AD521" s="2"/>
      <c r="AE521" s="281"/>
      <c r="AF521" s="2"/>
      <c r="AG521" s="2"/>
      <c r="AH521" s="2"/>
      <c r="AI521" s="28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</row>
    <row r="522" spans="1:48" ht="14.25" customHeight="1" x14ac:dyDescent="0.25">
      <c r="A522" s="2"/>
      <c r="B522" s="2"/>
      <c r="C522" s="2"/>
      <c r="D522" s="2"/>
      <c r="E522" s="2"/>
      <c r="F522" s="2"/>
      <c r="G522" s="26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81"/>
      <c r="AC522" s="2"/>
      <c r="AD522" s="2"/>
      <c r="AE522" s="281"/>
      <c r="AF522" s="2"/>
      <c r="AG522" s="2"/>
      <c r="AH522" s="2"/>
      <c r="AI522" s="28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</row>
    <row r="523" spans="1:48" ht="14.25" customHeight="1" x14ac:dyDescent="0.25">
      <c r="A523" s="2"/>
      <c r="B523" s="2"/>
      <c r="C523" s="2"/>
      <c r="D523" s="2"/>
      <c r="E523" s="2"/>
      <c r="F523" s="2"/>
      <c r="G523" s="26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81"/>
      <c r="AC523" s="2"/>
      <c r="AD523" s="2"/>
      <c r="AE523" s="281"/>
      <c r="AF523" s="2"/>
      <c r="AG523" s="2"/>
      <c r="AH523" s="2"/>
      <c r="AI523" s="28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</row>
    <row r="524" spans="1:48" ht="14.25" customHeight="1" x14ac:dyDescent="0.25">
      <c r="A524" s="2"/>
      <c r="B524" s="2"/>
      <c r="C524" s="2"/>
      <c r="D524" s="2"/>
      <c r="E524" s="2"/>
      <c r="F524" s="2"/>
      <c r="G524" s="26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81"/>
      <c r="AC524" s="2"/>
      <c r="AD524" s="2"/>
      <c r="AE524" s="281"/>
      <c r="AF524" s="2"/>
      <c r="AG524" s="2"/>
      <c r="AH524" s="2"/>
      <c r="AI524" s="28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</row>
    <row r="525" spans="1:48" ht="14.25" customHeight="1" x14ac:dyDescent="0.25">
      <c r="A525" s="2"/>
      <c r="B525" s="2"/>
      <c r="C525" s="2"/>
      <c r="D525" s="2"/>
      <c r="E525" s="2"/>
      <c r="F525" s="2"/>
      <c r="G525" s="26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81"/>
      <c r="AC525" s="2"/>
      <c r="AD525" s="2"/>
      <c r="AE525" s="281"/>
      <c r="AF525" s="2"/>
      <c r="AG525" s="2"/>
      <c r="AH525" s="2"/>
      <c r="AI525" s="28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</row>
    <row r="526" spans="1:48" ht="14.25" customHeight="1" x14ac:dyDescent="0.25">
      <c r="A526" s="2"/>
      <c r="B526" s="2"/>
      <c r="C526" s="2"/>
      <c r="D526" s="2"/>
      <c r="E526" s="2"/>
      <c r="F526" s="2"/>
      <c r="G526" s="26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81"/>
      <c r="AC526" s="2"/>
      <c r="AD526" s="2"/>
      <c r="AE526" s="281"/>
      <c r="AF526" s="2"/>
      <c r="AG526" s="2"/>
      <c r="AH526" s="2"/>
      <c r="AI526" s="28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</row>
    <row r="527" spans="1:48" ht="14.25" customHeight="1" x14ac:dyDescent="0.25">
      <c r="A527" s="2"/>
      <c r="B527" s="2"/>
      <c r="C527" s="2"/>
      <c r="D527" s="2"/>
      <c r="E527" s="2"/>
      <c r="F527" s="2"/>
      <c r="G527" s="26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81"/>
      <c r="AC527" s="2"/>
      <c r="AD527" s="2"/>
      <c r="AE527" s="281"/>
      <c r="AF527" s="2"/>
      <c r="AG527" s="2"/>
      <c r="AH527" s="2"/>
      <c r="AI527" s="28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</row>
    <row r="528" spans="1:48" ht="14.25" customHeight="1" x14ac:dyDescent="0.25">
      <c r="A528" s="2"/>
      <c r="B528" s="2"/>
      <c r="C528" s="2"/>
      <c r="D528" s="2"/>
      <c r="E528" s="2"/>
      <c r="F528" s="2"/>
      <c r="G528" s="26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81"/>
      <c r="AC528" s="2"/>
      <c r="AD528" s="2"/>
      <c r="AE528" s="281"/>
      <c r="AF528" s="2"/>
      <c r="AG528" s="2"/>
      <c r="AH528" s="2"/>
      <c r="AI528" s="28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</row>
    <row r="529" spans="1:48" ht="14.25" customHeight="1" x14ac:dyDescent="0.25">
      <c r="A529" s="2"/>
      <c r="B529" s="2"/>
      <c r="C529" s="2"/>
      <c r="D529" s="2"/>
      <c r="E529" s="2"/>
      <c r="F529" s="2"/>
      <c r="G529" s="26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81"/>
      <c r="AC529" s="2"/>
      <c r="AD529" s="2"/>
      <c r="AE529" s="281"/>
      <c r="AF529" s="2"/>
      <c r="AG529" s="2"/>
      <c r="AH529" s="2"/>
      <c r="AI529" s="28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</row>
    <row r="530" spans="1:48" ht="14.25" customHeight="1" x14ac:dyDescent="0.25">
      <c r="A530" s="2"/>
      <c r="B530" s="2"/>
      <c r="C530" s="2"/>
      <c r="D530" s="2"/>
      <c r="E530" s="2"/>
      <c r="F530" s="2"/>
      <c r="G530" s="26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81"/>
      <c r="AC530" s="2"/>
      <c r="AD530" s="2"/>
      <c r="AE530" s="281"/>
      <c r="AF530" s="2"/>
      <c r="AG530" s="2"/>
      <c r="AH530" s="2"/>
      <c r="AI530" s="28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</row>
    <row r="531" spans="1:48" ht="14.25" customHeight="1" x14ac:dyDescent="0.25">
      <c r="A531" s="2"/>
      <c r="B531" s="2"/>
      <c r="C531" s="2"/>
      <c r="D531" s="2"/>
      <c r="E531" s="2"/>
      <c r="F531" s="2"/>
      <c r="G531" s="26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81"/>
      <c r="AC531" s="2"/>
      <c r="AD531" s="2"/>
      <c r="AE531" s="281"/>
      <c r="AF531" s="2"/>
      <c r="AG531" s="2"/>
      <c r="AH531" s="2"/>
      <c r="AI531" s="28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</row>
    <row r="532" spans="1:48" ht="14.25" customHeight="1" x14ac:dyDescent="0.25">
      <c r="A532" s="2"/>
      <c r="B532" s="2"/>
      <c r="C532" s="2"/>
      <c r="D532" s="2"/>
      <c r="E532" s="2"/>
      <c r="F532" s="2"/>
      <c r="G532" s="26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81"/>
      <c r="AC532" s="2"/>
      <c r="AD532" s="2"/>
      <c r="AE532" s="281"/>
      <c r="AF532" s="2"/>
      <c r="AG532" s="2"/>
      <c r="AH532" s="2"/>
      <c r="AI532" s="28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</row>
    <row r="533" spans="1:48" ht="14.25" customHeight="1" x14ac:dyDescent="0.25">
      <c r="A533" s="2"/>
      <c r="B533" s="2"/>
      <c r="C533" s="2"/>
      <c r="D533" s="2"/>
      <c r="E533" s="2"/>
      <c r="F533" s="2"/>
      <c r="G533" s="26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81"/>
      <c r="AC533" s="2"/>
      <c r="AD533" s="2"/>
      <c r="AE533" s="281"/>
      <c r="AF533" s="2"/>
      <c r="AG533" s="2"/>
      <c r="AH533" s="2"/>
      <c r="AI533" s="28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</row>
    <row r="534" spans="1:48" ht="14.25" customHeight="1" x14ac:dyDescent="0.25">
      <c r="A534" s="2"/>
      <c r="B534" s="2"/>
      <c r="C534" s="2"/>
      <c r="D534" s="2"/>
      <c r="E534" s="2"/>
      <c r="F534" s="2"/>
      <c r="G534" s="26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81"/>
      <c r="AC534" s="2"/>
      <c r="AD534" s="2"/>
      <c r="AE534" s="281"/>
      <c r="AF534" s="2"/>
      <c r="AG534" s="2"/>
      <c r="AH534" s="2"/>
      <c r="AI534" s="28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</row>
    <row r="535" spans="1:48" ht="14.25" customHeight="1" x14ac:dyDescent="0.25">
      <c r="A535" s="2"/>
      <c r="B535" s="2"/>
      <c r="C535" s="2"/>
      <c r="D535" s="2"/>
      <c r="E535" s="2"/>
      <c r="F535" s="2"/>
      <c r="G535" s="26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81"/>
      <c r="AC535" s="2"/>
      <c r="AD535" s="2"/>
      <c r="AE535" s="281"/>
      <c r="AF535" s="2"/>
      <c r="AG535" s="2"/>
      <c r="AH535" s="2"/>
      <c r="AI535" s="28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</row>
    <row r="536" spans="1:48" ht="14.25" customHeight="1" x14ac:dyDescent="0.25">
      <c r="A536" s="2"/>
      <c r="B536" s="2"/>
      <c r="C536" s="2"/>
      <c r="D536" s="2"/>
      <c r="E536" s="2"/>
      <c r="F536" s="2"/>
      <c r="G536" s="26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81"/>
      <c r="AC536" s="2"/>
      <c r="AD536" s="2"/>
      <c r="AE536" s="281"/>
      <c r="AF536" s="2"/>
      <c r="AG536" s="2"/>
      <c r="AH536" s="2"/>
      <c r="AI536" s="28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</row>
    <row r="537" spans="1:48" ht="14.25" customHeight="1" x14ac:dyDescent="0.25">
      <c r="A537" s="2"/>
      <c r="B537" s="2"/>
      <c r="C537" s="2"/>
      <c r="D537" s="2"/>
      <c r="E537" s="2"/>
      <c r="F537" s="2"/>
      <c r="G537" s="26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81"/>
      <c r="AC537" s="2"/>
      <c r="AD537" s="2"/>
      <c r="AE537" s="281"/>
      <c r="AF537" s="2"/>
      <c r="AG537" s="2"/>
      <c r="AH537" s="2"/>
      <c r="AI537" s="28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</row>
    <row r="538" spans="1:48" ht="14.25" customHeight="1" x14ac:dyDescent="0.25">
      <c r="A538" s="2"/>
      <c r="B538" s="2"/>
      <c r="C538" s="2"/>
      <c r="D538" s="2"/>
      <c r="E538" s="2"/>
      <c r="F538" s="2"/>
      <c r="G538" s="26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81"/>
      <c r="AC538" s="2"/>
      <c r="AD538" s="2"/>
      <c r="AE538" s="281"/>
      <c r="AF538" s="2"/>
      <c r="AG538" s="2"/>
      <c r="AH538" s="2"/>
      <c r="AI538" s="28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</row>
    <row r="539" spans="1:48" ht="14.25" customHeight="1" x14ac:dyDescent="0.25">
      <c r="A539" s="2"/>
      <c r="B539" s="2"/>
      <c r="C539" s="2"/>
      <c r="D539" s="2"/>
      <c r="E539" s="2"/>
      <c r="F539" s="2"/>
      <c r="G539" s="26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81"/>
      <c r="AC539" s="2"/>
      <c r="AD539" s="2"/>
      <c r="AE539" s="281"/>
      <c r="AF539" s="2"/>
      <c r="AG539" s="2"/>
      <c r="AH539" s="2"/>
      <c r="AI539" s="28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</row>
    <row r="540" spans="1:48" ht="14.25" customHeight="1" x14ac:dyDescent="0.25">
      <c r="A540" s="2"/>
      <c r="B540" s="2"/>
      <c r="C540" s="2"/>
      <c r="D540" s="2"/>
      <c r="E540" s="2"/>
      <c r="F540" s="2"/>
      <c r="G540" s="26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81"/>
      <c r="AC540" s="2"/>
      <c r="AD540" s="2"/>
      <c r="AE540" s="281"/>
      <c r="AF540" s="2"/>
      <c r="AG540" s="2"/>
      <c r="AH540" s="2"/>
      <c r="AI540" s="28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</row>
    <row r="541" spans="1:48" ht="14.25" customHeight="1" x14ac:dyDescent="0.25">
      <c r="A541" s="2"/>
      <c r="B541" s="2"/>
      <c r="C541" s="2"/>
      <c r="D541" s="2"/>
      <c r="E541" s="2"/>
      <c r="F541" s="2"/>
      <c r="G541" s="26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81"/>
      <c r="AC541" s="2"/>
      <c r="AD541" s="2"/>
      <c r="AE541" s="281"/>
      <c r="AF541" s="2"/>
      <c r="AG541" s="2"/>
      <c r="AH541" s="2"/>
      <c r="AI541" s="28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</row>
    <row r="542" spans="1:48" ht="14.25" customHeight="1" x14ac:dyDescent="0.25">
      <c r="A542" s="2"/>
      <c r="B542" s="2"/>
      <c r="C542" s="2"/>
      <c r="D542" s="2"/>
      <c r="E542" s="2"/>
      <c r="F542" s="2"/>
      <c r="G542" s="26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81"/>
      <c r="AC542" s="2"/>
      <c r="AD542" s="2"/>
      <c r="AE542" s="281"/>
      <c r="AF542" s="2"/>
      <c r="AG542" s="2"/>
      <c r="AH542" s="2"/>
      <c r="AI542" s="28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</row>
    <row r="543" spans="1:48" ht="14.25" customHeight="1" x14ac:dyDescent="0.25">
      <c r="A543" s="2"/>
      <c r="B543" s="2"/>
      <c r="C543" s="2"/>
      <c r="D543" s="2"/>
      <c r="E543" s="2"/>
      <c r="F543" s="2"/>
      <c r="G543" s="26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81"/>
      <c r="AC543" s="2"/>
      <c r="AD543" s="2"/>
      <c r="AE543" s="281"/>
      <c r="AF543" s="2"/>
      <c r="AG543" s="2"/>
      <c r="AH543" s="2"/>
      <c r="AI543" s="28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</row>
    <row r="544" spans="1:48" ht="14.25" customHeight="1" x14ac:dyDescent="0.25">
      <c r="A544" s="2"/>
      <c r="B544" s="2"/>
      <c r="C544" s="2"/>
      <c r="D544" s="2"/>
      <c r="E544" s="2"/>
      <c r="F544" s="2"/>
      <c r="G544" s="26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81"/>
      <c r="AC544" s="2"/>
      <c r="AD544" s="2"/>
      <c r="AE544" s="281"/>
      <c r="AF544" s="2"/>
      <c r="AG544" s="2"/>
      <c r="AH544" s="2"/>
      <c r="AI544" s="28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</row>
    <row r="545" spans="1:48" ht="14.25" customHeight="1" x14ac:dyDescent="0.25">
      <c r="A545" s="2"/>
      <c r="B545" s="2"/>
      <c r="C545" s="2"/>
      <c r="D545" s="2"/>
      <c r="E545" s="2"/>
      <c r="F545" s="2"/>
      <c r="G545" s="26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81"/>
      <c r="AC545" s="2"/>
      <c r="AD545" s="2"/>
      <c r="AE545" s="281"/>
      <c r="AF545" s="2"/>
      <c r="AG545" s="2"/>
      <c r="AH545" s="2"/>
      <c r="AI545" s="28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</row>
    <row r="546" spans="1:48" ht="14.25" customHeight="1" x14ac:dyDescent="0.25">
      <c r="A546" s="2"/>
      <c r="B546" s="2"/>
      <c r="C546" s="2"/>
      <c r="D546" s="2"/>
      <c r="E546" s="2"/>
      <c r="F546" s="2"/>
      <c r="G546" s="26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81"/>
      <c r="AC546" s="2"/>
      <c r="AD546" s="2"/>
      <c r="AE546" s="281"/>
      <c r="AF546" s="2"/>
      <c r="AG546" s="2"/>
      <c r="AH546" s="2"/>
      <c r="AI546" s="28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</row>
    <row r="547" spans="1:48" ht="14.25" customHeight="1" x14ac:dyDescent="0.25">
      <c r="A547" s="2"/>
      <c r="B547" s="2"/>
      <c r="C547" s="2"/>
      <c r="D547" s="2"/>
      <c r="E547" s="2"/>
      <c r="F547" s="2"/>
      <c r="G547" s="26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81"/>
      <c r="AC547" s="2"/>
      <c r="AD547" s="2"/>
      <c r="AE547" s="281"/>
      <c r="AF547" s="2"/>
      <c r="AG547" s="2"/>
      <c r="AH547" s="2"/>
      <c r="AI547" s="28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</row>
    <row r="548" spans="1:48" ht="14.25" customHeight="1" x14ac:dyDescent="0.25">
      <c r="A548" s="2"/>
      <c r="B548" s="2"/>
      <c r="C548" s="2"/>
      <c r="D548" s="2"/>
      <c r="E548" s="2"/>
      <c r="F548" s="2"/>
      <c r="G548" s="26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81"/>
      <c r="AC548" s="2"/>
      <c r="AD548" s="2"/>
      <c r="AE548" s="281"/>
      <c r="AF548" s="2"/>
      <c r="AG548" s="2"/>
      <c r="AH548" s="2"/>
      <c r="AI548" s="28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</row>
    <row r="549" spans="1:48" ht="14.25" customHeight="1" x14ac:dyDescent="0.25">
      <c r="A549" s="2"/>
      <c r="B549" s="2"/>
      <c r="C549" s="2"/>
      <c r="D549" s="2"/>
      <c r="E549" s="2"/>
      <c r="F549" s="2"/>
      <c r="G549" s="26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81"/>
      <c r="AC549" s="2"/>
      <c r="AD549" s="2"/>
      <c r="AE549" s="281"/>
      <c r="AF549" s="2"/>
      <c r="AG549" s="2"/>
      <c r="AH549" s="2"/>
      <c r="AI549" s="28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</row>
    <row r="550" spans="1:48" ht="14.25" customHeight="1" x14ac:dyDescent="0.25">
      <c r="A550" s="2"/>
      <c r="B550" s="2"/>
      <c r="C550" s="2"/>
      <c r="D550" s="2"/>
      <c r="E550" s="2"/>
      <c r="F550" s="2"/>
      <c r="G550" s="26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81"/>
      <c r="AC550" s="2"/>
      <c r="AD550" s="2"/>
      <c r="AE550" s="281"/>
      <c r="AF550" s="2"/>
      <c r="AG550" s="2"/>
      <c r="AH550" s="2"/>
      <c r="AI550" s="28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</row>
    <row r="551" spans="1:48" ht="14.25" customHeight="1" x14ac:dyDescent="0.25">
      <c r="A551" s="2"/>
      <c r="B551" s="2"/>
      <c r="C551" s="2"/>
      <c r="D551" s="2"/>
      <c r="E551" s="2"/>
      <c r="F551" s="2"/>
      <c r="G551" s="26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81"/>
      <c r="AC551" s="2"/>
      <c r="AD551" s="2"/>
      <c r="AE551" s="281"/>
      <c r="AF551" s="2"/>
      <c r="AG551" s="2"/>
      <c r="AH551" s="2"/>
      <c r="AI551" s="28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</row>
    <row r="552" spans="1:48" ht="14.25" customHeight="1" x14ac:dyDescent="0.25">
      <c r="A552" s="2"/>
      <c r="B552" s="2"/>
      <c r="C552" s="2"/>
      <c r="D552" s="2"/>
      <c r="E552" s="2"/>
      <c r="F552" s="2"/>
      <c r="G552" s="26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81"/>
      <c r="AC552" s="2"/>
      <c r="AD552" s="2"/>
      <c r="AE552" s="281"/>
      <c r="AF552" s="2"/>
      <c r="AG552" s="2"/>
      <c r="AH552" s="2"/>
      <c r="AI552" s="28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</row>
    <row r="553" spans="1:48" ht="14.25" customHeight="1" x14ac:dyDescent="0.25">
      <c r="A553" s="2"/>
      <c r="B553" s="2"/>
      <c r="C553" s="2"/>
      <c r="D553" s="2"/>
      <c r="E553" s="2"/>
      <c r="F553" s="2"/>
      <c r="G553" s="26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81"/>
      <c r="AC553" s="2"/>
      <c r="AD553" s="2"/>
      <c r="AE553" s="281"/>
      <c r="AF553" s="2"/>
      <c r="AG553" s="2"/>
      <c r="AH553" s="2"/>
      <c r="AI553" s="28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</row>
    <row r="554" spans="1:48" ht="14.25" customHeight="1" x14ac:dyDescent="0.25">
      <c r="A554" s="2"/>
      <c r="B554" s="2"/>
      <c r="C554" s="2"/>
      <c r="D554" s="2"/>
      <c r="E554" s="2"/>
      <c r="F554" s="2"/>
      <c r="G554" s="26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81"/>
      <c r="AC554" s="2"/>
      <c r="AD554" s="2"/>
      <c r="AE554" s="281"/>
      <c r="AF554" s="2"/>
      <c r="AG554" s="2"/>
      <c r="AH554" s="2"/>
      <c r="AI554" s="28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</row>
    <row r="555" spans="1:48" ht="14.25" customHeight="1" x14ac:dyDescent="0.25">
      <c r="A555" s="2"/>
      <c r="B555" s="2"/>
      <c r="C555" s="2"/>
      <c r="D555" s="2"/>
      <c r="E555" s="2"/>
      <c r="F555" s="2"/>
      <c r="G555" s="26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81"/>
      <c r="AC555" s="2"/>
      <c r="AD555" s="2"/>
      <c r="AE555" s="281"/>
      <c r="AF555" s="2"/>
      <c r="AG555" s="2"/>
      <c r="AH555" s="2"/>
      <c r="AI555" s="28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</row>
    <row r="556" spans="1:48" ht="14.25" customHeight="1" x14ac:dyDescent="0.25">
      <c r="A556" s="2"/>
      <c r="B556" s="2"/>
      <c r="C556" s="2"/>
      <c r="D556" s="2"/>
      <c r="E556" s="2"/>
      <c r="F556" s="2"/>
      <c r="G556" s="26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81"/>
      <c r="AC556" s="2"/>
      <c r="AD556" s="2"/>
      <c r="AE556" s="281"/>
      <c r="AF556" s="2"/>
      <c r="AG556" s="2"/>
      <c r="AH556" s="2"/>
      <c r="AI556" s="28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</row>
    <row r="557" spans="1:48" ht="14.25" customHeight="1" x14ac:dyDescent="0.25">
      <c r="A557" s="2"/>
      <c r="B557" s="2"/>
      <c r="C557" s="2"/>
      <c r="D557" s="2"/>
      <c r="E557" s="2"/>
      <c r="F557" s="2"/>
      <c r="G557" s="26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81"/>
      <c r="AC557" s="2"/>
      <c r="AD557" s="2"/>
      <c r="AE557" s="281"/>
      <c r="AF557" s="2"/>
      <c r="AG557" s="2"/>
      <c r="AH557" s="2"/>
      <c r="AI557" s="28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</row>
    <row r="558" spans="1:48" ht="14.25" customHeight="1" x14ac:dyDescent="0.25">
      <c r="A558" s="2"/>
      <c r="B558" s="2"/>
      <c r="C558" s="2"/>
      <c r="D558" s="2"/>
      <c r="E558" s="2"/>
      <c r="F558" s="2"/>
      <c r="G558" s="26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81"/>
      <c r="AC558" s="2"/>
      <c r="AD558" s="2"/>
      <c r="AE558" s="281"/>
      <c r="AF558" s="2"/>
      <c r="AG558" s="2"/>
      <c r="AH558" s="2"/>
      <c r="AI558" s="28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</row>
    <row r="559" spans="1:48" ht="14.25" customHeight="1" x14ac:dyDescent="0.25">
      <c r="A559" s="2"/>
      <c r="B559" s="2"/>
      <c r="C559" s="2"/>
      <c r="D559" s="2"/>
      <c r="E559" s="2"/>
      <c r="F559" s="2"/>
      <c r="G559" s="26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81"/>
      <c r="AC559" s="2"/>
      <c r="AD559" s="2"/>
      <c r="AE559" s="281"/>
      <c r="AF559" s="2"/>
      <c r="AG559" s="2"/>
      <c r="AH559" s="2"/>
      <c r="AI559" s="28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</row>
    <row r="560" spans="1:48" ht="14.25" customHeight="1" x14ac:dyDescent="0.25">
      <c r="A560" s="2"/>
      <c r="B560" s="2"/>
      <c r="C560" s="2"/>
      <c r="D560" s="2"/>
      <c r="E560" s="2"/>
      <c r="F560" s="2"/>
      <c r="G560" s="26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81"/>
      <c r="AC560" s="2"/>
      <c r="AD560" s="2"/>
      <c r="AE560" s="281"/>
      <c r="AF560" s="2"/>
      <c r="AG560" s="2"/>
      <c r="AH560" s="2"/>
      <c r="AI560" s="28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</row>
    <row r="561" spans="1:48" ht="14.25" customHeight="1" x14ac:dyDescent="0.25">
      <c r="A561" s="2"/>
      <c r="B561" s="2"/>
      <c r="C561" s="2"/>
      <c r="D561" s="2"/>
      <c r="E561" s="2"/>
      <c r="F561" s="2"/>
      <c r="G561" s="26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81"/>
      <c r="AC561" s="2"/>
      <c r="AD561" s="2"/>
      <c r="AE561" s="281"/>
      <c r="AF561" s="2"/>
      <c r="AG561" s="2"/>
      <c r="AH561" s="2"/>
      <c r="AI561" s="28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</row>
    <row r="562" spans="1:48" ht="14.25" customHeight="1" x14ac:dyDescent="0.25">
      <c r="A562" s="2"/>
      <c r="B562" s="2"/>
      <c r="C562" s="2"/>
      <c r="D562" s="2"/>
      <c r="E562" s="2"/>
      <c r="F562" s="2"/>
      <c r="G562" s="26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81"/>
      <c r="AC562" s="2"/>
      <c r="AD562" s="2"/>
      <c r="AE562" s="281"/>
      <c r="AF562" s="2"/>
      <c r="AG562" s="2"/>
      <c r="AH562" s="2"/>
      <c r="AI562" s="28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</row>
    <row r="563" spans="1:48" ht="14.25" customHeight="1" x14ac:dyDescent="0.25">
      <c r="A563" s="2"/>
      <c r="B563" s="2"/>
      <c r="C563" s="2"/>
      <c r="D563" s="2"/>
      <c r="E563" s="2"/>
      <c r="F563" s="2"/>
      <c r="G563" s="26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81"/>
      <c r="AC563" s="2"/>
      <c r="AD563" s="2"/>
      <c r="AE563" s="281"/>
      <c r="AF563" s="2"/>
      <c r="AG563" s="2"/>
      <c r="AH563" s="2"/>
      <c r="AI563" s="28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</row>
    <row r="564" spans="1:48" ht="14.25" customHeight="1" x14ac:dyDescent="0.25">
      <c r="A564" s="2"/>
      <c r="B564" s="2"/>
      <c r="C564" s="2"/>
      <c r="D564" s="2"/>
      <c r="E564" s="2"/>
      <c r="F564" s="2"/>
      <c r="G564" s="26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81"/>
      <c r="AC564" s="2"/>
      <c r="AD564" s="2"/>
      <c r="AE564" s="281"/>
      <c r="AF564" s="2"/>
      <c r="AG564" s="2"/>
      <c r="AH564" s="2"/>
      <c r="AI564" s="28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</row>
    <row r="565" spans="1:48" ht="14.25" customHeight="1" x14ac:dyDescent="0.25">
      <c r="A565" s="2"/>
      <c r="B565" s="2"/>
      <c r="C565" s="2"/>
      <c r="D565" s="2"/>
      <c r="E565" s="2"/>
      <c r="F565" s="2"/>
      <c r="G565" s="26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81"/>
      <c r="AC565" s="2"/>
      <c r="AD565" s="2"/>
      <c r="AE565" s="281"/>
      <c r="AF565" s="2"/>
      <c r="AG565" s="2"/>
      <c r="AH565" s="2"/>
      <c r="AI565" s="28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</row>
    <row r="566" spans="1:48" ht="14.25" customHeight="1" x14ac:dyDescent="0.25">
      <c r="A566" s="2"/>
      <c r="B566" s="2"/>
      <c r="C566" s="2"/>
      <c r="D566" s="2"/>
      <c r="E566" s="2"/>
      <c r="F566" s="2"/>
      <c r="G566" s="26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81"/>
      <c r="AC566" s="2"/>
      <c r="AD566" s="2"/>
      <c r="AE566" s="281"/>
      <c r="AF566" s="2"/>
      <c r="AG566" s="2"/>
      <c r="AH566" s="2"/>
      <c r="AI566" s="28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</row>
    <row r="567" spans="1:48" ht="14.25" customHeight="1" x14ac:dyDescent="0.25">
      <c r="A567" s="2"/>
      <c r="B567" s="2"/>
      <c r="C567" s="2"/>
      <c r="D567" s="2"/>
      <c r="E567" s="2"/>
      <c r="F567" s="2"/>
      <c r="G567" s="26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81"/>
      <c r="AC567" s="2"/>
      <c r="AD567" s="2"/>
      <c r="AE567" s="281"/>
      <c r="AF567" s="2"/>
      <c r="AG567" s="2"/>
      <c r="AH567" s="2"/>
      <c r="AI567" s="28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</row>
    <row r="568" spans="1:48" ht="14.25" customHeight="1" x14ac:dyDescent="0.25">
      <c r="A568" s="2"/>
      <c r="B568" s="2"/>
      <c r="C568" s="2"/>
      <c r="D568" s="2"/>
      <c r="E568" s="2"/>
      <c r="F568" s="2"/>
      <c r="G568" s="26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81"/>
      <c r="AC568" s="2"/>
      <c r="AD568" s="2"/>
      <c r="AE568" s="281"/>
      <c r="AF568" s="2"/>
      <c r="AG568" s="2"/>
      <c r="AH568" s="2"/>
      <c r="AI568" s="28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</row>
    <row r="569" spans="1:48" ht="14.25" customHeight="1" x14ac:dyDescent="0.25">
      <c r="A569" s="2"/>
      <c r="B569" s="2"/>
      <c r="C569" s="2"/>
      <c r="D569" s="2"/>
      <c r="E569" s="2"/>
      <c r="F569" s="2"/>
      <c r="G569" s="26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81"/>
      <c r="AC569" s="2"/>
      <c r="AD569" s="2"/>
      <c r="AE569" s="281"/>
      <c r="AF569" s="2"/>
      <c r="AG569" s="2"/>
      <c r="AH569" s="2"/>
      <c r="AI569" s="28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</row>
    <row r="570" spans="1:48" ht="14.25" customHeight="1" x14ac:dyDescent="0.25">
      <c r="A570" s="2"/>
      <c r="B570" s="2"/>
      <c r="C570" s="2"/>
      <c r="D570" s="2"/>
      <c r="E570" s="2"/>
      <c r="F570" s="2"/>
      <c r="G570" s="26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81"/>
      <c r="AC570" s="2"/>
      <c r="AD570" s="2"/>
      <c r="AE570" s="281"/>
      <c r="AF570" s="2"/>
      <c r="AG570" s="2"/>
      <c r="AH570" s="2"/>
      <c r="AI570" s="28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</row>
    <row r="571" spans="1:48" ht="14.25" customHeight="1" x14ac:dyDescent="0.25">
      <c r="A571" s="2"/>
      <c r="B571" s="2"/>
      <c r="C571" s="2"/>
      <c r="D571" s="2"/>
      <c r="E571" s="2"/>
      <c r="F571" s="2"/>
      <c r="G571" s="26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81"/>
      <c r="AC571" s="2"/>
      <c r="AD571" s="2"/>
      <c r="AE571" s="281"/>
      <c r="AF571" s="2"/>
      <c r="AG571" s="2"/>
      <c r="AH571" s="2"/>
      <c r="AI571" s="28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</row>
    <row r="572" spans="1:48" ht="14.25" customHeight="1" x14ac:dyDescent="0.25">
      <c r="A572" s="2"/>
      <c r="B572" s="2"/>
      <c r="C572" s="2"/>
      <c r="D572" s="2"/>
      <c r="E572" s="2"/>
      <c r="F572" s="2"/>
      <c r="G572" s="26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81"/>
      <c r="AC572" s="2"/>
      <c r="AD572" s="2"/>
      <c r="AE572" s="281"/>
      <c r="AF572" s="2"/>
      <c r="AG572" s="2"/>
      <c r="AH572" s="2"/>
      <c r="AI572" s="28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</row>
    <row r="573" spans="1:48" ht="14.25" customHeight="1" x14ac:dyDescent="0.25">
      <c r="A573" s="2"/>
      <c r="B573" s="2"/>
      <c r="C573" s="2"/>
      <c r="D573" s="2"/>
      <c r="E573" s="2"/>
      <c r="F573" s="2"/>
      <c r="G573" s="26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81"/>
      <c r="AC573" s="2"/>
      <c r="AD573" s="2"/>
      <c r="AE573" s="281"/>
      <c r="AF573" s="2"/>
      <c r="AG573" s="2"/>
      <c r="AH573" s="2"/>
      <c r="AI573" s="28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</row>
    <row r="574" spans="1:48" ht="14.25" customHeight="1" x14ac:dyDescent="0.25">
      <c r="A574" s="2"/>
      <c r="B574" s="2"/>
      <c r="C574" s="2"/>
      <c r="D574" s="2"/>
      <c r="E574" s="2"/>
      <c r="F574" s="2"/>
      <c r="G574" s="26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81"/>
      <c r="AC574" s="2"/>
      <c r="AD574" s="2"/>
      <c r="AE574" s="281"/>
      <c r="AF574" s="2"/>
      <c r="AG574" s="2"/>
      <c r="AH574" s="2"/>
      <c r="AI574" s="28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</row>
    <row r="575" spans="1:48" ht="14.25" customHeight="1" x14ac:dyDescent="0.25">
      <c r="A575" s="2"/>
      <c r="B575" s="2"/>
      <c r="C575" s="2"/>
      <c r="D575" s="2"/>
      <c r="E575" s="2"/>
      <c r="F575" s="2"/>
      <c r="G575" s="26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81"/>
      <c r="AC575" s="2"/>
      <c r="AD575" s="2"/>
      <c r="AE575" s="281"/>
      <c r="AF575" s="2"/>
      <c r="AG575" s="2"/>
      <c r="AH575" s="2"/>
      <c r="AI575" s="28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</row>
    <row r="576" spans="1:48" ht="14.25" customHeight="1" x14ac:dyDescent="0.25">
      <c r="A576" s="2"/>
      <c r="B576" s="2"/>
      <c r="C576" s="2"/>
      <c r="D576" s="2"/>
      <c r="E576" s="2"/>
      <c r="F576" s="2"/>
      <c r="G576" s="26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81"/>
      <c r="AC576" s="2"/>
      <c r="AD576" s="2"/>
      <c r="AE576" s="281"/>
      <c r="AF576" s="2"/>
      <c r="AG576" s="2"/>
      <c r="AH576" s="2"/>
      <c r="AI576" s="28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</row>
    <row r="577" spans="1:48" ht="14.25" customHeight="1" x14ac:dyDescent="0.25">
      <c r="A577" s="2"/>
      <c r="B577" s="2"/>
      <c r="C577" s="2"/>
      <c r="D577" s="2"/>
      <c r="E577" s="2"/>
      <c r="F577" s="2"/>
      <c r="G577" s="26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81"/>
      <c r="AC577" s="2"/>
      <c r="AD577" s="2"/>
      <c r="AE577" s="281"/>
      <c r="AF577" s="2"/>
      <c r="AG577" s="2"/>
      <c r="AH577" s="2"/>
      <c r="AI577" s="28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</row>
    <row r="578" spans="1:48" ht="14.25" customHeight="1" x14ac:dyDescent="0.25">
      <c r="A578" s="2"/>
      <c r="B578" s="2"/>
      <c r="C578" s="2"/>
      <c r="D578" s="2"/>
      <c r="E578" s="2"/>
      <c r="F578" s="2"/>
      <c r="G578" s="26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81"/>
      <c r="AC578" s="2"/>
      <c r="AD578" s="2"/>
      <c r="AE578" s="281"/>
      <c r="AF578" s="2"/>
      <c r="AG578" s="2"/>
      <c r="AH578" s="2"/>
      <c r="AI578" s="28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</row>
    <row r="579" spans="1:48" ht="14.25" customHeight="1" x14ac:dyDescent="0.25">
      <c r="A579" s="2"/>
      <c r="B579" s="2"/>
      <c r="C579" s="2"/>
      <c r="D579" s="2"/>
      <c r="E579" s="2"/>
      <c r="F579" s="2"/>
      <c r="G579" s="26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81"/>
      <c r="AC579" s="2"/>
      <c r="AD579" s="2"/>
      <c r="AE579" s="281"/>
      <c r="AF579" s="2"/>
      <c r="AG579" s="2"/>
      <c r="AH579" s="2"/>
      <c r="AI579" s="28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</row>
    <row r="580" spans="1:48" ht="14.25" customHeight="1" x14ac:dyDescent="0.25">
      <c r="A580" s="2"/>
      <c r="B580" s="2"/>
      <c r="C580" s="2"/>
      <c r="D580" s="2"/>
      <c r="E580" s="2"/>
      <c r="F580" s="2"/>
      <c r="G580" s="26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81"/>
      <c r="AC580" s="2"/>
      <c r="AD580" s="2"/>
      <c r="AE580" s="281"/>
      <c r="AF580" s="2"/>
      <c r="AG580" s="2"/>
      <c r="AH580" s="2"/>
      <c r="AI580" s="28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</row>
    <row r="581" spans="1:48" ht="14.25" customHeight="1" x14ac:dyDescent="0.25">
      <c r="A581" s="2"/>
      <c r="B581" s="2"/>
      <c r="C581" s="2"/>
      <c r="D581" s="2"/>
      <c r="E581" s="2"/>
      <c r="F581" s="2"/>
      <c r="G581" s="26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81"/>
      <c r="AC581" s="2"/>
      <c r="AD581" s="2"/>
      <c r="AE581" s="281"/>
      <c r="AF581" s="2"/>
      <c r="AG581" s="2"/>
      <c r="AH581" s="2"/>
      <c r="AI581" s="28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</row>
    <row r="582" spans="1:48" ht="14.25" customHeight="1" x14ac:dyDescent="0.25">
      <c r="A582" s="2"/>
      <c r="B582" s="2"/>
      <c r="C582" s="2"/>
      <c r="D582" s="2"/>
      <c r="E582" s="2"/>
      <c r="F582" s="2"/>
      <c r="G582" s="26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81"/>
      <c r="AC582" s="2"/>
      <c r="AD582" s="2"/>
      <c r="AE582" s="281"/>
      <c r="AF582" s="2"/>
      <c r="AG582" s="2"/>
      <c r="AH582" s="2"/>
      <c r="AI582" s="28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</row>
    <row r="583" spans="1:48" ht="14.25" customHeight="1" x14ac:dyDescent="0.25">
      <c r="A583" s="2"/>
      <c r="B583" s="2"/>
      <c r="C583" s="2"/>
      <c r="D583" s="2"/>
      <c r="E583" s="2"/>
      <c r="F583" s="2"/>
      <c r="G583" s="26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81"/>
      <c r="AC583" s="2"/>
      <c r="AD583" s="2"/>
      <c r="AE583" s="281"/>
      <c r="AF583" s="2"/>
      <c r="AG583" s="2"/>
      <c r="AH583" s="2"/>
      <c r="AI583" s="28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</row>
    <row r="584" spans="1:48" ht="14.25" customHeight="1" x14ac:dyDescent="0.25">
      <c r="A584" s="2"/>
      <c r="B584" s="2"/>
      <c r="C584" s="2"/>
      <c r="D584" s="2"/>
      <c r="E584" s="2"/>
      <c r="F584" s="2"/>
      <c r="G584" s="26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81"/>
      <c r="AC584" s="2"/>
      <c r="AD584" s="2"/>
      <c r="AE584" s="281"/>
      <c r="AF584" s="2"/>
      <c r="AG584" s="2"/>
      <c r="AH584" s="2"/>
      <c r="AI584" s="28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</row>
    <row r="585" spans="1:48" ht="14.25" customHeight="1" x14ac:dyDescent="0.25">
      <c r="A585" s="2"/>
      <c r="B585" s="2"/>
      <c r="C585" s="2"/>
      <c r="D585" s="2"/>
      <c r="E585" s="2"/>
      <c r="F585" s="2"/>
      <c r="G585" s="26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81"/>
      <c r="AC585" s="2"/>
      <c r="AD585" s="2"/>
      <c r="AE585" s="281"/>
      <c r="AF585" s="2"/>
      <c r="AG585" s="2"/>
      <c r="AH585" s="2"/>
      <c r="AI585" s="28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</row>
    <row r="586" spans="1:48" ht="14.25" customHeight="1" x14ac:dyDescent="0.25">
      <c r="A586" s="2"/>
      <c r="B586" s="2"/>
      <c r="C586" s="2"/>
      <c r="D586" s="2"/>
      <c r="E586" s="2"/>
      <c r="F586" s="2"/>
      <c r="G586" s="26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81"/>
      <c r="AC586" s="2"/>
      <c r="AD586" s="2"/>
      <c r="AE586" s="281"/>
      <c r="AF586" s="2"/>
      <c r="AG586" s="2"/>
      <c r="AH586" s="2"/>
      <c r="AI586" s="28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</row>
    <row r="587" spans="1:48" ht="14.25" customHeight="1" x14ac:dyDescent="0.25">
      <c r="A587" s="2"/>
      <c r="B587" s="2"/>
      <c r="C587" s="2"/>
      <c r="D587" s="2"/>
      <c r="E587" s="2"/>
      <c r="F587" s="2"/>
      <c r="G587" s="26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81"/>
      <c r="AC587" s="2"/>
      <c r="AD587" s="2"/>
      <c r="AE587" s="281"/>
      <c r="AF587" s="2"/>
      <c r="AG587" s="2"/>
      <c r="AH587" s="2"/>
      <c r="AI587" s="28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</row>
    <row r="588" spans="1:48" ht="14.25" customHeight="1" x14ac:dyDescent="0.25">
      <c r="A588" s="2"/>
      <c r="B588" s="2"/>
      <c r="C588" s="2"/>
      <c r="D588" s="2"/>
      <c r="E588" s="2"/>
      <c r="F588" s="2"/>
      <c r="G588" s="26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81"/>
      <c r="AC588" s="2"/>
      <c r="AD588" s="2"/>
      <c r="AE588" s="281"/>
      <c r="AF588" s="2"/>
      <c r="AG588" s="2"/>
      <c r="AH588" s="2"/>
      <c r="AI588" s="28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</row>
    <row r="589" spans="1:48" ht="14.25" customHeight="1" x14ac:dyDescent="0.25">
      <c r="A589" s="2"/>
      <c r="B589" s="2"/>
      <c r="C589" s="2"/>
      <c r="D589" s="2"/>
      <c r="E589" s="2"/>
      <c r="F589" s="2"/>
      <c r="G589" s="26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81"/>
      <c r="AC589" s="2"/>
      <c r="AD589" s="2"/>
      <c r="AE589" s="281"/>
      <c r="AF589" s="2"/>
      <c r="AG589" s="2"/>
      <c r="AH589" s="2"/>
      <c r="AI589" s="28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</row>
    <row r="590" spans="1:48" ht="14.25" customHeight="1" x14ac:dyDescent="0.25">
      <c r="A590" s="2"/>
      <c r="B590" s="2"/>
      <c r="C590" s="2"/>
      <c r="D590" s="2"/>
      <c r="E590" s="2"/>
      <c r="F590" s="2"/>
      <c r="G590" s="26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81"/>
      <c r="AC590" s="2"/>
      <c r="AD590" s="2"/>
      <c r="AE590" s="281"/>
      <c r="AF590" s="2"/>
      <c r="AG590" s="2"/>
      <c r="AH590" s="2"/>
      <c r="AI590" s="28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</row>
    <row r="591" spans="1:48" ht="14.25" customHeight="1" x14ac:dyDescent="0.25">
      <c r="A591" s="2"/>
      <c r="B591" s="2"/>
      <c r="C591" s="2"/>
      <c r="D591" s="2"/>
      <c r="E591" s="2"/>
      <c r="F591" s="2"/>
      <c r="G591" s="26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81"/>
      <c r="AC591" s="2"/>
      <c r="AD591" s="2"/>
      <c r="AE591" s="281"/>
      <c r="AF591" s="2"/>
      <c r="AG591" s="2"/>
      <c r="AH591" s="2"/>
      <c r="AI591" s="28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</row>
    <row r="592" spans="1:48" ht="14.25" customHeight="1" x14ac:dyDescent="0.25">
      <c r="A592" s="2"/>
      <c r="B592" s="2"/>
      <c r="C592" s="2"/>
      <c r="D592" s="2"/>
      <c r="E592" s="2"/>
      <c r="F592" s="2"/>
      <c r="G592" s="26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81"/>
      <c r="AC592" s="2"/>
      <c r="AD592" s="2"/>
      <c r="AE592" s="281"/>
      <c r="AF592" s="2"/>
      <c r="AG592" s="2"/>
      <c r="AH592" s="2"/>
      <c r="AI592" s="28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</row>
    <row r="593" spans="1:48" ht="14.25" customHeight="1" x14ac:dyDescent="0.25">
      <c r="A593" s="2"/>
      <c r="B593" s="2"/>
      <c r="C593" s="2"/>
      <c r="D593" s="2"/>
      <c r="E593" s="2"/>
      <c r="F593" s="2"/>
      <c r="G593" s="26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81"/>
      <c r="AC593" s="2"/>
      <c r="AD593" s="2"/>
      <c r="AE593" s="281"/>
      <c r="AF593" s="2"/>
      <c r="AG593" s="2"/>
      <c r="AH593" s="2"/>
      <c r="AI593" s="28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</row>
    <row r="594" spans="1:48" ht="14.25" customHeight="1" x14ac:dyDescent="0.25">
      <c r="A594" s="2"/>
      <c r="B594" s="2"/>
      <c r="C594" s="2"/>
      <c r="D594" s="2"/>
      <c r="E594" s="2"/>
      <c r="F594" s="2"/>
      <c r="G594" s="26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81"/>
      <c r="AC594" s="2"/>
      <c r="AD594" s="2"/>
      <c r="AE594" s="281"/>
      <c r="AF594" s="2"/>
      <c r="AG594" s="2"/>
      <c r="AH594" s="2"/>
      <c r="AI594" s="28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</row>
    <row r="595" spans="1:48" ht="14.25" customHeight="1" x14ac:dyDescent="0.25">
      <c r="A595" s="2"/>
      <c r="B595" s="2"/>
      <c r="C595" s="2"/>
      <c r="D595" s="2"/>
      <c r="E595" s="2"/>
      <c r="F595" s="2"/>
      <c r="G595" s="26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81"/>
      <c r="AC595" s="2"/>
      <c r="AD595" s="2"/>
      <c r="AE595" s="281"/>
      <c r="AF595" s="2"/>
      <c r="AG595" s="2"/>
      <c r="AH595" s="2"/>
      <c r="AI595" s="28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</row>
    <row r="596" spans="1:48" ht="14.25" customHeight="1" x14ac:dyDescent="0.25">
      <c r="A596" s="2"/>
      <c r="B596" s="2"/>
      <c r="C596" s="2"/>
      <c r="D596" s="2"/>
      <c r="E596" s="2"/>
      <c r="F596" s="2"/>
      <c r="G596" s="26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81"/>
      <c r="AC596" s="2"/>
      <c r="AD596" s="2"/>
      <c r="AE596" s="281"/>
      <c r="AF596" s="2"/>
      <c r="AG596" s="2"/>
      <c r="AH596" s="2"/>
      <c r="AI596" s="28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</row>
    <row r="597" spans="1:48" ht="14.25" customHeight="1" x14ac:dyDescent="0.25">
      <c r="A597" s="2"/>
      <c r="B597" s="2"/>
      <c r="C597" s="2"/>
      <c r="D597" s="2"/>
      <c r="E597" s="2"/>
      <c r="F597" s="2"/>
      <c r="G597" s="26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81"/>
      <c r="AC597" s="2"/>
      <c r="AD597" s="2"/>
      <c r="AE597" s="281"/>
      <c r="AF597" s="2"/>
      <c r="AG597" s="2"/>
      <c r="AH597" s="2"/>
      <c r="AI597" s="28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</row>
    <row r="598" spans="1:48" ht="14.25" customHeight="1" x14ac:dyDescent="0.25">
      <c r="A598" s="2"/>
      <c r="B598" s="2"/>
      <c r="C598" s="2"/>
      <c r="D598" s="2"/>
      <c r="E598" s="2"/>
      <c r="F598" s="2"/>
      <c r="G598" s="26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81"/>
      <c r="AC598" s="2"/>
      <c r="AD598" s="2"/>
      <c r="AE598" s="281"/>
      <c r="AF598" s="2"/>
      <c r="AG598" s="2"/>
      <c r="AH598" s="2"/>
      <c r="AI598" s="28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</row>
    <row r="599" spans="1:48" ht="14.25" customHeight="1" x14ac:dyDescent="0.25">
      <c r="A599" s="2"/>
      <c r="B599" s="2"/>
      <c r="C599" s="2"/>
      <c r="D599" s="2"/>
      <c r="E599" s="2"/>
      <c r="F599" s="2"/>
      <c r="G599" s="26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81"/>
      <c r="AC599" s="2"/>
      <c r="AD599" s="2"/>
      <c r="AE599" s="281"/>
      <c r="AF599" s="2"/>
      <c r="AG599" s="2"/>
      <c r="AH599" s="2"/>
      <c r="AI599" s="28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</row>
    <row r="600" spans="1:48" ht="14.25" customHeight="1" x14ac:dyDescent="0.25">
      <c r="A600" s="2"/>
      <c r="B600" s="2"/>
      <c r="C600" s="2"/>
      <c r="D600" s="2"/>
      <c r="E600" s="2"/>
      <c r="F600" s="2"/>
      <c r="G600" s="26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81"/>
      <c r="AC600" s="2"/>
      <c r="AD600" s="2"/>
      <c r="AE600" s="281"/>
      <c r="AF600" s="2"/>
      <c r="AG600" s="2"/>
      <c r="AH600" s="2"/>
      <c r="AI600" s="28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</row>
    <row r="601" spans="1:48" ht="14.25" customHeight="1" x14ac:dyDescent="0.25">
      <c r="A601" s="2"/>
      <c r="B601" s="2"/>
      <c r="C601" s="2"/>
      <c r="D601" s="2"/>
      <c r="E601" s="2"/>
      <c r="F601" s="2"/>
      <c r="G601" s="26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81"/>
      <c r="AC601" s="2"/>
      <c r="AD601" s="2"/>
      <c r="AE601" s="281"/>
      <c r="AF601" s="2"/>
      <c r="AG601" s="2"/>
      <c r="AH601" s="2"/>
      <c r="AI601" s="28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</row>
    <row r="602" spans="1:48" ht="14.25" customHeight="1" x14ac:dyDescent="0.25">
      <c r="A602" s="2"/>
      <c r="B602" s="2"/>
      <c r="C602" s="2"/>
      <c r="D602" s="2"/>
      <c r="E602" s="2"/>
      <c r="F602" s="2"/>
      <c r="G602" s="26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81"/>
      <c r="AC602" s="2"/>
      <c r="AD602" s="2"/>
      <c r="AE602" s="281"/>
      <c r="AF602" s="2"/>
      <c r="AG602" s="2"/>
      <c r="AH602" s="2"/>
      <c r="AI602" s="28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</row>
    <row r="603" spans="1:48" ht="14.25" customHeight="1" x14ac:dyDescent="0.25">
      <c r="A603" s="2"/>
      <c r="B603" s="2"/>
      <c r="C603" s="2"/>
      <c r="D603" s="2"/>
      <c r="E603" s="2"/>
      <c r="F603" s="2"/>
      <c r="G603" s="26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81"/>
      <c r="AC603" s="2"/>
      <c r="AD603" s="2"/>
      <c r="AE603" s="281"/>
      <c r="AF603" s="2"/>
      <c r="AG603" s="2"/>
      <c r="AH603" s="2"/>
      <c r="AI603" s="28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</row>
    <row r="604" spans="1:48" ht="14.25" customHeight="1" x14ac:dyDescent="0.25">
      <c r="A604" s="2"/>
      <c r="B604" s="2"/>
      <c r="C604" s="2"/>
      <c r="D604" s="2"/>
      <c r="E604" s="2"/>
      <c r="F604" s="2"/>
      <c r="G604" s="26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81"/>
      <c r="AC604" s="2"/>
      <c r="AD604" s="2"/>
      <c r="AE604" s="281"/>
      <c r="AF604" s="2"/>
      <c r="AG604" s="2"/>
      <c r="AH604" s="2"/>
      <c r="AI604" s="28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</row>
    <row r="605" spans="1:48" ht="14.25" customHeight="1" x14ac:dyDescent="0.25">
      <c r="A605" s="2"/>
      <c r="B605" s="2"/>
      <c r="C605" s="2"/>
      <c r="D605" s="2"/>
      <c r="E605" s="2"/>
      <c r="F605" s="2"/>
      <c r="G605" s="26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81"/>
      <c r="AC605" s="2"/>
      <c r="AD605" s="2"/>
      <c r="AE605" s="281"/>
      <c r="AF605" s="2"/>
      <c r="AG605" s="2"/>
      <c r="AH605" s="2"/>
      <c r="AI605" s="28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</row>
    <row r="606" spans="1:48" ht="14.25" customHeight="1" x14ac:dyDescent="0.25">
      <c r="A606" s="2"/>
      <c r="B606" s="2"/>
      <c r="C606" s="2"/>
      <c r="D606" s="2"/>
      <c r="E606" s="2"/>
      <c r="F606" s="2"/>
      <c r="G606" s="26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81"/>
      <c r="AC606" s="2"/>
      <c r="AD606" s="2"/>
      <c r="AE606" s="281"/>
      <c r="AF606" s="2"/>
      <c r="AG606" s="2"/>
      <c r="AH606" s="2"/>
      <c r="AI606" s="28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</row>
    <row r="607" spans="1:48" ht="14.25" customHeight="1" x14ac:dyDescent="0.25">
      <c r="A607" s="2"/>
      <c r="B607" s="2"/>
      <c r="C607" s="2"/>
      <c r="D607" s="2"/>
      <c r="E607" s="2"/>
      <c r="F607" s="2"/>
      <c r="G607" s="26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81"/>
      <c r="AC607" s="2"/>
      <c r="AD607" s="2"/>
      <c r="AE607" s="281"/>
      <c r="AF607" s="2"/>
      <c r="AG607" s="2"/>
      <c r="AH607" s="2"/>
      <c r="AI607" s="28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</row>
    <row r="608" spans="1:48" ht="14.25" customHeight="1" x14ac:dyDescent="0.25">
      <c r="A608" s="2"/>
      <c r="B608" s="2"/>
      <c r="C608" s="2"/>
      <c r="D608" s="2"/>
      <c r="E608" s="2"/>
      <c r="F608" s="2"/>
      <c r="G608" s="26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81"/>
      <c r="AC608" s="2"/>
      <c r="AD608" s="2"/>
      <c r="AE608" s="281"/>
      <c r="AF608" s="2"/>
      <c r="AG608" s="2"/>
      <c r="AH608" s="2"/>
      <c r="AI608" s="28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</row>
    <row r="609" spans="1:48" ht="14.25" customHeight="1" x14ac:dyDescent="0.25">
      <c r="A609" s="2"/>
      <c r="B609" s="2"/>
      <c r="C609" s="2"/>
      <c r="D609" s="2"/>
      <c r="E609" s="2"/>
      <c r="F609" s="2"/>
      <c r="G609" s="26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81"/>
      <c r="AC609" s="2"/>
      <c r="AD609" s="2"/>
      <c r="AE609" s="281"/>
      <c r="AF609" s="2"/>
      <c r="AG609" s="2"/>
      <c r="AH609" s="2"/>
      <c r="AI609" s="28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</row>
    <row r="610" spans="1:48" ht="14.25" customHeight="1" x14ac:dyDescent="0.25">
      <c r="A610" s="2"/>
      <c r="B610" s="2"/>
      <c r="C610" s="2"/>
      <c r="D610" s="2"/>
      <c r="E610" s="2"/>
      <c r="F610" s="2"/>
      <c r="G610" s="26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81"/>
      <c r="AC610" s="2"/>
      <c r="AD610" s="2"/>
      <c r="AE610" s="281"/>
      <c r="AF610" s="2"/>
      <c r="AG610" s="2"/>
      <c r="AH610" s="2"/>
      <c r="AI610" s="28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</row>
    <row r="611" spans="1:48" ht="14.25" customHeight="1" x14ac:dyDescent="0.25">
      <c r="A611" s="2"/>
      <c r="B611" s="2"/>
      <c r="C611" s="2"/>
      <c r="D611" s="2"/>
      <c r="E611" s="2"/>
      <c r="F611" s="2"/>
      <c r="G611" s="26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81"/>
      <c r="AC611" s="2"/>
      <c r="AD611" s="2"/>
      <c r="AE611" s="281"/>
      <c r="AF611" s="2"/>
      <c r="AG611" s="2"/>
      <c r="AH611" s="2"/>
      <c r="AI611" s="28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</row>
    <row r="612" spans="1:48" ht="14.25" customHeight="1" x14ac:dyDescent="0.25">
      <c r="A612" s="2"/>
      <c r="B612" s="2"/>
      <c r="C612" s="2"/>
      <c r="D612" s="2"/>
      <c r="E612" s="2"/>
      <c r="F612" s="2"/>
      <c r="G612" s="26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81"/>
      <c r="AC612" s="2"/>
      <c r="AD612" s="2"/>
      <c r="AE612" s="281"/>
      <c r="AF612" s="2"/>
      <c r="AG612" s="2"/>
      <c r="AH612" s="2"/>
      <c r="AI612" s="28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</row>
    <row r="613" spans="1:48" ht="14.25" customHeight="1" x14ac:dyDescent="0.25">
      <c r="A613" s="2"/>
      <c r="B613" s="2"/>
      <c r="C613" s="2"/>
      <c r="D613" s="2"/>
      <c r="E613" s="2"/>
      <c r="F613" s="2"/>
      <c r="G613" s="26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81"/>
      <c r="AC613" s="2"/>
      <c r="AD613" s="2"/>
      <c r="AE613" s="281"/>
      <c r="AF613" s="2"/>
      <c r="AG613" s="2"/>
      <c r="AH613" s="2"/>
      <c r="AI613" s="28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</row>
    <row r="614" spans="1:48" ht="14.25" customHeight="1" x14ac:dyDescent="0.25">
      <c r="A614" s="2"/>
      <c r="B614" s="2"/>
      <c r="C614" s="2"/>
      <c r="D614" s="2"/>
      <c r="E614" s="2"/>
      <c r="F614" s="2"/>
      <c r="G614" s="26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81"/>
      <c r="AC614" s="2"/>
      <c r="AD614" s="2"/>
      <c r="AE614" s="281"/>
      <c r="AF614" s="2"/>
      <c r="AG614" s="2"/>
      <c r="AH614" s="2"/>
      <c r="AI614" s="28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</row>
    <row r="615" spans="1:48" ht="14.25" customHeight="1" x14ac:dyDescent="0.25">
      <c r="A615" s="2"/>
      <c r="B615" s="2"/>
      <c r="C615" s="2"/>
      <c r="D615" s="2"/>
      <c r="E615" s="2"/>
      <c r="F615" s="2"/>
      <c r="G615" s="26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81"/>
      <c r="AC615" s="2"/>
      <c r="AD615" s="2"/>
      <c r="AE615" s="281"/>
      <c r="AF615" s="2"/>
      <c r="AG615" s="2"/>
      <c r="AH615" s="2"/>
      <c r="AI615" s="28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</row>
    <row r="616" spans="1:48" ht="14.25" customHeight="1" x14ac:dyDescent="0.25">
      <c r="A616" s="2"/>
      <c r="B616" s="2"/>
      <c r="C616" s="2"/>
      <c r="D616" s="2"/>
      <c r="E616" s="2"/>
      <c r="F616" s="2"/>
      <c r="G616" s="26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81"/>
      <c r="AC616" s="2"/>
      <c r="AD616" s="2"/>
      <c r="AE616" s="281"/>
      <c r="AF616" s="2"/>
      <c r="AG616" s="2"/>
      <c r="AH616" s="2"/>
      <c r="AI616" s="28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</row>
    <row r="617" spans="1:48" ht="14.25" customHeight="1" x14ac:dyDescent="0.25">
      <c r="A617" s="2"/>
      <c r="B617" s="2"/>
      <c r="C617" s="2"/>
      <c r="D617" s="2"/>
      <c r="E617" s="2"/>
      <c r="F617" s="2"/>
      <c r="G617" s="26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81"/>
      <c r="AC617" s="2"/>
      <c r="AD617" s="2"/>
      <c r="AE617" s="281"/>
      <c r="AF617" s="2"/>
      <c r="AG617" s="2"/>
      <c r="AH617" s="2"/>
      <c r="AI617" s="28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</row>
    <row r="618" spans="1:48" ht="14.25" customHeight="1" x14ac:dyDescent="0.25">
      <c r="A618" s="2"/>
      <c r="B618" s="2"/>
      <c r="C618" s="2"/>
      <c r="D618" s="2"/>
      <c r="E618" s="2"/>
      <c r="F618" s="2"/>
      <c r="G618" s="26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81"/>
      <c r="AC618" s="2"/>
      <c r="AD618" s="2"/>
      <c r="AE618" s="281"/>
      <c r="AF618" s="2"/>
      <c r="AG618" s="2"/>
      <c r="AH618" s="2"/>
      <c r="AI618" s="28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</row>
    <row r="619" spans="1:48" ht="14.25" customHeight="1" x14ac:dyDescent="0.25">
      <c r="A619" s="2"/>
      <c r="B619" s="2"/>
      <c r="C619" s="2"/>
      <c r="D619" s="2"/>
      <c r="E619" s="2"/>
      <c r="F619" s="2"/>
      <c r="G619" s="26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81"/>
      <c r="AC619" s="2"/>
      <c r="AD619" s="2"/>
      <c r="AE619" s="281"/>
      <c r="AF619" s="2"/>
      <c r="AG619" s="2"/>
      <c r="AH619" s="2"/>
      <c r="AI619" s="28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</row>
    <row r="620" spans="1:48" ht="14.25" customHeight="1" x14ac:dyDescent="0.25">
      <c r="A620" s="2"/>
      <c r="B620" s="2"/>
      <c r="C620" s="2"/>
      <c r="D620" s="2"/>
      <c r="E620" s="2"/>
      <c r="F620" s="2"/>
      <c r="G620" s="26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81"/>
      <c r="AC620" s="2"/>
      <c r="AD620" s="2"/>
      <c r="AE620" s="281"/>
      <c r="AF620" s="2"/>
      <c r="AG620" s="2"/>
      <c r="AH620" s="2"/>
      <c r="AI620" s="28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</row>
    <row r="621" spans="1:48" ht="14.25" customHeight="1" x14ac:dyDescent="0.25">
      <c r="A621" s="2"/>
      <c r="B621" s="2"/>
      <c r="C621" s="2"/>
      <c r="D621" s="2"/>
      <c r="E621" s="2"/>
      <c r="F621" s="2"/>
      <c r="G621" s="26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81"/>
      <c r="AC621" s="2"/>
      <c r="AD621" s="2"/>
      <c r="AE621" s="281"/>
      <c r="AF621" s="2"/>
      <c r="AG621" s="2"/>
      <c r="AH621" s="2"/>
      <c r="AI621" s="28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</row>
    <row r="622" spans="1:48" ht="14.25" customHeight="1" x14ac:dyDescent="0.25">
      <c r="A622" s="2"/>
      <c r="B622" s="2"/>
      <c r="C622" s="2"/>
      <c r="D622" s="2"/>
      <c r="E622" s="2"/>
      <c r="F622" s="2"/>
      <c r="G622" s="26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81"/>
      <c r="AC622" s="2"/>
      <c r="AD622" s="2"/>
      <c r="AE622" s="281"/>
      <c r="AF622" s="2"/>
      <c r="AG622" s="2"/>
      <c r="AH622" s="2"/>
      <c r="AI622" s="28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</row>
    <row r="623" spans="1:48" ht="14.25" customHeight="1" x14ac:dyDescent="0.25">
      <c r="A623" s="2"/>
      <c r="B623" s="2"/>
      <c r="C623" s="2"/>
      <c r="D623" s="2"/>
      <c r="E623" s="2"/>
      <c r="F623" s="2"/>
      <c r="G623" s="26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81"/>
      <c r="AC623" s="2"/>
      <c r="AD623" s="2"/>
      <c r="AE623" s="281"/>
      <c r="AF623" s="2"/>
      <c r="AG623" s="2"/>
      <c r="AH623" s="2"/>
      <c r="AI623" s="28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</row>
    <row r="624" spans="1:48" ht="14.25" customHeight="1" x14ac:dyDescent="0.25">
      <c r="A624" s="2"/>
      <c r="B624" s="2"/>
      <c r="C624" s="2"/>
      <c r="D624" s="2"/>
      <c r="E624" s="2"/>
      <c r="F624" s="2"/>
      <c r="G624" s="26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81"/>
      <c r="AC624" s="2"/>
      <c r="AD624" s="2"/>
      <c r="AE624" s="281"/>
      <c r="AF624" s="2"/>
      <c r="AG624" s="2"/>
      <c r="AH624" s="2"/>
      <c r="AI624" s="28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</row>
    <row r="625" spans="1:48" ht="14.25" customHeight="1" x14ac:dyDescent="0.25">
      <c r="A625" s="2"/>
      <c r="B625" s="2"/>
      <c r="C625" s="2"/>
      <c r="D625" s="2"/>
      <c r="E625" s="2"/>
      <c r="F625" s="2"/>
      <c r="G625" s="26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81"/>
      <c r="AC625" s="2"/>
      <c r="AD625" s="2"/>
      <c r="AE625" s="281"/>
      <c r="AF625" s="2"/>
      <c r="AG625" s="2"/>
      <c r="AH625" s="2"/>
      <c r="AI625" s="28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</row>
    <row r="626" spans="1:48" ht="14.25" customHeight="1" x14ac:dyDescent="0.25">
      <c r="A626" s="2"/>
      <c r="B626" s="2"/>
      <c r="C626" s="2"/>
      <c r="D626" s="2"/>
      <c r="E626" s="2"/>
      <c r="F626" s="2"/>
      <c r="G626" s="26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81"/>
      <c r="AC626" s="2"/>
      <c r="AD626" s="2"/>
      <c r="AE626" s="281"/>
      <c r="AF626" s="2"/>
      <c r="AG626" s="2"/>
      <c r="AH626" s="2"/>
      <c r="AI626" s="28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</row>
    <row r="627" spans="1:48" ht="14.25" customHeight="1" x14ac:dyDescent="0.25">
      <c r="A627" s="2"/>
      <c r="B627" s="2"/>
      <c r="C627" s="2"/>
      <c r="D627" s="2"/>
      <c r="E627" s="2"/>
      <c r="F627" s="2"/>
      <c r="G627" s="26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81"/>
      <c r="AC627" s="2"/>
      <c r="AD627" s="2"/>
      <c r="AE627" s="281"/>
      <c r="AF627" s="2"/>
      <c r="AG627" s="2"/>
      <c r="AH627" s="2"/>
      <c r="AI627" s="28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</row>
    <row r="628" spans="1:48" ht="14.25" customHeight="1" x14ac:dyDescent="0.25">
      <c r="A628" s="2"/>
      <c r="B628" s="2"/>
      <c r="C628" s="2"/>
      <c r="D628" s="2"/>
      <c r="E628" s="2"/>
      <c r="F628" s="2"/>
      <c r="G628" s="26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81"/>
      <c r="AC628" s="2"/>
      <c r="AD628" s="2"/>
      <c r="AE628" s="281"/>
      <c r="AF628" s="2"/>
      <c r="AG628" s="2"/>
      <c r="AH628" s="2"/>
      <c r="AI628" s="28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</row>
    <row r="629" spans="1:48" ht="14.25" customHeight="1" x14ac:dyDescent="0.25">
      <c r="A629" s="2"/>
      <c r="B629" s="2"/>
      <c r="C629" s="2"/>
      <c r="D629" s="2"/>
      <c r="E629" s="2"/>
      <c r="F629" s="2"/>
      <c r="G629" s="26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81"/>
      <c r="AC629" s="2"/>
      <c r="AD629" s="2"/>
      <c r="AE629" s="281"/>
      <c r="AF629" s="2"/>
      <c r="AG629" s="2"/>
      <c r="AH629" s="2"/>
      <c r="AI629" s="28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</row>
    <row r="630" spans="1:48" ht="14.25" customHeight="1" x14ac:dyDescent="0.25">
      <c r="A630" s="2"/>
      <c r="B630" s="2"/>
      <c r="C630" s="2"/>
      <c r="D630" s="2"/>
      <c r="E630" s="2"/>
      <c r="F630" s="2"/>
      <c r="G630" s="26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81"/>
      <c r="AC630" s="2"/>
      <c r="AD630" s="2"/>
      <c r="AE630" s="281"/>
      <c r="AF630" s="2"/>
      <c r="AG630" s="2"/>
      <c r="AH630" s="2"/>
      <c r="AI630" s="28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</row>
    <row r="631" spans="1:48" ht="14.25" customHeight="1" x14ac:dyDescent="0.25">
      <c r="A631" s="2"/>
      <c r="B631" s="2"/>
      <c r="C631" s="2"/>
      <c r="D631" s="2"/>
      <c r="E631" s="2"/>
      <c r="F631" s="2"/>
      <c r="G631" s="26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81"/>
      <c r="AC631" s="2"/>
      <c r="AD631" s="2"/>
      <c r="AE631" s="281"/>
      <c r="AF631" s="2"/>
      <c r="AG631" s="2"/>
      <c r="AH631" s="2"/>
      <c r="AI631" s="28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</row>
    <row r="632" spans="1:48" ht="14.25" customHeight="1" x14ac:dyDescent="0.25">
      <c r="A632" s="2"/>
      <c r="B632" s="2"/>
      <c r="C632" s="2"/>
      <c r="D632" s="2"/>
      <c r="E632" s="2"/>
      <c r="F632" s="2"/>
      <c r="G632" s="26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81"/>
      <c r="AC632" s="2"/>
      <c r="AD632" s="2"/>
      <c r="AE632" s="281"/>
      <c r="AF632" s="2"/>
      <c r="AG632" s="2"/>
      <c r="AH632" s="2"/>
      <c r="AI632" s="28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</row>
    <row r="633" spans="1:48" ht="14.25" customHeight="1" x14ac:dyDescent="0.25">
      <c r="A633" s="2"/>
      <c r="B633" s="2"/>
      <c r="C633" s="2"/>
      <c r="D633" s="2"/>
      <c r="E633" s="2"/>
      <c r="F633" s="2"/>
      <c r="G633" s="26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81"/>
      <c r="AC633" s="2"/>
      <c r="AD633" s="2"/>
      <c r="AE633" s="281"/>
      <c r="AF633" s="2"/>
      <c r="AG633" s="2"/>
      <c r="AH633" s="2"/>
      <c r="AI633" s="28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</row>
    <row r="634" spans="1:48" ht="14.25" customHeight="1" x14ac:dyDescent="0.25">
      <c r="A634" s="2"/>
      <c r="B634" s="2"/>
      <c r="C634" s="2"/>
      <c r="D634" s="2"/>
      <c r="E634" s="2"/>
      <c r="F634" s="2"/>
      <c r="G634" s="26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81"/>
      <c r="AC634" s="2"/>
      <c r="AD634" s="2"/>
      <c r="AE634" s="281"/>
      <c r="AF634" s="2"/>
      <c r="AG634" s="2"/>
      <c r="AH634" s="2"/>
      <c r="AI634" s="28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</row>
    <row r="635" spans="1:48" ht="14.25" customHeight="1" x14ac:dyDescent="0.25">
      <c r="A635" s="2"/>
      <c r="B635" s="2"/>
      <c r="C635" s="2"/>
      <c r="D635" s="2"/>
      <c r="E635" s="2"/>
      <c r="F635" s="2"/>
      <c r="G635" s="26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81"/>
      <c r="AC635" s="2"/>
      <c r="AD635" s="2"/>
      <c r="AE635" s="281"/>
      <c r="AF635" s="2"/>
      <c r="AG635" s="2"/>
      <c r="AH635" s="2"/>
      <c r="AI635" s="28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</row>
    <row r="636" spans="1:48" ht="14.25" customHeight="1" x14ac:dyDescent="0.25">
      <c r="A636" s="2"/>
      <c r="B636" s="2"/>
      <c r="C636" s="2"/>
      <c r="D636" s="2"/>
      <c r="E636" s="2"/>
      <c r="F636" s="2"/>
      <c r="G636" s="26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81"/>
      <c r="AC636" s="2"/>
      <c r="AD636" s="2"/>
      <c r="AE636" s="281"/>
      <c r="AF636" s="2"/>
      <c r="AG636" s="2"/>
      <c r="AH636" s="2"/>
      <c r="AI636" s="28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</row>
    <row r="637" spans="1:48" ht="14.25" customHeight="1" x14ac:dyDescent="0.25">
      <c r="A637" s="2"/>
      <c r="B637" s="2"/>
      <c r="C637" s="2"/>
      <c r="D637" s="2"/>
      <c r="E637" s="2"/>
      <c r="F637" s="2"/>
      <c r="G637" s="26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81"/>
      <c r="AC637" s="2"/>
      <c r="AD637" s="2"/>
      <c r="AE637" s="281"/>
      <c r="AF637" s="2"/>
      <c r="AG637" s="2"/>
      <c r="AH637" s="2"/>
      <c r="AI637" s="28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</row>
    <row r="638" spans="1:48" ht="14.25" customHeight="1" x14ac:dyDescent="0.25">
      <c r="A638" s="2"/>
      <c r="B638" s="2"/>
      <c r="C638" s="2"/>
      <c r="D638" s="2"/>
      <c r="E638" s="2"/>
      <c r="F638" s="2"/>
      <c r="G638" s="26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81"/>
      <c r="AC638" s="2"/>
      <c r="AD638" s="2"/>
      <c r="AE638" s="281"/>
      <c r="AF638" s="2"/>
      <c r="AG638" s="2"/>
      <c r="AH638" s="2"/>
      <c r="AI638" s="28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</row>
    <row r="639" spans="1:48" ht="14.25" customHeight="1" x14ac:dyDescent="0.25">
      <c r="A639" s="2"/>
      <c r="B639" s="2"/>
      <c r="C639" s="2"/>
      <c r="D639" s="2"/>
      <c r="E639" s="2"/>
      <c r="F639" s="2"/>
      <c r="G639" s="26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81"/>
      <c r="AC639" s="2"/>
      <c r="AD639" s="2"/>
      <c r="AE639" s="281"/>
      <c r="AF639" s="2"/>
      <c r="AG639" s="2"/>
      <c r="AH639" s="2"/>
      <c r="AI639" s="28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</row>
    <row r="640" spans="1:48" ht="14.25" customHeight="1" x14ac:dyDescent="0.25">
      <c r="A640" s="2"/>
      <c r="B640" s="2"/>
      <c r="C640" s="2"/>
      <c r="D640" s="2"/>
      <c r="E640" s="2"/>
      <c r="F640" s="2"/>
      <c r="G640" s="26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81"/>
      <c r="AC640" s="2"/>
      <c r="AD640" s="2"/>
      <c r="AE640" s="281"/>
      <c r="AF640" s="2"/>
      <c r="AG640" s="2"/>
      <c r="AH640" s="2"/>
      <c r="AI640" s="28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</row>
    <row r="641" spans="1:48" ht="14.25" customHeight="1" x14ac:dyDescent="0.25">
      <c r="A641" s="2"/>
      <c r="B641" s="2"/>
      <c r="C641" s="2"/>
      <c r="D641" s="2"/>
      <c r="E641" s="2"/>
      <c r="F641" s="2"/>
      <c r="G641" s="26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81"/>
      <c r="AC641" s="2"/>
      <c r="AD641" s="2"/>
      <c r="AE641" s="281"/>
      <c r="AF641" s="2"/>
      <c r="AG641" s="2"/>
      <c r="AH641" s="2"/>
      <c r="AI641" s="28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</row>
    <row r="642" spans="1:48" ht="14.25" customHeight="1" x14ac:dyDescent="0.25">
      <c r="A642" s="2"/>
      <c r="B642" s="2"/>
      <c r="C642" s="2"/>
      <c r="D642" s="2"/>
      <c r="E642" s="2"/>
      <c r="F642" s="2"/>
      <c r="G642" s="26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81"/>
      <c r="AC642" s="2"/>
      <c r="AD642" s="2"/>
      <c r="AE642" s="281"/>
      <c r="AF642" s="2"/>
      <c r="AG642" s="2"/>
      <c r="AH642" s="2"/>
      <c r="AI642" s="28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</row>
    <row r="643" spans="1:48" ht="14.25" customHeight="1" x14ac:dyDescent="0.25">
      <c r="A643" s="2"/>
      <c r="B643" s="2"/>
      <c r="C643" s="2"/>
      <c r="D643" s="2"/>
      <c r="E643" s="2"/>
      <c r="F643" s="2"/>
      <c r="G643" s="26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81"/>
      <c r="AC643" s="2"/>
      <c r="AD643" s="2"/>
      <c r="AE643" s="281"/>
      <c r="AF643" s="2"/>
      <c r="AG643" s="2"/>
      <c r="AH643" s="2"/>
      <c r="AI643" s="28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</row>
    <row r="644" spans="1:48" ht="14.25" customHeight="1" x14ac:dyDescent="0.25">
      <c r="A644" s="2"/>
      <c r="B644" s="2"/>
      <c r="C644" s="2"/>
      <c r="D644" s="2"/>
      <c r="E644" s="2"/>
      <c r="F644" s="2"/>
      <c r="G644" s="26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81"/>
      <c r="AC644" s="2"/>
      <c r="AD644" s="2"/>
      <c r="AE644" s="281"/>
      <c r="AF644" s="2"/>
      <c r="AG644" s="2"/>
      <c r="AH644" s="2"/>
      <c r="AI644" s="28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</row>
    <row r="645" spans="1:48" ht="14.25" customHeight="1" x14ac:dyDescent="0.25">
      <c r="A645" s="2"/>
      <c r="B645" s="2"/>
      <c r="C645" s="2"/>
      <c r="D645" s="2"/>
      <c r="E645" s="2"/>
      <c r="F645" s="2"/>
      <c r="G645" s="26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81"/>
      <c r="AC645" s="2"/>
      <c r="AD645" s="2"/>
      <c r="AE645" s="281"/>
      <c r="AF645" s="2"/>
      <c r="AG645" s="2"/>
      <c r="AH645" s="2"/>
      <c r="AI645" s="28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</row>
    <row r="646" spans="1:48" ht="14.25" customHeight="1" x14ac:dyDescent="0.25">
      <c r="A646" s="2"/>
      <c r="B646" s="2"/>
      <c r="C646" s="2"/>
      <c r="D646" s="2"/>
      <c r="E646" s="2"/>
      <c r="F646" s="2"/>
      <c r="G646" s="26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81"/>
      <c r="AC646" s="2"/>
      <c r="AD646" s="2"/>
      <c r="AE646" s="281"/>
      <c r="AF646" s="2"/>
      <c r="AG646" s="2"/>
      <c r="AH646" s="2"/>
      <c r="AI646" s="28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</row>
    <row r="647" spans="1:48" ht="14.25" customHeight="1" x14ac:dyDescent="0.25">
      <c r="A647" s="2"/>
      <c r="B647" s="2"/>
      <c r="C647" s="2"/>
      <c r="D647" s="2"/>
      <c r="E647" s="2"/>
      <c r="F647" s="2"/>
      <c r="G647" s="26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81"/>
      <c r="AC647" s="2"/>
      <c r="AD647" s="2"/>
      <c r="AE647" s="281"/>
      <c r="AF647" s="2"/>
      <c r="AG647" s="2"/>
      <c r="AH647" s="2"/>
      <c r="AI647" s="28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</row>
    <row r="648" spans="1:48" ht="14.25" customHeight="1" x14ac:dyDescent="0.25">
      <c r="A648" s="2"/>
      <c r="B648" s="2"/>
      <c r="C648" s="2"/>
      <c r="D648" s="2"/>
      <c r="E648" s="2"/>
      <c r="F648" s="2"/>
      <c r="G648" s="26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81"/>
      <c r="AC648" s="2"/>
      <c r="AD648" s="2"/>
      <c r="AE648" s="281"/>
      <c r="AF648" s="2"/>
      <c r="AG648" s="2"/>
      <c r="AH648" s="2"/>
      <c r="AI648" s="28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</row>
    <row r="649" spans="1:48" ht="14.25" customHeight="1" x14ac:dyDescent="0.25">
      <c r="A649" s="2"/>
      <c r="B649" s="2"/>
      <c r="C649" s="2"/>
      <c r="D649" s="2"/>
      <c r="E649" s="2"/>
      <c r="F649" s="2"/>
      <c r="G649" s="26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81"/>
      <c r="AC649" s="2"/>
      <c r="AD649" s="2"/>
      <c r="AE649" s="281"/>
      <c r="AF649" s="2"/>
      <c r="AG649" s="2"/>
      <c r="AH649" s="2"/>
      <c r="AI649" s="28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</row>
    <row r="650" spans="1:48" ht="14.25" customHeight="1" x14ac:dyDescent="0.25">
      <c r="A650" s="2"/>
      <c r="B650" s="2"/>
      <c r="C650" s="2"/>
      <c r="D650" s="2"/>
      <c r="E650" s="2"/>
      <c r="F650" s="2"/>
      <c r="G650" s="26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81"/>
      <c r="AC650" s="2"/>
      <c r="AD650" s="2"/>
      <c r="AE650" s="281"/>
      <c r="AF650" s="2"/>
      <c r="AG650" s="2"/>
      <c r="AH650" s="2"/>
      <c r="AI650" s="28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</row>
    <row r="651" spans="1:48" ht="14.25" customHeight="1" x14ac:dyDescent="0.25">
      <c r="A651" s="2"/>
      <c r="B651" s="2"/>
      <c r="C651" s="2"/>
      <c r="D651" s="2"/>
      <c r="E651" s="2"/>
      <c r="F651" s="2"/>
      <c r="G651" s="26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81"/>
      <c r="AC651" s="2"/>
      <c r="AD651" s="2"/>
      <c r="AE651" s="281"/>
      <c r="AF651" s="2"/>
      <c r="AG651" s="2"/>
      <c r="AH651" s="2"/>
      <c r="AI651" s="28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</row>
    <row r="652" spans="1:48" ht="14.25" customHeight="1" x14ac:dyDescent="0.25">
      <c r="A652" s="2"/>
      <c r="B652" s="2"/>
      <c r="C652" s="2"/>
      <c r="D652" s="2"/>
      <c r="E652" s="2"/>
      <c r="F652" s="2"/>
      <c r="G652" s="26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81"/>
      <c r="AC652" s="2"/>
      <c r="AD652" s="2"/>
      <c r="AE652" s="281"/>
      <c r="AF652" s="2"/>
      <c r="AG652" s="2"/>
      <c r="AH652" s="2"/>
      <c r="AI652" s="28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</row>
    <row r="653" spans="1:48" ht="14.25" customHeight="1" x14ac:dyDescent="0.25">
      <c r="A653" s="2"/>
      <c r="B653" s="2"/>
      <c r="C653" s="2"/>
      <c r="D653" s="2"/>
      <c r="E653" s="2"/>
      <c r="F653" s="2"/>
      <c r="G653" s="26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81"/>
      <c r="AC653" s="2"/>
      <c r="AD653" s="2"/>
      <c r="AE653" s="281"/>
      <c r="AF653" s="2"/>
      <c r="AG653" s="2"/>
      <c r="AH653" s="2"/>
      <c r="AI653" s="28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</row>
    <row r="654" spans="1:48" ht="14.25" customHeight="1" x14ac:dyDescent="0.25">
      <c r="A654" s="2"/>
      <c r="B654" s="2"/>
      <c r="C654" s="2"/>
      <c r="D654" s="2"/>
      <c r="E654" s="2"/>
      <c r="F654" s="2"/>
      <c r="G654" s="26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81"/>
      <c r="AC654" s="2"/>
      <c r="AD654" s="2"/>
      <c r="AE654" s="281"/>
      <c r="AF654" s="2"/>
      <c r="AG654" s="2"/>
      <c r="AH654" s="2"/>
      <c r="AI654" s="28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</row>
    <row r="655" spans="1:48" ht="14.25" customHeight="1" x14ac:dyDescent="0.25">
      <c r="A655" s="2"/>
      <c r="B655" s="2"/>
      <c r="C655" s="2"/>
      <c r="D655" s="2"/>
      <c r="E655" s="2"/>
      <c r="F655" s="2"/>
      <c r="G655" s="26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81"/>
      <c r="AC655" s="2"/>
      <c r="AD655" s="2"/>
      <c r="AE655" s="281"/>
      <c r="AF655" s="2"/>
      <c r="AG655" s="2"/>
      <c r="AH655" s="2"/>
      <c r="AI655" s="28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</row>
    <row r="656" spans="1:48" ht="14.25" customHeight="1" x14ac:dyDescent="0.25">
      <c r="A656" s="2"/>
      <c r="B656" s="2"/>
      <c r="C656" s="2"/>
      <c r="D656" s="2"/>
      <c r="E656" s="2"/>
      <c r="F656" s="2"/>
      <c r="G656" s="26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81"/>
      <c r="AC656" s="2"/>
      <c r="AD656" s="2"/>
      <c r="AE656" s="281"/>
      <c r="AF656" s="2"/>
      <c r="AG656" s="2"/>
      <c r="AH656" s="2"/>
      <c r="AI656" s="28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</row>
    <row r="657" spans="1:48" ht="14.25" customHeight="1" x14ac:dyDescent="0.25">
      <c r="A657" s="2"/>
      <c r="B657" s="2"/>
      <c r="C657" s="2"/>
      <c r="D657" s="2"/>
      <c r="E657" s="2"/>
      <c r="F657" s="2"/>
      <c r="G657" s="26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81"/>
      <c r="AC657" s="2"/>
      <c r="AD657" s="2"/>
      <c r="AE657" s="281"/>
      <c r="AF657" s="2"/>
      <c r="AG657" s="2"/>
      <c r="AH657" s="2"/>
      <c r="AI657" s="28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</row>
    <row r="658" spans="1:48" ht="14.25" customHeight="1" x14ac:dyDescent="0.25">
      <c r="A658" s="2"/>
      <c r="B658" s="2"/>
      <c r="C658" s="2"/>
      <c r="D658" s="2"/>
      <c r="E658" s="2"/>
      <c r="F658" s="2"/>
      <c r="G658" s="26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81"/>
      <c r="AC658" s="2"/>
      <c r="AD658" s="2"/>
      <c r="AE658" s="281"/>
      <c r="AF658" s="2"/>
      <c r="AG658" s="2"/>
      <c r="AH658" s="2"/>
      <c r="AI658" s="28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</row>
    <row r="659" spans="1:48" ht="14.25" customHeight="1" x14ac:dyDescent="0.25">
      <c r="A659" s="2"/>
      <c r="B659" s="2"/>
      <c r="C659" s="2"/>
      <c r="D659" s="2"/>
      <c r="E659" s="2"/>
      <c r="F659" s="2"/>
      <c r="G659" s="26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81"/>
      <c r="AC659" s="2"/>
      <c r="AD659" s="2"/>
      <c r="AE659" s="281"/>
      <c r="AF659" s="2"/>
      <c r="AG659" s="2"/>
      <c r="AH659" s="2"/>
      <c r="AI659" s="28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</row>
    <row r="660" spans="1:48" ht="14.25" customHeight="1" x14ac:dyDescent="0.25">
      <c r="A660" s="2"/>
      <c r="B660" s="2"/>
      <c r="C660" s="2"/>
      <c r="D660" s="2"/>
      <c r="E660" s="2"/>
      <c r="F660" s="2"/>
      <c r="G660" s="26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81"/>
      <c r="AC660" s="2"/>
      <c r="AD660" s="2"/>
      <c r="AE660" s="281"/>
      <c r="AF660" s="2"/>
      <c r="AG660" s="2"/>
      <c r="AH660" s="2"/>
      <c r="AI660" s="28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</row>
    <row r="661" spans="1:48" ht="14.25" customHeight="1" x14ac:dyDescent="0.25">
      <c r="A661" s="2"/>
      <c r="B661" s="2"/>
      <c r="C661" s="2"/>
      <c r="D661" s="2"/>
      <c r="E661" s="2"/>
      <c r="F661" s="2"/>
      <c r="G661" s="26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81"/>
      <c r="AC661" s="2"/>
      <c r="AD661" s="2"/>
      <c r="AE661" s="281"/>
      <c r="AF661" s="2"/>
      <c r="AG661" s="2"/>
      <c r="AH661" s="2"/>
      <c r="AI661" s="28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</row>
    <row r="662" spans="1:48" ht="14.25" customHeight="1" x14ac:dyDescent="0.25">
      <c r="A662" s="2"/>
      <c r="B662" s="2"/>
      <c r="C662" s="2"/>
      <c r="D662" s="2"/>
      <c r="E662" s="2"/>
      <c r="F662" s="2"/>
      <c r="G662" s="26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81"/>
      <c r="AC662" s="2"/>
      <c r="AD662" s="2"/>
      <c r="AE662" s="281"/>
      <c r="AF662" s="2"/>
      <c r="AG662" s="2"/>
      <c r="AH662" s="2"/>
      <c r="AI662" s="28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</row>
    <row r="663" spans="1:48" ht="14.25" customHeight="1" x14ac:dyDescent="0.25">
      <c r="A663" s="2"/>
      <c r="B663" s="2"/>
      <c r="C663" s="2"/>
      <c r="D663" s="2"/>
      <c r="E663" s="2"/>
      <c r="F663" s="2"/>
      <c r="G663" s="26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81"/>
      <c r="AC663" s="2"/>
      <c r="AD663" s="2"/>
      <c r="AE663" s="281"/>
      <c r="AF663" s="2"/>
      <c r="AG663" s="2"/>
      <c r="AH663" s="2"/>
      <c r="AI663" s="28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</row>
    <row r="664" spans="1:48" ht="14.25" customHeight="1" x14ac:dyDescent="0.25">
      <c r="A664" s="2"/>
      <c r="B664" s="2"/>
      <c r="C664" s="2"/>
      <c r="D664" s="2"/>
      <c r="E664" s="2"/>
      <c r="F664" s="2"/>
      <c r="G664" s="26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81"/>
      <c r="AC664" s="2"/>
      <c r="AD664" s="2"/>
      <c r="AE664" s="281"/>
      <c r="AF664" s="2"/>
      <c r="AG664" s="2"/>
      <c r="AH664" s="2"/>
      <c r="AI664" s="28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</row>
    <row r="665" spans="1:48" ht="14.25" customHeight="1" x14ac:dyDescent="0.25">
      <c r="A665" s="2"/>
      <c r="B665" s="2"/>
      <c r="C665" s="2"/>
      <c r="D665" s="2"/>
      <c r="E665" s="2"/>
      <c r="F665" s="2"/>
      <c r="G665" s="26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81"/>
      <c r="AC665" s="2"/>
      <c r="AD665" s="2"/>
      <c r="AE665" s="281"/>
      <c r="AF665" s="2"/>
      <c r="AG665" s="2"/>
      <c r="AH665" s="2"/>
      <c r="AI665" s="28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</row>
    <row r="666" spans="1:48" ht="14.25" customHeight="1" x14ac:dyDescent="0.25">
      <c r="A666" s="2"/>
      <c r="B666" s="2"/>
      <c r="C666" s="2"/>
      <c r="D666" s="2"/>
      <c r="E666" s="2"/>
      <c r="F666" s="2"/>
      <c r="G666" s="26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81"/>
      <c r="AC666" s="2"/>
      <c r="AD666" s="2"/>
      <c r="AE666" s="281"/>
      <c r="AF666" s="2"/>
      <c r="AG666" s="2"/>
      <c r="AH666" s="2"/>
      <c r="AI666" s="28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</row>
    <row r="667" spans="1:48" ht="14.25" customHeight="1" x14ac:dyDescent="0.25">
      <c r="A667" s="2"/>
      <c r="B667" s="2"/>
      <c r="C667" s="2"/>
      <c r="D667" s="2"/>
      <c r="E667" s="2"/>
      <c r="F667" s="2"/>
      <c r="G667" s="26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81"/>
      <c r="AC667" s="2"/>
      <c r="AD667" s="2"/>
      <c r="AE667" s="281"/>
      <c r="AF667" s="2"/>
      <c r="AG667" s="2"/>
      <c r="AH667" s="2"/>
      <c r="AI667" s="28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</row>
    <row r="668" spans="1:48" ht="14.25" customHeight="1" x14ac:dyDescent="0.25">
      <c r="A668" s="2"/>
      <c r="B668" s="2"/>
      <c r="C668" s="2"/>
      <c r="D668" s="2"/>
      <c r="E668" s="2"/>
      <c r="F668" s="2"/>
      <c r="G668" s="26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81"/>
      <c r="AC668" s="2"/>
      <c r="AD668" s="2"/>
      <c r="AE668" s="281"/>
      <c r="AF668" s="2"/>
      <c r="AG668" s="2"/>
      <c r="AH668" s="2"/>
      <c r="AI668" s="28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</row>
    <row r="669" spans="1:48" ht="14.25" customHeight="1" x14ac:dyDescent="0.25">
      <c r="A669" s="2"/>
      <c r="B669" s="2"/>
      <c r="C669" s="2"/>
      <c r="D669" s="2"/>
      <c r="E669" s="2"/>
      <c r="F669" s="2"/>
      <c r="G669" s="26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81"/>
      <c r="AC669" s="2"/>
      <c r="AD669" s="2"/>
      <c r="AE669" s="281"/>
      <c r="AF669" s="2"/>
      <c r="AG669" s="2"/>
      <c r="AH669" s="2"/>
      <c r="AI669" s="28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</row>
    <row r="670" spans="1:48" ht="14.25" customHeight="1" x14ac:dyDescent="0.25">
      <c r="A670" s="2"/>
      <c r="B670" s="2"/>
      <c r="C670" s="2"/>
      <c r="D670" s="2"/>
      <c r="E670" s="2"/>
      <c r="F670" s="2"/>
      <c r="G670" s="26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81"/>
      <c r="AC670" s="2"/>
      <c r="AD670" s="2"/>
      <c r="AE670" s="281"/>
      <c r="AF670" s="2"/>
      <c r="AG670" s="2"/>
      <c r="AH670" s="2"/>
      <c r="AI670" s="28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</row>
    <row r="671" spans="1:48" ht="14.25" customHeight="1" x14ac:dyDescent="0.25">
      <c r="A671" s="2"/>
      <c r="B671" s="2"/>
      <c r="C671" s="2"/>
      <c r="D671" s="2"/>
      <c r="E671" s="2"/>
      <c r="F671" s="2"/>
      <c r="G671" s="26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81"/>
      <c r="AC671" s="2"/>
      <c r="AD671" s="2"/>
      <c r="AE671" s="281"/>
      <c r="AF671" s="2"/>
      <c r="AG671" s="2"/>
      <c r="AH671" s="2"/>
      <c r="AI671" s="28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</row>
    <row r="672" spans="1:48" ht="14.25" customHeight="1" x14ac:dyDescent="0.25">
      <c r="A672" s="2"/>
      <c r="B672" s="2"/>
      <c r="C672" s="2"/>
      <c r="D672" s="2"/>
      <c r="E672" s="2"/>
      <c r="F672" s="2"/>
      <c r="G672" s="26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81"/>
      <c r="AC672" s="2"/>
      <c r="AD672" s="2"/>
      <c r="AE672" s="281"/>
      <c r="AF672" s="2"/>
      <c r="AG672" s="2"/>
      <c r="AH672" s="2"/>
      <c r="AI672" s="28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</row>
    <row r="673" spans="1:48" ht="14.25" customHeight="1" x14ac:dyDescent="0.25">
      <c r="A673" s="2"/>
      <c r="B673" s="2"/>
      <c r="C673" s="2"/>
      <c r="D673" s="2"/>
      <c r="E673" s="2"/>
      <c r="F673" s="2"/>
      <c r="G673" s="26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81"/>
      <c r="AC673" s="2"/>
      <c r="AD673" s="2"/>
      <c r="AE673" s="281"/>
      <c r="AF673" s="2"/>
      <c r="AG673" s="2"/>
      <c r="AH673" s="2"/>
      <c r="AI673" s="28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</row>
    <row r="674" spans="1:48" ht="14.25" customHeight="1" x14ac:dyDescent="0.25">
      <c r="A674" s="2"/>
      <c r="B674" s="2"/>
      <c r="C674" s="2"/>
      <c r="D674" s="2"/>
      <c r="E674" s="2"/>
      <c r="F674" s="2"/>
      <c r="G674" s="26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81"/>
      <c r="AC674" s="2"/>
      <c r="AD674" s="2"/>
      <c r="AE674" s="281"/>
      <c r="AF674" s="2"/>
      <c r="AG674" s="2"/>
      <c r="AH674" s="2"/>
      <c r="AI674" s="28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</row>
    <row r="675" spans="1:48" ht="14.25" customHeight="1" x14ac:dyDescent="0.25">
      <c r="A675" s="2"/>
      <c r="B675" s="2"/>
      <c r="C675" s="2"/>
      <c r="D675" s="2"/>
      <c r="E675" s="2"/>
      <c r="F675" s="2"/>
      <c r="G675" s="26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81"/>
      <c r="AC675" s="2"/>
      <c r="AD675" s="2"/>
      <c r="AE675" s="281"/>
      <c r="AF675" s="2"/>
      <c r="AG675" s="2"/>
      <c r="AH675" s="2"/>
      <c r="AI675" s="28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</row>
    <row r="676" spans="1:48" ht="14.25" customHeight="1" x14ac:dyDescent="0.25">
      <c r="A676" s="2"/>
      <c r="B676" s="2"/>
      <c r="C676" s="2"/>
      <c r="D676" s="2"/>
      <c r="E676" s="2"/>
      <c r="F676" s="2"/>
      <c r="G676" s="26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81"/>
      <c r="AC676" s="2"/>
      <c r="AD676" s="2"/>
      <c r="AE676" s="281"/>
      <c r="AF676" s="2"/>
      <c r="AG676" s="2"/>
      <c r="AH676" s="2"/>
      <c r="AI676" s="28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</row>
    <row r="677" spans="1:48" ht="14.25" customHeight="1" x14ac:dyDescent="0.25">
      <c r="A677" s="2"/>
      <c r="B677" s="2"/>
      <c r="C677" s="2"/>
      <c r="D677" s="2"/>
      <c r="E677" s="2"/>
      <c r="F677" s="2"/>
      <c r="G677" s="26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81"/>
      <c r="AC677" s="2"/>
      <c r="AD677" s="2"/>
      <c r="AE677" s="281"/>
      <c r="AF677" s="2"/>
      <c r="AG677" s="2"/>
      <c r="AH677" s="2"/>
      <c r="AI677" s="28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</row>
    <row r="678" spans="1:48" ht="14.25" customHeight="1" x14ac:dyDescent="0.25">
      <c r="A678" s="2"/>
      <c r="B678" s="2"/>
      <c r="C678" s="2"/>
      <c r="D678" s="2"/>
      <c r="E678" s="2"/>
      <c r="F678" s="2"/>
      <c r="G678" s="26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81"/>
      <c r="AC678" s="2"/>
      <c r="AD678" s="2"/>
      <c r="AE678" s="281"/>
      <c r="AF678" s="2"/>
      <c r="AG678" s="2"/>
      <c r="AH678" s="2"/>
      <c r="AI678" s="28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</row>
    <row r="679" spans="1:48" ht="14.25" customHeight="1" x14ac:dyDescent="0.25">
      <c r="A679" s="2"/>
      <c r="B679" s="2"/>
      <c r="C679" s="2"/>
      <c r="D679" s="2"/>
      <c r="E679" s="2"/>
      <c r="F679" s="2"/>
      <c r="G679" s="26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81"/>
      <c r="AC679" s="2"/>
      <c r="AD679" s="2"/>
      <c r="AE679" s="281"/>
      <c r="AF679" s="2"/>
      <c r="AG679" s="2"/>
      <c r="AH679" s="2"/>
      <c r="AI679" s="28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</row>
    <row r="680" spans="1:48" ht="14.25" customHeight="1" x14ac:dyDescent="0.25">
      <c r="A680" s="2"/>
      <c r="B680" s="2"/>
      <c r="C680" s="2"/>
      <c r="D680" s="2"/>
      <c r="E680" s="2"/>
      <c r="F680" s="2"/>
      <c r="G680" s="26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81"/>
      <c r="AC680" s="2"/>
      <c r="AD680" s="2"/>
      <c r="AE680" s="281"/>
      <c r="AF680" s="2"/>
      <c r="AG680" s="2"/>
      <c r="AH680" s="2"/>
      <c r="AI680" s="28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</row>
    <row r="681" spans="1:48" ht="14.25" customHeight="1" x14ac:dyDescent="0.25">
      <c r="A681" s="2"/>
      <c r="B681" s="2"/>
      <c r="C681" s="2"/>
      <c r="D681" s="2"/>
      <c r="E681" s="2"/>
      <c r="F681" s="2"/>
      <c r="G681" s="26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81"/>
      <c r="AC681" s="2"/>
      <c r="AD681" s="2"/>
      <c r="AE681" s="281"/>
      <c r="AF681" s="2"/>
      <c r="AG681" s="2"/>
      <c r="AH681" s="2"/>
      <c r="AI681" s="28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</row>
    <row r="682" spans="1:48" ht="14.25" customHeight="1" x14ac:dyDescent="0.25">
      <c r="A682" s="2"/>
      <c r="B682" s="2"/>
      <c r="C682" s="2"/>
      <c r="D682" s="2"/>
      <c r="E682" s="2"/>
      <c r="F682" s="2"/>
      <c r="G682" s="26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81"/>
      <c r="AC682" s="2"/>
      <c r="AD682" s="2"/>
      <c r="AE682" s="281"/>
      <c r="AF682" s="2"/>
      <c r="AG682" s="2"/>
      <c r="AH682" s="2"/>
      <c r="AI682" s="28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</row>
    <row r="683" spans="1:48" ht="14.25" customHeight="1" x14ac:dyDescent="0.25">
      <c r="A683" s="2"/>
      <c r="B683" s="2"/>
      <c r="C683" s="2"/>
      <c r="D683" s="2"/>
      <c r="E683" s="2"/>
      <c r="F683" s="2"/>
      <c r="G683" s="26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81"/>
      <c r="AC683" s="2"/>
      <c r="AD683" s="2"/>
      <c r="AE683" s="281"/>
      <c r="AF683" s="2"/>
      <c r="AG683" s="2"/>
      <c r="AH683" s="2"/>
      <c r="AI683" s="28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</row>
    <row r="684" spans="1:48" ht="14.25" customHeight="1" x14ac:dyDescent="0.25">
      <c r="A684" s="2"/>
      <c r="B684" s="2"/>
      <c r="C684" s="2"/>
      <c r="D684" s="2"/>
      <c r="E684" s="2"/>
      <c r="F684" s="2"/>
      <c r="G684" s="26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81"/>
      <c r="AC684" s="2"/>
      <c r="AD684" s="2"/>
      <c r="AE684" s="281"/>
      <c r="AF684" s="2"/>
      <c r="AG684" s="2"/>
      <c r="AH684" s="2"/>
      <c r="AI684" s="28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</row>
    <row r="685" spans="1:48" ht="14.25" customHeight="1" x14ac:dyDescent="0.25">
      <c r="A685" s="2"/>
      <c r="B685" s="2"/>
      <c r="C685" s="2"/>
      <c r="D685" s="2"/>
      <c r="E685" s="2"/>
      <c r="F685" s="2"/>
      <c r="G685" s="26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81"/>
      <c r="AC685" s="2"/>
      <c r="AD685" s="2"/>
      <c r="AE685" s="281"/>
      <c r="AF685" s="2"/>
      <c r="AG685" s="2"/>
      <c r="AH685" s="2"/>
      <c r="AI685" s="28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</row>
    <row r="686" spans="1:48" ht="14.25" customHeight="1" x14ac:dyDescent="0.25">
      <c r="A686" s="2"/>
      <c r="B686" s="2"/>
      <c r="C686" s="2"/>
      <c r="D686" s="2"/>
      <c r="E686" s="2"/>
      <c r="F686" s="2"/>
      <c r="G686" s="26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81"/>
      <c r="AC686" s="2"/>
      <c r="AD686" s="2"/>
      <c r="AE686" s="281"/>
      <c r="AF686" s="2"/>
      <c r="AG686" s="2"/>
      <c r="AH686" s="2"/>
      <c r="AI686" s="28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</row>
    <row r="687" spans="1:48" ht="14.25" customHeight="1" x14ac:dyDescent="0.25">
      <c r="A687" s="2"/>
      <c r="B687" s="2"/>
      <c r="C687" s="2"/>
      <c r="D687" s="2"/>
      <c r="E687" s="2"/>
      <c r="F687" s="2"/>
      <c r="G687" s="26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81"/>
      <c r="AC687" s="2"/>
      <c r="AD687" s="2"/>
      <c r="AE687" s="281"/>
      <c r="AF687" s="2"/>
      <c r="AG687" s="2"/>
      <c r="AH687" s="2"/>
      <c r="AI687" s="28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</row>
    <row r="688" spans="1:48" ht="14.25" customHeight="1" x14ac:dyDescent="0.25">
      <c r="A688" s="2"/>
      <c r="B688" s="2"/>
      <c r="C688" s="2"/>
      <c r="D688" s="2"/>
      <c r="E688" s="2"/>
      <c r="F688" s="2"/>
      <c r="G688" s="26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81"/>
      <c r="AC688" s="2"/>
      <c r="AD688" s="2"/>
      <c r="AE688" s="281"/>
      <c r="AF688" s="2"/>
      <c r="AG688" s="2"/>
      <c r="AH688" s="2"/>
      <c r="AI688" s="28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</row>
    <row r="689" spans="1:48" ht="14.25" customHeight="1" x14ac:dyDescent="0.25">
      <c r="A689" s="2"/>
      <c r="B689" s="2"/>
      <c r="C689" s="2"/>
      <c r="D689" s="2"/>
      <c r="E689" s="2"/>
      <c r="F689" s="2"/>
      <c r="G689" s="26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81"/>
      <c r="AC689" s="2"/>
      <c r="AD689" s="2"/>
      <c r="AE689" s="281"/>
      <c r="AF689" s="2"/>
      <c r="AG689" s="2"/>
      <c r="AH689" s="2"/>
      <c r="AI689" s="28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</row>
    <row r="690" spans="1:48" ht="14.25" customHeight="1" x14ac:dyDescent="0.25">
      <c r="A690" s="2"/>
      <c r="B690" s="2"/>
      <c r="C690" s="2"/>
      <c r="D690" s="2"/>
      <c r="E690" s="2"/>
      <c r="F690" s="2"/>
      <c r="G690" s="26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81"/>
      <c r="AC690" s="2"/>
      <c r="AD690" s="2"/>
      <c r="AE690" s="281"/>
      <c r="AF690" s="2"/>
      <c r="AG690" s="2"/>
      <c r="AH690" s="2"/>
      <c r="AI690" s="28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</row>
    <row r="691" spans="1:48" ht="14.25" customHeight="1" x14ac:dyDescent="0.25">
      <c r="A691" s="2"/>
      <c r="B691" s="2"/>
      <c r="C691" s="2"/>
      <c r="D691" s="2"/>
      <c r="E691" s="2"/>
      <c r="F691" s="2"/>
      <c r="G691" s="26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81"/>
      <c r="AC691" s="2"/>
      <c r="AD691" s="2"/>
      <c r="AE691" s="281"/>
      <c r="AF691" s="2"/>
      <c r="AG691" s="2"/>
      <c r="AH691" s="2"/>
      <c r="AI691" s="28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</row>
    <row r="692" spans="1:48" ht="14.25" customHeight="1" x14ac:dyDescent="0.25">
      <c r="A692" s="2"/>
      <c r="B692" s="2"/>
      <c r="C692" s="2"/>
      <c r="D692" s="2"/>
      <c r="E692" s="2"/>
      <c r="F692" s="2"/>
      <c r="G692" s="26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81"/>
      <c r="AC692" s="2"/>
      <c r="AD692" s="2"/>
      <c r="AE692" s="281"/>
      <c r="AF692" s="2"/>
      <c r="AG692" s="2"/>
      <c r="AH692" s="2"/>
      <c r="AI692" s="28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</row>
    <row r="693" spans="1:48" ht="14.25" customHeight="1" x14ac:dyDescent="0.25">
      <c r="A693" s="2"/>
      <c r="B693" s="2"/>
      <c r="C693" s="2"/>
      <c r="D693" s="2"/>
      <c r="E693" s="2"/>
      <c r="F693" s="2"/>
      <c r="G693" s="26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81"/>
      <c r="AC693" s="2"/>
      <c r="AD693" s="2"/>
      <c r="AE693" s="281"/>
      <c r="AF693" s="2"/>
      <c r="AG693" s="2"/>
      <c r="AH693" s="2"/>
      <c r="AI693" s="28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</row>
    <row r="694" spans="1:48" ht="14.25" customHeight="1" x14ac:dyDescent="0.25">
      <c r="A694" s="2"/>
      <c r="B694" s="2"/>
      <c r="C694" s="2"/>
      <c r="D694" s="2"/>
      <c r="E694" s="2"/>
      <c r="F694" s="2"/>
      <c r="G694" s="26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81"/>
      <c r="AC694" s="2"/>
      <c r="AD694" s="2"/>
      <c r="AE694" s="281"/>
      <c r="AF694" s="2"/>
      <c r="AG694" s="2"/>
      <c r="AH694" s="2"/>
      <c r="AI694" s="28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</row>
    <row r="695" spans="1:48" ht="14.25" customHeight="1" x14ac:dyDescent="0.25">
      <c r="A695" s="2"/>
      <c r="B695" s="2"/>
      <c r="C695" s="2"/>
      <c r="D695" s="2"/>
      <c r="E695" s="2"/>
      <c r="F695" s="2"/>
      <c r="G695" s="26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81"/>
      <c r="AC695" s="2"/>
      <c r="AD695" s="2"/>
      <c r="AE695" s="281"/>
      <c r="AF695" s="2"/>
      <c r="AG695" s="2"/>
      <c r="AH695" s="2"/>
      <c r="AI695" s="28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</row>
    <row r="696" spans="1:48" ht="14.25" customHeight="1" x14ac:dyDescent="0.25">
      <c r="A696" s="2"/>
      <c r="B696" s="2"/>
      <c r="C696" s="2"/>
      <c r="D696" s="2"/>
      <c r="E696" s="2"/>
      <c r="F696" s="2"/>
      <c r="G696" s="26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81"/>
      <c r="AC696" s="2"/>
      <c r="AD696" s="2"/>
      <c r="AE696" s="281"/>
      <c r="AF696" s="2"/>
      <c r="AG696" s="2"/>
      <c r="AH696" s="2"/>
      <c r="AI696" s="28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</row>
    <row r="697" spans="1:48" ht="14.25" customHeight="1" x14ac:dyDescent="0.25">
      <c r="A697" s="2"/>
      <c r="B697" s="2"/>
      <c r="C697" s="2"/>
      <c r="D697" s="2"/>
      <c r="E697" s="2"/>
      <c r="F697" s="2"/>
      <c r="G697" s="26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81"/>
      <c r="AC697" s="2"/>
      <c r="AD697" s="2"/>
      <c r="AE697" s="281"/>
      <c r="AF697" s="2"/>
      <c r="AG697" s="2"/>
      <c r="AH697" s="2"/>
      <c r="AI697" s="28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</row>
    <row r="698" spans="1:48" ht="14.25" customHeight="1" x14ac:dyDescent="0.25">
      <c r="A698" s="2"/>
      <c r="B698" s="2"/>
      <c r="C698" s="2"/>
      <c r="D698" s="2"/>
      <c r="E698" s="2"/>
      <c r="F698" s="2"/>
      <c r="G698" s="26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81"/>
      <c r="AC698" s="2"/>
      <c r="AD698" s="2"/>
      <c r="AE698" s="281"/>
      <c r="AF698" s="2"/>
      <c r="AG698" s="2"/>
      <c r="AH698" s="2"/>
      <c r="AI698" s="28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</row>
    <row r="699" spans="1:48" ht="14.25" customHeight="1" x14ac:dyDescent="0.25">
      <c r="A699" s="2"/>
      <c r="B699" s="2"/>
      <c r="C699" s="2"/>
      <c r="D699" s="2"/>
      <c r="E699" s="2"/>
      <c r="F699" s="2"/>
      <c r="G699" s="26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81"/>
      <c r="AC699" s="2"/>
      <c r="AD699" s="2"/>
      <c r="AE699" s="281"/>
      <c r="AF699" s="2"/>
      <c r="AG699" s="2"/>
      <c r="AH699" s="2"/>
      <c r="AI699" s="28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</row>
    <row r="700" spans="1:48" ht="14.25" customHeight="1" x14ac:dyDescent="0.25">
      <c r="A700" s="2"/>
      <c r="B700" s="2"/>
      <c r="C700" s="2"/>
      <c r="D700" s="2"/>
      <c r="E700" s="2"/>
      <c r="F700" s="2"/>
      <c r="G700" s="26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81"/>
      <c r="AC700" s="2"/>
      <c r="AD700" s="2"/>
      <c r="AE700" s="281"/>
      <c r="AF700" s="2"/>
      <c r="AG700" s="2"/>
      <c r="AH700" s="2"/>
      <c r="AI700" s="28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</row>
    <row r="701" spans="1:48" ht="14.25" customHeight="1" x14ac:dyDescent="0.25">
      <c r="A701" s="2"/>
      <c r="B701" s="2"/>
      <c r="C701" s="2"/>
      <c r="D701" s="2"/>
      <c r="E701" s="2"/>
      <c r="F701" s="2"/>
      <c r="G701" s="26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81"/>
      <c r="AC701" s="2"/>
      <c r="AD701" s="2"/>
      <c r="AE701" s="281"/>
      <c r="AF701" s="2"/>
      <c r="AG701" s="2"/>
      <c r="AH701" s="2"/>
      <c r="AI701" s="28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</row>
    <row r="702" spans="1:48" ht="14.25" customHeight="1" x14ac:dyDescent="0.25">
      <c r="A702" s="2"/>
      <c r="B702" s="2"/>
      <c r="C702" s="2"/>
      <c r="D702" s="2"/>
      <c r="E702" s="2"/>
      <c r="F702" s="2"/>
      <c r="G702" s="26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81"/>
      <c r="AC702" s="2"/>
      <c r="AD702" s="2"/>
      <c r="AE702" s="281"/>
      <c r="AF702" s="2"/>
      <c r="AG702" s="2"/>
      <c r="AH702" s="2"/>
      <c r="AI702" s="28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</row>
    <row r="703" spans="1:48" ht="14.25" customHeight="1" x14ac:dyDescent="0.25">
      <c r="A703" s="2"/>
      <c r="B703" s="2"/>
      <c r="C703" s="2"/>
      <c r="D703" s="2"/>
      <c r="E703" s="2"/>
      <c r="F703" s="2"/>
      <c r="G703" s="26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81"/>
      <c r="AC703" s="2"/>
      <c r="AD703" s="2"/>
      <c r="AE703" s="281"/>
      <c r="AF703" s="2"/>
      <c r="AG703" s="2"/>
      <c r="AH703" s="2"/>
      <c r="AI703" s="28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</row>
    <row r="704" spans="1:48" ht="14.25" customHeight="1" x14ac:dyDescent="0.25">
      <c r="A704" s="2"/>
      <c r="B704" s="2"/>
      <c r="C704" s="2"/>
      <c r="D704" s="2"/>
      <c r="E704" s="2"/>
      <c r="F704" s="2"/>
      <c r="G704" s="26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81"/>
      <c r="AC704" s="2"/>
      <c r="AD704" s="2"/>
      <c r="AE704" s="281"/>
      <c r="AF704" s="2"/>
      <c r="AG704" s="2"/>
      <c r="AH704" s="2"/>
      <c r="AI704" s="28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</row>
    <row r="705" spans="1:48" ht="14.25" customHeight="1" x14ac:dyDescent="0.25">
      <c r="A705" s="2"/>
      <c r="B705" s="2"/>
      <c r="C705" s="2"/>
      <c r="D705" s="2"/>
      <c r="E705" s="2"/>
      <c r="F705" s="2"/>
      <c r="G705" s="26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81"/>
      <c r="AC705" s="2"/>
      <c r="AD705" s="2"/>
      <c r="AE705" s="281"/>
      <c r="AF705" s="2"/>
      <c r="AG705" s="2"/>
      <c r="AH705" s="2"/>
      <c r="AI705" s="28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</row>
    <row r="706" spans="1:48" ht="14.25" customHeight="1" x14ac:dyDescent="0.25">
      <c r="A706" s="2"/>
      <c r="B706" s="2"/>
      <c r="C706" s="2"/>
      <c r="D706" s="2"/>
      <c r="E706" s="2"/>
      <c r="F706" s="2"/>
      <c r="G706" s="26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81"/>
      <c r="AC706" s="2"/>
      <c r="AD706" s="2"/>
      <c r="AE706" s="281"/>
      <c r="AF706" s="2"/>
      <c r="AG706" s="2"/>
      <c r="AH706" s="2"/>
      <c r="AI706" s="28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</row>
    <row r="707" spans="1:48" ht="14.25" customHeight="1" x14ac:dyDescent="0.25">
      <c r="A707" s="2"/>
      <c r="B707" s="2"/>
      <c r="C707" s="2"/>
      <c r="D707" s="2"/>
      <c r="E707" s="2"/>
      <c r="F707" s="2"/>
      <c r="G707" s="26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81"/>
      <c r="AC707" s="2"/>
      <c r="AD707" s="2"/>
      <c r="AE707" s="281"/>
      <c r="AF707" s="2"/>
      <c r="AG707" s="2"/>
      <c r="AH707" s="2"/>
      <c r="AI707" s="28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</row>
    <row r="708" spans="1:48" ht="14.25" customHeight="1" x14ac:dyDescent="0.25">
      <c r="A708" s="2"/>
      <c r="B708" s="2"/>
      <c r="C708" s="2"/>
      <c r="D708" s="2"/>
      <c r="E708" s="2"/>
      <c r="F708" s="2"/>
      <c r="G708" s="26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81"/>
      <c r="AC708" s="2"/>
      <c r="AD708" s="2"/>
      <c r="AE708" s="281"/>
      <c r="AF708" s="2"/>
      <c r="AG708" s="2"/>
      <c r="AH708" s="2"/>
      <c r="AI708" s="28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</row>
    <row r="709" spans="1:48" ht="14.25" customHeight="1" x14ac:dyDescent="0.25">
      <c r="A709" s="2"/>
      <c r="B709" s="2"/>
      <c r="C709" s="2"/>
      <c r="D709" s="2"/>
      <c r="E709" s="2"/>
      <c r="F709" s="2"/>
      <c r="G709" s="26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81"/>
      <c r="AC709" s="2"/>
      <c r="AD709" s="2"/>
      <c r="AE709" s="281"/>
      <c r="AF709" s="2"/>
      <c r="AG709" s="2"/>
      <c r="AH709" s="2"/>
      <c r="AI709" s="28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</row>
    <row r="710" spans="1:48" ht="14.25" customHeight="1" x14ac:dyDescent="0.25">
      <c r="A710" s="2"/>
      <c r="B710" s="2"/>
      <c r="C710" s="2"/>
      <c r="D710" s="2"/>
      <c r="E710" s="2"/>
      <c r="F710" s="2"/>
      <c r="G710" s="26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81"/>
      <c r="AC710" s="2"/>
      <c r="AD710" s="2"/>
      <c r="AE710" s="281"/>
      <c r="AF710" s="2"/>
      <c r="AG710" s="2"/>
      <c r="AH710" s="2"/>
      <c r="AI710" s="28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</row>
    <row r="711" spans="1:48" ht="14.25" customHeight="1" x14ac:dyDescent="0.25">
      <c r="A711" s="2"/>
      <c r="B711" s="2"/>
      <c r="C711" s="2"/>
      <c r="D711" s="2"/>
      <c r="E711" s="2"/>
      <c r="F711" s="2"/>
      <c r="G711" s="26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81"/>
      <c r="AC711" s="2"/>
      <c r="AD711" s="2"/>
      <c r="AE711" s="281"/>
      <c r="AF711" s="2"/>
      <c r="AG711" s="2"/>
      <c r="AH711" s="2"/>
      <c r="AI711" s="28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</row>
    <row r="712" spans="1:48" ht="14.25" customHeight="1" x14ac:dyDescent="0.25">
      <c r="A712" s="2"/>
      <c r="B712" s="2"/>
      <c r="C712" s="2"/>
      <c r="D712" s="2"/>
      <c r="E712" s="2"/>
      <c r="F712" s="2"/>
      <c r="G712" s="26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81"/>
      <c r="AC712" s="2"/>
      <c r="AD712" s="2"/>
      <c r="AE712" s="281"/>
      <c r="AF712" s="2"/>
      <c r="AG712" s="2"/>
      <c r="AH712" s="2"/>
      <c r="AI712" s="28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</row>
    <row r="713" spans="1:48" ht="14.25" customHeight="1" x14ac:dyDescent="0.25">
      <c r="A713" s="2"/>
      <c r="B713" s="2"/>
      <c r="C713" s="2"/>
      <c r="D713" s="2"/>
      <c r="E713" s="2"/>
      <c r="F713" s="2"/>
      <c r="G713" s="26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81"/>
      <c r="AC713" s="2"/>
      <c r="AD713" s="2"/>
      <c r="AE713" s="281"/>
      <c r="AF713" s="2"/>
      <c r="AG713" s="2"/>
      <c r="AH713" s="2"/>
      <c r="AI713" s="28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</row>
    <row r="714" spans="1:48" ht="14.25" customHeight="1" x14ac:dyDescent="0.25">
      <c r="A714" s="2"/>
      <c r="B714" s="2"/>
      <c r="C714" s="2"/>
      <c r="D714" s="2"/>
      <c r="E714" s="2"/>
      <c r="F714" s="2"/>
      <c r="G714" s="26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81"/>
      <c r="AC714" s="2"/>
      <c r="AD714" s="2"/>
      <c r="AE714" s="281"/>
      <c r="AF714" s="2"/>
      <c r="AG714" s="2"/>
      <c r="AH714" s="2"/>
      <c r="AI714" s="28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</row>
    <row r="715" spans="1:48" ht="14.25" customHeight="1" x14ac:dyDescent="0.25">
      <c r="A715" s="2"/>
      <c r="B715" s="2"/>
      <c r="C715" s="2"/>
      <c r="D715" s="2"/>
      <c r="E715" s="2"/>
      <c r="F715" s="2"/>
      <c r="G715" s="26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81"/>
      <c r="AC715" s="2"/>
      <c r="AD715" s="2"/>
      <c r="AE715" s="281"/>
      <c r="AF715" s="2"/>
      <c r="AG715" s="2"/>
      <c r="AH715" s="2"/>
      <c r="AI715" s="28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</row>
    <row r="716" spans="1:48" ht="14.25" customHeight="1" x14ac:dyDescent="0.25">
      <c r="A716" s="2"/>
      <c r="B716" s="2"/>
      <c r="C716" s="2"/>
      <c r="D716" s="2"/>
      <c r="E716" s="2"/>
      <c r="F716" s="2"/>
      <c r="G716" s="26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81"/>
      <c r="AC716" s="2"/>
      <c r="AD716" s="2"/>
      <c r="AE716" s="281"/>
      <c r="AF716" s="2"/>
      <c r="AG716" s="2"/>
      <c r="AH716" s="2"/>
      <c r="AI716" s="28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</row>
    <row r="717" spans="1:48" ht="14.25" customHeight="1" x14ac:dyDescent="0.25">
      <c r="A717" s="2"/>
      <c r="B717" s="2"/>
      <c r="C717" s="2"/>
      <c r="D717" s="2"/>
      <c r="E717" s="2"/>
      <c r="F717" s="2"/>
      <c r="G717" s="26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81"/>
      <c r="AC717" s="2"/>
      <c r="AD717" s="2"/>
      <c r="AE717" s="281"/>
      <c r="AF717" s="2"/>
      <c r="AG717" s="2"/>
      <c r="AH717" s="2"/>
      <c r="AI717" s="28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</row>
    <row r="718" spans="1:48" ht="14.25" customHeight="1" x14ac:dyDescent="0.25">
      <c r="A718" s="2"/>
      <c r="B718" s="2"/>
      <c r="C718" s="2"/>
      <c r="D718" s="2"/>
      <c r="E718" s="2"/>
      <c r="F718" s="2"/>
      <c r="G718" s="26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81"/>
      <c r="AC718" s="2"/>
      <c r="AD718" s="2"/>
      <c r="AE718" s="281"/>
      <c r="AF718" s="2"/>
      <c r="AG718" s="2"/>
      <c r="AH718" s="2"/>
      <c r="AI718" s="28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</row>
    <row r="719" spans="1:48" ht="14.25" customHeight="1" x14ac:dyDescent="0.25">
      <c r="A719" s="2"/>
      <c r="B719" s="2"/>
      <c r="C719" s="2"/>
      <c r="D719" s="2"/>
      <c r="E719" s="2"/>
      <c r="F719" s="2"/>
      <c r="G719" s="26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81"/>
      <c r="AC719" s="2"/>
      <c r="AD719" s="2"/>
      <c r="AE719" s="281"/>
      <c r="AF719" s="2"/>
      <c r="AG719" s="2"/>
      <c r="AH719" s="2"/>
      <c r="AI719" s="28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</row>
    <row r="720" spans="1:48" ht="14.25" customHeight="1" x14ac:dyDescent="0.25">
      <c r="A720" s="2"/>
      <c r="B720" s="2"/>
      <c r="C720" s="2"/>
      <c r="D720" s="2"/>
      <c r="E720" s="2"/>
      <c r="F720" s="2"/>
      <c r="G720" s="26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81"/>
      <c r="AC720" s="2"/>
      <c r="AD720" s="2"/>
      <c r="AE720" s="281"/>
      <c r="AF720" s="2"/>
      <c r="AG720" s="2"/>
      <c r="AH720" s="2"/>
      <c r="AI720" s="28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</row>
    <row r="721" spans="1:48" ht="14.25" customHeight="1" x14ac:dyDescent="0.25">
      <c r="A721" s="2"/>
      <c r="B721" s="2"/>
      <c r="C721" s="2"/>
      <c r="D721" s="2"/>
      <c r="E721" s="2"/>
      <c r="F721" s="2"/>
      <c r="G721" s="26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81"/>
      <c r="AC721" s="2"/>
      <c r="AD721" s="2"/>
      <c r="AE721" s="281"/>
      <c r="AF721" s="2"/>
      <c r="AG721" s="2"/>
      <c r="AH721" s="2"/>
      <c r="AI721" s="28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</row>
    <row r="722" spans="1:48" ht="14.25" customHeight="1" x14ac:dyDescent="0.25">
      <c r="A722" s="2"/>
      <c r="B722" s="2"/>
      <c r="C722" s="2"/>
      <c r="D722" s="2"/>
      <c r="E722" s="2"/>
      <c r="F722" s="2"/>
      <c r="G722" s="26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81"/>
      <c r="AC722" s="2"/>
      <c r="AD722" s="2"/>
      <c r="AE722" s="281"/>
      <c r="AF722" s="2"/>
      <c r="AG722" s="2"/>
      <c r="AH722" s="2"/>
      <c r="AI722" s="28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</row>
    <row r="723" spans="1:48" ht="14.25" customHeight="1" x14ac:dyDescent="0.25">
      <c r="A723" s="2"/>
      <c r="B723" s="2"/>
      <c r="C723" s="2"/>
      <c r="D723" s="2"/>
      <c r="E723" s="2"/>
      <c r="F723" s="2"/>
      <c r="G723" s="26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81"/>
      <c r="AC723" s="2"/>
      <c r="AD723" s="2"/>
      <c r="AE723" s="281"/>
      <c r="AF723" s="2"/>
      <c r="AG723" s="2"/>
      <c r="AH723" s="2"/>
      <c r="AI723" s="28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</row>
    <row r="724" spans="1:48" ht="14.25" customHeight="1" x14ac:dyDescent="0.25">
      <c r="A724" s="2"/>
      <c r="B724" s="2"/>
      <c r="C724" s="2"/>
      <c r="D724" s="2"/>
      <c r="E724" s="2"/>
      <c r="F724" s="2"/>
      <c r="G724" s="26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81"/>
      <c r="AC724" s="2"/>
      <c r="AD724" s="2"/>
      <c r="AE724" s="281"/>
      <c r="AF724" s="2"/>
      <c r="AG724" s="2"/>
      <c r="AH724" s="2"/>
      <c r="AI724" s="28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</row>
    <row r="725" spans="1:48" ht="14.25" customHeight="1" x14ac:dyDescent="0.25">
      <c r="A725" s="2"/>
      <c r="B725" s="2"/>
      <c r="C725" s="2"/>
      <c r="D725" s="2"/>
      <c r="E725" s="2"/>
      <c r="F725" s="2"/>
      <c r="G725" s="26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81"/>
      <c r="AC725" s="2"/>
      <c r="AD725" s="2"/>
      <c r="AE725" s="281"/>
      <c r="AF725" s="2"/>
      <c r="AG725" s="2"/>
      <c r="AH725" s="2"/>
      <c r="AI725" s="28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</row>
    <row r="726" spans="1:48" ht="14.25" customHeight="1" x14ac:dyDescent="0.25">
      <c r="A726" s="2"/>
      <c r="B726" s="2"/>
      <c r="C726" s="2"/>
      <c r="D726" s="2"/>
      <c r="E726" s="2"/>
      <c r="F726" s="2"/>
      <c r="G726" s="26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81"/>
      <c r="AC726" s="2"/>
      <c r="AD726" s="2"/>
      <c r="AE726" s="281"/>
      <c r="AF726" s="2"/>
      <c r="AG726" s="2"/>
      <c r="AH726" s="2"/>
      <c r="AI726" s="28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</row>
    <row r="727" spans="1:48" ht="14.25" customHeight="1" x14ac:dyDescent="0.25">
      <c r="A727" s="2"/>
      <c r="B727" s="2"/>
      <c r="C727" s="2"/>
      <c r="D727" s="2"/>
      <c r="E727" s="2"/>
      <c r="F727" s="2"/>
      <c r="G727" s="26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81"/>
      <c r="AC727" s="2"/>
      <c r="AD727" s="2"/>
      <c r="AE727" s="281"/>
      <c r="AF727" s="2"/>
      <c r="AG727" s="2"/>
      <c r="AH727" s="2"/>
      <c r="AI727" s="28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</row>
    <row r="728" spans="1:48" ht="14.25" customHeight="1" x14ac:dyDescent="0.25">
      <c r="A728" s="2"/>
      <c r="B728" s="2"/>
      <c r="C728" s="2"/>
      <c r="D728" s="2"/>
      <c r="E728" s="2"/>
      <c r="F728" s="2"/>
      <c r="G728" s="26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81"/>
      <c r="AC728" s="2"/>
      <c r="AD728" s="2"/>
      <c r="AE728" s="281"/>
      <c r="AF728" s="2"/>
      <c r="AG728" s="2"/>
      <c r="AH728" s="2"/>
      <c r="AI728" s="28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</row>
    <row r="729" spans="1:48" ht="14.25" customHeight="1" x14ac:dyDescent="0.25">
      <c r="A729" s="2"/>
      <c r="B729" s="2"/>
      <c r="C729" s="2"/>
      <c r="D729" s="2"/>
      <c r="E729" s="2"/>
      <c r="F729" s="2"/>
      <c r="G729" s="26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81"/>
      <c r="AC729" s="2"/>
      <c r="AD729" s="2"/>
      <c r="AE729" s="281"/>
      <c r="AF729" s="2"/>
      <c r="AG729" s="2"/>
      <c r="AH729" s="2"/>
      <c r="AI729" s="28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</row>
    <row r="730" spans="1:48" ht="14.25" customHeight="1" x14ac:dyDescent="0.25">
      <c r="A730" s="2"/>
      <c r="B730" s="2"/>
      <c r="C730" s="2"/>
      <c r="D730" s="2"/>
      <c r="E730" s="2"/>
      <c r="F730" s="2"/>
      <c r="G730" s="26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81"/>
      <c r="AC730" s="2"/>
      <c r="AD730" s="2"/>
      <c r="AE730" s="281"/>
      <c r="AF730" s="2"/>
      <c r="AG730" s="2"/>
      <c r="AH730" s="2"/>
      <c r="AI730" s="28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</row>
    <row r="731" spans="1:48" ht="14.25" customHeight="1" x14ac:dyDescent="0.25">
      <c r="A731" s="2"/>
      <c r="B731" s="2"/>
      <c r="C731" s="2"/>
      <c r="D731" s="2"/>
      <c r="E731" s="2"/>
      <c r="F731" s="2"/>
      <c r="G731" s="26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81"/>
      <c r="AC731" s="2"/>
      <c r="AD731" s="2"/>
      <c r="AE731" s="281"/>
      <c r="AF731" s="2"/>
      <c r="AG731" s="2"/>
      <c r="AH731" s="2"/>
      <c r="AI731" s="28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</row>
    <row r="732" spans="1:48" ht="14.25" customHeight="1" x14ac:dyDescent="0.25">
      <c r="A732" s="2"/>
      <c r="B732" s="2"/>
      <c r="C732" s="2"/>
      <c r="D732" s="2"/>
      <c r="E732" s="2"/>
      <c r="F732" s="2"/>
      <c r="G732" s="26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81"/>
      <c r="AC732" s="2"/>
      <c r="AD732" s="2"/>
      <c r="AE732" s="281"/>
      <c r="AF732" s="2"/>
      <c r="AG732" s="2"/>
      <c r="AH732" s="2"/>
      <c r="AI732" s="28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</row>
    <row r="733" spans="1:48" ht="14.25" customHeight="1" x14ac:dyDescent="0.25">
      <c r="A733" s="2"/>
      <c r="B733" s="2"/>
      <c r="C733" s="2"/>
      <c r="D733" s="2"/>
      <c r="E733" s="2"/>
      <c r="F733" s="2"/>
      <c r="G733" s="26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81"/>
      <c r="AC733" s="2"/>
      <c r="AD733" s="2"/>
      <c r="AE733" s="281"/>
      <c r="AF733" s="2"/>
      <c r="AG733" s="2"/>
      <c r="AH733" s="2"/>
      <c r="AI733" s="28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</row>
    <row r="734" spans="1:48" ht="14.25" customHeight="1" x14ac:dyDescent="0.25">
      <c r="A734" s="2"/>
      <c r="B734" s="2"/>
      <c r="C734" s="2"/>
      <c r="D734" s="2"/>
      <c r="E734" s="2"/>
      <c r="F734" s="2"/>
      <c r="G734" s="26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81"/>
      <c r="AC734" s="2"/>
      <c r="AD734" s="2"/>
      <c r="AE734" s="281"/>
      <c r="AF734" s="2"/>
      <c r="AG734" s="2"/>
      <c r="AH734" s="2"/>
      <c r="AI734" s="28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</row>
    <row r="735" spans="1:48" ht="14.25" customHeight="1" x14ac:dyDescent="0.25">
      <c r="A735" s="2"/>
      <c r="B735" s="2"/>
      <c r="C735" s="2"/>
      <c r="D735" s="2"/>
      <c r="E735" s="2"/>
      <c r="F735" s="2"/>
      <c r="G735" s="26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81"/>
      <c r="AC735" s="2"/>
      <c r="AD735" s="2"/>
      <c r="AE735" s="281"/>
      <c r="AF735" s="2"/>
      <c r="AG735" s="2"/>
      <c r="AH735" s="2"/>
      <c r="AI735" s="28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</row>
    <row r="736" spans="1:48" ht="14.25" customHeight="1" x14ac:dyDescent="0.25">
      <c r="A736" s="2"/>
      <c r="B736" s="2"/>
      <c r="C736" s="2"/>
      <c r="D736" s="2"/>
      <c r="E736" s="2"/>
      <c r="F736" s="2"/>
      <c r="G736" s="26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81"/>
      <c r="AC736" s="2"/>
      <c r="AD736" s="2"/>
      <c r="AE736" s="281"/>
      <c r="AF736" s="2"/>
      <c r="AG736" s="2"/>
      <c r="AH736" s="2"/>
      <c r="AI736" s="28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</row>
    <row r="737" spans="1:48" ht="14.25" customHeight="1" x14ac:dyDescent="0.25">
      <c r="A737" s="2"/>
      <c r="B737" s="2"/>
      <c r="C737" s="2"/>
      <c r="D737" s="2"/>
      <c r="E737" s="2"/>
      <c r="F737" s="2"/>
      <c r="G737" s="26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81"/>
      <c r="AC737" s="2"/>
      <c r="AD737" s="2"/>
      <c r="AE737" s="281"/>
      <c r="AF737" s="2"/>
      <c r="AG737" s="2"/>
      <c r="AH737" s="2"/>
      <c r="AI737" s="28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</row>
    <row r="738" spans="1:48" ht="14.25" customHeight="1" x14ac:dyDescent="0.25">
      <c r="A738" s="2"/>
      <c r="B738" s="2"/>
      <c r="C738" s="2"/>
      <c r="D738" s="2"/>
      <c r="E738" s="2"/>
      <c r="F738" s="2"/>
      <c r="G738" s="26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81"/>
      <c r="AC738" s="2"/>
      <c r="AD738" s="2"/>
      <c r="AE738" s="281"/>
      <c r="AF738" s="2"/>
      <c r="AG738" s="2"/>
      <c r="AH738" s="2"/>
      <c r="AI738" s="28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</row>
    <row r="739" spans="1:48" ht="14.25" customHeight="1" x14ac:dyDescent="0.25">
      <c r="A739" s="2"/>
      <c r="B739" s="2"/>
      <c r="C739" s="2"/>
      <c r="D739" s="2"/>
      <c r="E739" s="2"/>
      <c r="F739" s="2"/>
      <c r="G739" s="26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81"/>
      <c r="AC739" s="2"/>
      <c r="AD739" s="2"/>
      <c r="AE739" s="281"/>
      <c r="AF739" s="2"/>
      <c r="AG739" s="2"/>
      <c r="AH739" s="2"/>
      <c r="AI739" s="28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</row>
    <row r="740" spans="1:48" ht="14.25" customHeight="1" x14ac:dyDescent="0.25">
      <c r="A740" s="2"/>
      <c r="B740" s="2"/>
      <c r="C740" s="2"/>
      <c r="D740" s="2"/>
      <c r="E740" s="2"/>
      <c r="F740" s="2"/>
      <c r="G740" s="26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81"/>
      <c r="AC740" s="2"/>
      <c r="AD740" s="2"/>
      <c r="AE740" s="281"/>
      <c r="AF740" s="2"/>
      <c r="AG740" s="2"/>
      <c r="AH740" s="2"/>
      <c r="AI740" s="28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</row>
    <row r="741" spans="1:48" ht="14.25" customHeight="1" x14ac:dyDescent="0.25">
      <c r="A741" s="2"/>
      <c r="B741" s="2"/>
      <c r="C741" s="2"/>
      <c r="D741" s="2"/>
      <c r="E741" s="2"/>
      <c r="F741" s="2"/>
      <c r="G741" s="26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81"/>
      <c r="AC741" s="2"/>
      <c r="AD741" s="2"/>
      <c r="AE741" s="281"/>
      <c r="AF741" s="2"/>
      <c r="AG741" s="2"/>
      <c r="AH741" s="2"/>
      <c r="AI741" s="28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</row>
    <row r="742" spans="1:48" ht="14.25" customHeight="1" x14ac:dyDescent="0.25">
      <c r="A742" s="2"/>
      <c r="B742" s="2"/>
      <c r="C742" s="2"/>
      <c r="D742" s="2"/>
      <c r="E742" s="2"/>
      <c r="F742" s="2"/>
      <c r="G742" s="26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81"/>
      <c r="AC742" s="2"/>
      <c r="AD742" s="2"/>
      <c r="AE742" s="281"/>
      <c r="AF742" s="2"/>
      <c r="AG742" s="2"/>
      <c r="AH742" s="2"/>
      <c r="AI742" s="28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</row>
    <row r="743" spans="1:48" ht="14.25" customHeight="1" x14ac:dyDescent="0.25">
      <c r="A743" s="2"/>
      <c r="B743" s="2"/>
      <c r="C743" s="2"/>
      <c r="D743" s="2"/>
      <c r="E743" s="2"/>
      <c r="F743" s="2"/>
      <c r="G743" s="26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81"/>
      <c r="AC743" s="2"/>
      <c r="AD743" s="2"/>
      <c r="AE743" s="281"/>
      <c r="AF743" s="2"/>
      <c r="AG743" s="2"/>
      <c r="AH743" s="2"/>
      <c r="AI743" s="28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</row>
    <row r="744" spans="1:48" ht="14.25" customHeight="1" x14ac:dyDescent="0.25">
      <c r="A744" s="2"/>
      <c r="B744" s="2"/>
      <c r="C744" s="2"/>
      <c r="D744" s="2"/>
      <c r="E744" s="2"/>
      <c r="F744" s="2"/>
      <c r="G744" s="26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81"/>
      <c r="AC744" s="2"/>
      <c r="AD744" s="2"/>
      <c r="AE744" s="281"/>
      <c r="AF744" s="2"/>
      <c r="AG744" s="2"/>
      <c r="AH744" s="2"/>
      <c r="AI744" s="28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</row>
    <row r="745" spans="1:48" ht="14.25" customHeight="1" x14ac:dyDescent="0.25">
      <c r="A745" s="2"/>
      <c r="B745" s="2"/>
      <c r="C745" s="2"/>
      <c r="D745" s="2"/>
      <c r="E745" s="2"/>
      <c r="F745" s="2"/>
      <c r="G745" s="26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81"/>
      <c r="AC745" s="2"/>
      <c r="AD745" s="2"/>
      <c r="AE745" s="281"/>
      <c r="AF745" s="2"/>
      <c r="AG745" s="2"/>
      <c r="AH745" s="2"/>
      <c r="AI745" s="28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</row>
    <row r="746" spans="1:48" ht="14.25" customHeight="1" x14ac:dyDescent="0.25">
      <c r="A746" s="2"/>
      <c r="B746" s="2"/>
      <c r="C746" s="2"/>
      <c r="D746" s="2"/>
      <c r="E746" s="2"/>
      <c r="F746" s="2"/>
      <c r="G746" s="26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81"/>
      <c r="AC746" s="2"/>
      <c r="AD746" s="2"/>
      <c r="AE746" s="281"/>
      <c r="AF746" s="2"/>
      <c r="AG746" s="2"/>
      <c r="AH746" s="2"/>
      <c r="AI746" s="28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</row>
    <row r="747" spans="1:48" ht="14.25" customHeight="1" x14ac:dyDescent="0.25">
      <c r="A747" s="2"/>
      <c r="B747" s="2"/>
      <c r="C747" s="2"/>
      <c r="D747" s="2"/>
      <c r="E747" s="2"/>
      <c r="F747" s="2"/>
      <c r="G747" s="26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81"/>
      <c r="AC747" s="2"/>
      <c r="AD747" s="2"/>
      <c r="AE747" s="281"/>
      <c r="AF747" s="2"/>
      <c r="AG747" s="2"/>
      <c r="AH747" s="2"/>
      <c r="AI747" s="28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</row>
    <row r="748" spans="1:48" ht="14.25" customHeight="1" x14ac:dyDescent="0.25">
      <c r="A748" s="2"/>
      <c r="B748" s="2"/>
      <c r="C748" s="2"/>
      <c r="D748" s="2"/>
      <c r="E748" s="2"/>
      <c r="F748" s="2"/>
      <c r="G748" s="26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81"/>
      <c r="AC748" s="2"/>
      <c r="AD748" s="2"/>
      <c r="AE748" s="281"/>
      <c r="AF748" s="2"/>
      <c r="AG748" s="2"/>
      <c r="AH748" s="2"/>
      <c r="AI748" s="28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</row>
    <row r="749" spans="1:48" ht="14.25" customHeight="1" x14ac:dyDescent="0.25">
      <c r="A749" s="2"/>
      <c r="B749" s="2"/>
      <c r="C749" s="2"/>
      <c r="D749" s="2"/>
      <c r="E749" s="2"/>
      <c r="F749" s="2"/>
      <c r="G749" s="26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81"/>
      <c r="AC749" s="2"/>
      <c r="AD749" s="2"/>
      <c r="AE749" s="281"/>
      <c r="AF749" s="2"/>
      <c r="AG749" s="2"/>
      <c r="AH749" s="2"/>
      <c r="AI749" s="28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</row>
    <row r="750" spans="1:48" ht="14.25" customHeight="1" x14ac:dyDescent="0.25">
      <c r="A750" s="2"/>
      <c r="B750" s="2"/>
      <c r="C750" s="2"/>
      <c r="D750" s="2"/>
      <c r="E750" s="2"/>
      <c r="F750" s="2"/>
      <c r="G750" s="26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81"/>
      <c r="AC750" s="2"/>
      <c r="AD750" s="2"/>
      <c r="AE750" s="281"/>
      <c r="AF750" s="2"/>
      <c r="AG750" s="2"/>
      <c r="AH750" s="2"/>
      <c r="AI750" s="28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</row>
    <row r="751" spans="1:48" ht="14.25" customHeight="1" x14ac:dyDescent="0.25">
      <c r="A751" s="2"/>
      <c r="B751" s="2"/>
      <c r="C751" s="2"/>
      <c r="D751" s="2"/>
      <c r="E751" s="2"/>
      <c r="F751" s="2"/>
      <c r="G751" s="26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81"/>
      <c r="AC751" s="2"/>
      <c r="AD751" s="2"/>
      <c r="AE751" s="281"/>
      <c r="AF751" s="2"/>
      <c r="AG751" s="2"/>
      <c r="AH751" s="2"/>
      <c r="AI751" s="28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</row>
    <row r="752" spans="1:48" ht="14.25" customHeight="1" x14ac:dyDescent="0.25">
      <c r="A752" s="2"/>
      <c r="B752" s="2"/>
      <c r="C752" s="2"/>
      <c r="D752" s="2"/>
      <c r="E752" s="2"/>
      <c r="F752" s="2"/>
      <c r="G752" s="26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81"/>
      <c r="AC752" s="2"/>
      <c r="AD752" s="2"/>
      <c r="AE752" s="281"/>
      <c r="AF752" s="2"/>
      <c r="AG752" s="2"/>
      <c r="AH752" s="2"/>
      <c r="AI752" s="28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</row>
    <row r="753" spans="1:48" ht="14.25" customHeight="1" x14ac:dyDescent="0.25">
      <c r="A753" s="2"/>
      <c r="B753" s="2"/>
      <c r="C753" s="2"/>
      <c r="D753" s="2"/>
      <c r="E753" s="2"/>
      <c r="F753" s="2"/>
      <c r="G753" s="26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81"/>
      <c r="AC753" s="2"/>
      <c r="AD753" s="2"/>
      <c r="AE753" s="281"/>
      <c r="AF753" s="2"/>
      <c r="AG753" s="2"/>
      <c r="AH753" s="2"/>
      <c r="AI753" s="28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</row>
    <row r="754" spans="1:48" ht="14.25" customHeight="1" x14ac:dyDescent="0.25">
      <c r="A754" s="2"/>
      <c r="B754" s="2"/>
      <c r="C754" s="2"/>
      <c r="D754" s="2"/>
      <c r="E754" s="2"/>
      <c r="F754" s="2"/>
      <c r="G754" s="26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81"/>
      <c r="AC754" s="2"/>
      <c r="AD754" s="2"/>
      <c r="AE754" s="281"/>
      <c r="AF754" s="2"/>
      <c r="AG754" s="2"/>
      <c r="AH754" s="2"/>
      <c r="AI754" s="28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</row>
    <row r="755" spans="1:48" ht="14.25" customHeight="1" x14ac:dyDescent="0.25">
      <c r="A755" s="2"/>
      <c r="B755" s="2"/>
      <c r="C755" s="2"/>
      <c r="D755" s="2"/>
      <c r="E755" s="2"/>
      <c r="F755" s="2"/>
      <c r="G755" s="26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81"/>
      <c r="AC755" s="2"/>
      <c r="AD755" s="2"/>
      <c r="AE755" s="281"/>
      <c r="AF755" s="2"/>
      <c r="AG755" s="2"/>
      <c r="AH755" s="2"/>
      <c r="AI755" s="28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</row>
    <row r="756" spans="1:48" ht="14.25" customHeight="1" x14ac:dyDescent="0.25">
      <c r="A756" s="2"/>
      <c r="B756" s="2"/>
      <c r="C756" s="2"/>
      <c r="D756" s="2"/>
      <c r="E756" s="2"/>
      <c r="F756" s="2"/>
      <c r="G756" s="26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81"/>
      <c r="AC756" s="2"/>
      <c r="AD756" s="2"/>
      <c r="AE756" s="281"/>
      <c r="AF756" s="2"/>
      <c r="AG756" s="2"/>
      <c r="AH756" s="2"/>
      <c r="AI756" s="28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</row>
    <row r="757" spans="1:48" ht="14.25" customHeight="1" x14ac:dyDescent="0.25">
      <c r="A757" s="2"/>
      <c r="B757" s="2"/>
      <c r="C757" s="2"/>
      <c r="D757" s="2"/>
      <c r="E757" s="2"/>
      <c r="F757" s="2"/>
      <c r="G757" s="26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81"/>
      <c r="AC757" s="2"/>
      <c r="AD757" s="2"/>
      <c r="AE757" s="281"/>
      <c r="AF757" s="2"/>
      <c r="AG757" s="2"/>
      <c r="AH757" s="2"/>
      <c r="AI757" s="28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</row>
    <row r="758" spans="1:48" ht="14.25" customHeight="1" x14ac:dyDescent="0.25">
      <c r="A758" s="2"/>
      <c r="B758" s="2"/>
      <c r="C758" s="2"/>
      <c r="D758" s="2"/>
      <c r="E758" s="2"/>
      <c r="F758" s="2"/>
      <c r="G758" s="26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81"/>
      <c r="AC758" s="2"/>
      <c r="AD758" s="2"/>
      <c r="AE758" s="281"/>
      <c r="AF758" s="2"/>
      <c r="AG758" s="2"/>
      <c r="AH758" s="2"/>
      <c r="AI758" s="28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</row>
    <row r="759" spans="1:48" ht="14.25" customHeight="1" x14ac:dyDescent="0.25">
      <c r="A759" s="2"/>
      <c r="B759" s="2"/>
      <c r="C759" s="2"/>
      <c r="D759" s="2"/>
      <c r="E759" s="2"/>
      <c r="F759" s="2"/>
      <c r="G759" s="26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81"/>
      <c r="AC759" s="2"/>
      <c r="AD759" s="2"/>
      <c r="AE759" s="281"/>
      <c r="AF759" s="2"/>
      <c r="AG759" s="2"/>
      <c r="AH759" s="2"/>
      <c r="AI759" s="28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</row>
    <row r="760" spans="1:48" ht="14.25" customHeight="1" x14ac:dyDescent="0.25">
      <c r="A760" s="2"/>
      <c r="B760" s="2"/>
      <c r="C760" s="2"/>
      <c r="D760" s="2"/>
      <c r="E760" s="2"/>
      <c r="F760" s="2"/>
      <c r="G760" s="26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81"/>
      <c r="AC760" s="2"/>
      <c r="AD760" s="2"/>
      <c r="AE760" s="281"/>
      <c r="AF760" s="2"/>
      <c r="AG760" s="2"/>
      <c r="AH760" s="2"/>
      <c r="AI760" s="28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</row>
    <row r="761" spans="1:48" ht="14.25" customHeight="1" x14ac:dyDescent="0.25">
      <c r="A761" s="2"/>
      <c r="B761" s="2"/>
      <c r="C761" s="2"/>
      <c r="D761" s="2"/>
      <c r="E761" s="2"/>
      <c r="F761" s="2"/>
      <c r="G761" s="26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81"/>
      <c r="AC761" s="2"/>
      <c r="AD761" s="2"/>
      <c r="AE761" s="281"/>
      <c r="AF761" s="2"/>
      <c r="AG761" s="2"/>
      <c r="AH761" s="2"/>
      <c r="AI761" s="28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</row>
    <row r="762" spans="1:48" ht="14.25" customHeight="1" x14ac:dyDescent="0.25">
      <c r="A762" s="2"/>
      <c r="B762" s="2"/>
      <c r="C762" s="2"/>
      <c r="D762" s="2"/>
      <c r="E762" s="2"/>
      <c r="F762" s="2"/>
      <c r="G762" s="26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81"/>
      <c r="AC762" s="2"/>
      <c r="AD762" s="2"/>
      <c r="AE762" s="281"/>
      <c r="AF762" s="2"/>
      <c r="AG762" s="2"/>
      <c r="AH762" s="2"/>
      <c r="AI762" s="28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</row>
    <row r="763" spans="1:48" ht="14.25" customHeight="1" x14ac:dyDescent="0.25">
      <c r="A763" s="2"/>
      <c r="B763" s="2"/>
      <c r="C763" s="2"/>
      <c r="D763" s="2"/>
      <c r="E763" s="2"/>
      <c r="F763" s="2"/>
      <c r="G763" s="26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81"/>
      <c r="AC763" s="2"/>
      <c r="AD763" s="2"/>
      <c r="AE763" s="281"/>
      <c r="AF763" s="2"/>
      <c r="AG763" s="2"/>
      <c r="AH763" s="2"/>
      <c r="AI763" s="28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</row>
    <row r="764" spans="1:48" ht="14.25" customHeight="1" x14ac:dyDescent="0.25">
      <c r="A764" s="2"/>
      <c r="B764" s="2"/>
      <c r="C764" s="2"/>
      <c r="D764" s="2"/>
      <c r="E764" s="2"/>
      <c r="F764" s="2"/>
      <c r="G764" s="26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81"/>
      <c r="AC764" s="2"/>
      <c r="AD764" s="2"/>
      <c r="AE764" s="281"/>
      <c r="AF764" s="2"/>
      <c r="AG764" s="2"/>
      <c r="AH764" s="2"/>
      <c r="AI764" s="28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</row>
    <row r="765" spans="1:48" ht="14.25" customHeight="1" x14ac:dyDescent="0.25">
      <c r="A765" s="2"/>
      <c r="B765" s="2"/>
      <c r="C765" s="2"/>
      <c r="D765" s="2"/>
      <c r="E765" s="2"/>
      <c r="F765" s="2"/>
      <c r="G765" s="26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81"/>
      <c r="AC765" s="2"/>
      <c r="AD765" s="2"/>
      <c r="AE765" s="281"/>
      <c r="AF765" s="2"/>
      <c r="AG765" s="2"/>
      <c r="AH765" s="2"/>
      <c r="AI765" s="28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</row>
    <row r="766" spans="1:48" ht="14.25" customHeight="1" x14ac:dyDescent="0.25">
      <c r="A766" s="2"/>
      <c r="B766" s="2"/>
      <c r="C766" s="2"/>
      <c r="D766" s="2"/>
      <c r="E766" s="2"/>
      <c r="F766" s="2"/>
      <c r="G766" s="26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81"/>
      <c r="AC766" s="2"/>
      <c r="AD766" s="2"/>
      <c r="AE766" s="281"/>
      <c r="AF766" s="2"/>
      <c r="AG766" s="2"/>
      <c r="AH766" s="2"/>
      <c r="AI766" s="28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</row>
    <row r="767" spans="1:48" ht="14.25" customHeight="1" x14ac:dyDescent="0.25">
      <c r="A767" s="2"/>
      <c r="B767" s="2"/>
      <c r="C767" s="2"/>
      <c r="D767" s="2"/>
      <c r="E767" s="2"/>
      <c r="F767" s="2"/>
      <c r="G767" s="26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81"/>
      <c r="AC767" s="2"/>
      <c r="AD767" s="2"/>
      <c r="AE767" s="281"/>
      <c r="AF767" s="2"/>
      <c r="AG767" s="2"/>
      <c r="AH767" s="2"/>
      <c r="AI767" s="28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</row>
    <row r="768" spans="1:48" ht="14.25" customHeight="1" x14ac:dyDescent="0.25">
      <c r="A768" s="2"/>
      <c r="B768" s="2"/>
      <c r="C768" s="2"/>
      <c r="D768" s="2"/>
      <c r="E768" s="2"/>
      <c r="F768" s="2"/>
      <c r="G768" s="26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81"/>
      <c r="AC768" s="2"/>
      <c r="AD768" s="2"/>
      <c r="AE768" s="281"/>
      <c r="AF768" s="2"/>
      <c r="AG768" s="2"/>
      <c r="AH768" s="2"/>
      <c r="AI768" s="28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</row>
    <row r="769" spans="1:48" ht="14.25" customHeight="1" x14ac:dyDescent="0.25">
      <c r="A769" s="2"/>
      <c r="B769" s="2"/>
      <c r="C769" s="2"/>
      <c r="D769" s="2"/>
      <c r="E769" s="2"/>
      <c r="F769" s="2"/>
      <c r="G769" s="26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81"/>
      <c r="AC769" s="2"/>
      <c r="AD769" s="2"/>
      <c r="AE769" s="281"/>
      <c r="AF769" s="2"/>
      <c r="AG769" s="2"/>
      <c r="AH769" s="2"/>
      <c r="AI769" s="28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</row>
    <row r="770" spans="1:48" ht="14.25" customHeight="1" x14ac:dyDescent="0.25">
      <c r="A770" s="2"/>
      <c r="B770" s="2"/>
      <c r="C770" s="2"/>
      <c r="D770" s="2"/>
      <c r="E770" s="2"/>
      <c r="F770" s="2"/>
      <c r="G770" s="26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81"/>
      <c r="AC770" s="2"/>
      <c r="AD770" s="2"/>
      <c r="AE770" s="281"/>
      <c r="AF770" s="2"/>
      <c r="AG770" s="2"/>
      <c r="AH770" s="2"/>
      <c r="AI770" s="28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</row>
    <row r="771" spans="1:48" ht="14.25" customHeight="1" x14ac:dyDescent="0.25">
      <c r="A771" s="2"/>
      <c r="B771" s="2"/>
      <c r="C771" s="2"/>
      <c r="D771" s="2"/>
      <c r="E771" s="2"/>
      <c r="F771" s="2"/>
      <c r="G771" s="26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81"/>
      <c r="AC771" s="2"/>
      <c r="AD771" s="2"/>
      <c r="AE771" s="281"/>
      <c r="AF771" s="2"/>
      <c r="AG771" s="2"/>
      <c r="AH771" s="2"/>
      <c r="AI771" s="28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</row>
    <row r="772" spans="1:48" ht="14.25" customHeight="1" x14ac:dyDescent="0.25">
      <c r="A772" s="2"/>
      <c r="B772" s="2"/>
      <c r="C772" s="2"/>
      <c r="D772" s="2"/>
      <c r="E772" s="2"/>
      <c r="F772" s="2"/>
      <c r="G772" s="26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81"/>
      <c r="AC772" s="2"/>
      <c r="AD772" s="2"/>
      <c r="AE772" s="281"/>
      <c r="AF772" s="2"/>
      <c r="AG772" s="2"/>
      <c r="AH772" s="2"/>
      <c r="AI772" s="28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</row>
    <row r="773" spans="1:48" ht="14.25" customHeight="1" x14ac:dyDescent="0.25">
      <c r="A773" s="2"/>
      <c r="B773" s="2"/>
      <c r="C773" s="2"/>
      <c r="D773" s="2"/>
      <c r="E773" s="2"/>
      <c r="F773" s="2"/>
      <c r="G773" s="26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81"/>
      <c r="AC773" s="2"/>
      <c r="AD773" s="2"/>
      <c r="AE773" s="281"/>
      <c r="AF773" s="2"/>
      <c r="AG773" s="2"/>
      <c r="AH773" s="2"/>
      <c r="AI773" s="28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</row>
    <row r="774" spans="1:48" ht="14.25" customHeight="1" x14ac:dyDescent="0.25">
      <c r="A774" s="2"/>
      <c r="B774" s="2"/>
      <c r="C774" s="2"/>
      <c r="D774" s="2"/>
      <c r="E774" s="2"/>
      <c r="F774" s="2"/>
      <c r="G774" s="26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81"/>
      <c r="AC774" s="2"/>
      <c r="AD774" s="2"/>
      <c r="AE774" s="281"/>
      <c r="AF774" s="2"/>
      <c r="AG774" s="2"/>
      <c r="AH774" s="2"/>
      <c r="AI774" s="28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</row>
    <row r="775" spans="1:48" ht="14.25" customHeight="1" x14ac:dyDescent="0.25">
      <c r="A775" s="2"/>
      <c r="B775" s="2"/>
      <c r="C775" s="2"/>
      <c r="D775" s="2"/>
      <c r="E775" s="2"/>
      <c r="F775" s="2"/>
      <c r="G775" s="26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81"/>
      <c r="AC775" s="2"/>
      <c r="AD775" s="2"/>
      <c r="AE775" s="281"/>
      <c r="AF775" s="2"/>
      <c r="AG775" s="2"/>
      <c r="AH775" s="2"/>
      <c r="AI775" s="28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</row>
    <row r="776" spans="1:48" ht="14.25" customHeight="1" x14ac:dyDescent="0.25">
      <c r="A776" s="2"/>
      <c r="B776" s="2"/>
      <c r="C776" s="2"/>
      <c r="D776" s="2"/>
      <c r="E776" s="2"/>
      <c r="F776" s="2"/>
      <c r="G776" s="26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81"/>
      <c r="AC776" s="2"/>
      <c r="AD776" s="2"/>
      <c r="AE776" s="281"/>
      <c r="AF776" s="2"/>
      <c r="AG776" s="2"/>
      <c r="AH776" s="2"/>
      <c r="AI776" s="28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</row>
    <row r="777" spans="1:48" ht="14.25" customHeight="1" x14ac:dyDescent="0.25">
      <c r="A777" s="2"/>
      <c r="B777" s="2"/>
      <c r="C777" s="2"/>
      <c r="D777" s="2"/>
      <c r="E777" s="2"/>
      <c r="F777" s="2"/>
      <c r="G777" s="26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81"/>
      <c r="AC777" s="2"/>
      <c r="AD777" s="2"/>
      <c r="AE777" s="281"/>
      <c r="AF777" s="2"/>
      <c r="AG777" s="2"/>
      <c r="AH777" s="2"/>
      <c r="AI777" s="28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</row>
    <row r="778" spans="1:48" ht="14.25" customHeight="1" x14ac:dyDescent="0.25">
      <c r="A778" s="2"/>
      <c r="B778" s="2"/>
      <c r="C778" s="2"/>
      <c r="D778" s="2"/>
      <c r="E778" s="2"/>
      <c r="F778" s="2"/>
      <c r="G778" s="26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81"/>
      <c r="AC778" s="2"/>
      <c r="AD778" s="2"/>
      <c r="AE778" s="281"/>
      <c r="AF778" s="2"/>
      <c r="AG778" s="2"/>
      <c r="AH778" s="2"/>
      <c r="AI778" s="28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</row>
    <row r="779" spans="1:48" ht="14.25" customHeight="1" x14ac:dyDescent="0.25">
      <c r="A779" s="2"/>
      <c r="B779" s="2"/>
      <c r="C779" s="2"/>
      <c r="D779" s="2"/>
      <c r="E779" s="2"/>
      <c r="F779" s="2"/>
      <c r="G779" s="26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81"/>
      <c r="AC779" s="2"/>
      <c r="AD779" s="2"/>
      <c r="AE779" s="281"/>
      <c r="AF779" s="2"/>
      <c r="AG779" s="2"/>
      <c r="AH779" s="2"/>
      <c r="AI779" s="28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</row>
    <row r="780" spans="1:48" ht="14.25" customHeight="1" x14ac:dyDescent="0.25">
      <c r="A780" s="2"/>
      <c r="B780" s="2"/>
      <c r="C780" s="2"/>
      <c r="D780" s="2"/>
      <c r="E780" s="2"/>
      <c r="F780" s="2"/>
      <c r="G780" s="26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81"/>
      <c r="AC780" s="2"/>
      <c r="AD780" s="2"/>
      <c r="AE780" s="281"/>
      <c r="AF780" s="2"/>
      <c r="AG780" s="2"/>
      <c r="AH780" s="2"/>
      <c r="AI780" s="28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</row>
    <row r="781" spans="1:48" ht="14.25" customHeight="1" x14ac:dyDescent="0.25">
      <c r="A781" s="2"/>
      <c r="B781" s="2"/>
      <c r="C781" s="2"/>
      <c r="D781" s="2"/>
      <c r="E781" s="2"/>
      <c r="F781" s="2"/>
      <c r="G781" s="26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81"/>
      <c r="AC781" s="2"/>
      <c r="AD781" s="2"/>
      <c r="AE781" s="281"/>
      <c r="AF781" s="2"/>
      <c r="AG781" s="2"/>
      <c r="AH781" s="2"/>
      <c r="AI781" s="28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</row>
    <row r="782" spans="1:48" ht="14.25" customHeight="1" x14ac:dyDescent="0.25">
      <c r="A782" s="2"/>
      <c r="B782" s="2"/>
      <c r="C782" s="2"/>
      <c r="D782" s="2"/>
      <c r="E782" s="2"/>
      <c r="F782" s="2"/>
      <c r="G782" s="26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81"/>
      <c r="AC782" s="2"/>
      <c r="AD782" s="2"/>
      <c r="AE782" s="281"/>
      <c r="AF782" s="2"/>
      <c r="AG782" s="2"/>
      <c r="AH782" s="2"/>
      <c r="AI782" s="28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</row>
    <row r="783" spans="1:48" ht="14.25" customHeight="1" x14ac:dyDescent="0.25">
      <c r="A783" s="2"/>
      <c r="B783" s="2"/>
      <c r="C783" s="2"/>
      <c r="D783" s="2"/>
      <c r="E783" s="2"/>
      <c r="F783" s="2"/>
      <c r="G783" s="26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81"/>
      <c r="AC783" s="2"/>
      <c r="AD783" s="2"/>
      <c r="AE783" s="281"/>
      <c r="AF783" s="2"/>
      <c r="AG783" s="2"/>
      <c r="AH783" s="2"/>
      <c r="AI783" s="28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</row>
    <row r="784" spans="1:48" ht="14.25" customHeight="1" x14ac:dyDescent="0.25">
      <c r="A784" s="2"/>
      <c r="B784" s="2"/>
      <c r="C784" s="2"/>
      <c r="D784" s="2"/>
      <c r="E784" s="2"/>
      <c r="F784" s="2"/>
      <c r="G784" s="26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81"/>
      <c r="AC784" s="2"/>
      <c r="AD784" s="2"/>
      <c r="AE784" s="281"/>
      <c r="AF784" s="2"/>
      <c r="AG784" s="2"/>
      <c r="AH784" s="2"/>
      <c r="AI784" s="28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</row>
    <row r="785" spans="1:48" ht="14.25" customHeight="1" x14ac:dyDescent="0.25">
      <c r="A785" s="2"/>
      <c r="B785" s="2"/>
      <c r="C785" s="2"/>
      <c r="D785" s="2"/>
      <c r="E785" s="2"/>
      <c r="F785" s="2"/>
      <c r="G785" s="26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81"/>
      <c r="AC785" s="2"/>
      <c r="AD785" s="2"/>
      <c r="AE785" s="281"/>
      <c r="AF785" s="2"/>
      <c r="AG785" s="2"/>
      <c r="AH785" s="2"/>
      <c r="AI785" s="28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</row>
    <row r="786" spans="1:48" ht="14.25" customHeight="1" x14ac:dyDescent="0.25">
      <c r="A786" s="2"/>
      <c r="B786" s="2"/>
      <c r="C786" s="2"/>
      <c r="D786" s="2"/>
      <c r="E786" s="2"/>
      <c r="F786" s="2"/>
      <c r="G786" s="26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81"/>
      <c r="AC786" s="2"/>
      <c r="AD786" s="2"/>
      <c r="AE786" s="281"/>
      <c r="AF786" s="2"/>
      <c r="AG786" s="2"/>
      <c r="AH786" s="2"/>
      <c r="AI786" s="28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</row>
    <row r="787" spans="1:48" ht="14.25" customHeight="1" x14ac:dyDescent="0.25">
      <c r="A787" s="2"/>
      <c r="B787" s="2"/>
      <c r="C787" s="2"/>
      <c r="D787" s="2"/>
      <c r="E787" s="2"/>
      <c r="F787" s="2"/>
      <c r="G787" s="26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81"/>
      <c r="AC787" s="2"/>
      <c r="AD787" s="2"/>
      <c r="AE787" s="281"/>
      <c r="AF787" s="2"/>
      <c r="AG787" s="2"/>
      <c r="AH787" s="2"/>
      <c r="AI787" s="28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</row>
    <row r="788" spans="1:48" ht="14.25" customHeight="1" x14ac:dyDescent="0.25">
      <c r="A788" s="2"/>
      <c r="B788" s="2"/>
      <c r="C788" s="2"/>
      <c r="D788" s="2"/>
      <c r="E788" s="2"/>
      <c r="F788" s="2"/>
      <c r="G788" s="26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81"/>
      <c r="AC788" s="2"/>
      <c r="AD788" s="2"/>
      <c r="AE788" s="281"/>
      <c r="AF788" s="2"/>
      <c r="AG788" s="2"/>
      <c r="AH788" s="2"/>
      <c r="AI788" s="28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</row>
    <row r="789" spans="1:48" ht="14.25" customHeight="1" x14ac:dyDescent="0.25">
      <c r="A789" s="2"/>
      <c r="B789" s="2"/>
      <c r="C789" s="2"/>
      <c r="D789" s="2"/>
      <c r="E789" s="2"/>
      <c r="F789" s="2"/>
      <c r="G789" s="26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81"/>
      <c r="AC789" s="2"/>
      <c r="AD789" s="2"/>
      <c r="AE789" s="281"/>
      <c r="AF789" s="2"/>
      <c r="AG789" s="2"/>
      <c r="AH789" s="2"/>
      <c r="AI789" s="28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</row>
    <row r="790" spans="1:48" ht="14.25" customHeight="1" x14ac:dyDescent="0.25">
      <c r="A790" s="2"/>
      <c r="B790" s="2"/>
      <c r="C790" s="2"/>
      <c r="D790" s="2"/>
      <c r="E790" s="2"/>
      <c r="F790" s="2"/>
      <c r="G790" s="26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81"/>
      <c r="AC790" s="2"/>
      <c r="AD790" s="2"/>
      <c r="AE790" s="281"/>
      <c r="AF790" s="2"/>
      <c r="AG790" s="2"/>
      <c r="AH790" s="2"/>
      <c r="AI790" s="28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</row>
    <row r="791" spans="1:48" ht="14.25" customHeight="1" x14ac:dyDescent="0.25">
      <c r="A791" s="2"/>
      <c r="B791" s="2"/>
      <c r="C791" s="2"/>
      <c r="D791" s="2"/>
      <c r="E791" s="2"/>
      <c r="F791" s="2"/>
      <c r="G791" s="26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81"/>
      <c r="AC791" s="2"/>
      <c r="AD791" s="2"/>
      <c r="AE791" s="281"/>
      <c r="AF791" s="2"/>
      <c r="AG791" s="2"/>
      <c r="AH791" s="2"/>
      <c r="AI791" s="28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</row>
    <row r="792" spans="1:48" ht="14.25" customHeight="1" x14ac:dyDescent="0.25">
      <c r="A792" s="2"/>
      <c r="B792" s="2"/>
      <c r="C792" s="2"/>
      <c r="D792" s="2"/>
      <c r="E792" s="2"/>
      <c r="F792" s="2"/>
      <c r="G792" s="26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81"/>
      <c r="AC792" s="2"/>
      <c r="AD792" s="2"/>
      <c r="AE792" s="281"/>
      <c r="AF792" s="2"/>
      <c r="AG792" s="2"/>
      <c r="AH792" s="2"/>
      <c r="AI792" s="28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</row>
    <row r="793" spans="1:48" ht="14.25" customHeight="1" x14ac:dyDescent="0.25">
      <c r="A793" s="2"/>
      <c r="B793" s="2"/>
      <c r="C793" s="2"/>
      <c r="D793" s="2"/>
      <c r="E793" s="2"/>
      <c r="F793" s="2"/>
      <c r="G793" s="26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81"/>
      <c r="AC793" s="2"/>
      <c r="AD793" s="2"/>
      <c r="AE793" s="281"/>
      <c r="AF793" s="2"/>
      <c r="AG793" s="2"/>
      <c r="AH793" s="2"/>
      <c r="AI793" s="28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</row>
    <row r="794" spans="1:48" ht="14.25" customHeight="1" x14ac:dyDescent="0.25">
      <c r="A794" s="2"/>
      <c r="B794" s="2"/>
      <c r="C794" s="2"/>
      <c r="D794" s="2"/>
      <c r="E794" s="2"/>
      <c r="F794" s="2"/>
      <c r="G794" s="26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81"/>
      <c r="AC794" s="2"/>
      <c r="AD794" s="2"/>
      <c r="AE794" s="281"/>
      <c r="AF794" s="2"/>
      <c r="AG794" s="2"/>
      <c r="AH794" s="2"/>
      <c r="AI794" s="28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</row>
    <row r="795" spans="1:48" ht="14.25" customHeight="1" x14ac:dyDescent="0.25">
      <c r="A795" s="2"/>
      <c r="B795" s="2"/>
      <c r="C795" s="2"/>
      <c r="D795" s="2"/>
      <c r="E795" s="2"/>
      <c r="F795" s="2"/>
      <c r="G795" s="26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81"/>
      <c r="AC795" s="2"/>
      <c r="AD795" s="2"/>
      <c r="AE795" s="281"/>
      <c r="AF795" s="2"/>
      <c r="AG795" s="2"/>
      <c r="AH795" s="2"/>
      <c r="AI795" s="28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</row>
    <row r="796" spans="1:48" ht="14.25" customHeight="1" x14ac:dyDescent="0.25">
      <c r="A796" s="2"/>
      <c r="B796" s="2"/>
      <c r="C796" s="2"/>
      <c r="D796" s="2"/>
      <c r="E796" s="2"/>
      <c r="F796" s="2"/>
      <c r="G796" s="26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81"/>
      <c r="AC796" s="2"/>
      <c r="AD796" s="2"/>
      <c r="AE796" s="281"/>
      <c r="AF796" s="2"/>
      <c r="AG796" s="2"/>
      <c r="AH796" s="2"/>
      <c r="AI796" s="28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</row>
    <row r="797" spans="1:48" ht="14.25" customHeight="1" x14ac:dyDescent="0.25">
      <c r="A797" s="2"/>
      <c r="B797" s="2"/>
      <c r="C797" s="2"/>
      <c r="D797" s="2"/>
      <c r="E797" s="2"/>
      <c r="F797" s="2"/>
      <c r="G797" s="26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81"/>
      <c r="AC797" s="2"/>
      <c r="AD797" s="2"/>
      <c r="AE797" s="281"/>
      <c r="AF797" s="2"/>
      <c r="AG797" s="2"/>
      <c r="AH797" s="2"/>
      <c r="AI797" s="28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</row>
    <row r="798" spans="1:48" ht="14.25" customHeight="1" x14ac:dyDescent="0.25">
      <c r="A798" s="2"/>
      <c r="B798" s="2"/>
      <c r="C798" s="2"/>
      <c r="D798" s="2"/>
      <c r="E798" s="2"/>
      <c r="F798" s="2"/>
      <c r="G798" s="26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81"/>
      <c r="AC798" s="2"/>
      <c r="AD798" s="2"/>
      <c r="AE798" s="281"/>
      <c r="AF798" s="2"/>
      <c r="AG798" s="2"/>
      <c r="AH798" s="2"/>
      <c r="AI798" s="28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</row>
    <row r="799" spans="1:48" ht="14.25" customHeight="1" x14ac:dyDescent="0.25">
      <c r="A799" s="2"/>
      <c r="B799" s="2"/>
      <c r="C799" s="2"/>
      <c r="D799" s="2"/>
      <c r="E799" s="2"/>
      <c r="F799" s="2"/>
      <c r="G799" s="26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81"/>
      <c r="AC799" s="2"/>
      <c r="AD799" s="2"/>
      <c r="AE799" s="281"/>
      <c r="AF799" s="2"/>
      <c r="AG799" s="2"/>
      <c r="AH799" s="2"/>
      <c r="AI799" s="28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</row>
    <row r="800" spans="1:48" ht="14.25" customHeight="1" x14ac:dyDescent="0.25">
      <c r="A800" s="2"/>
      <c r="B800" s="2"/>
      <c r="C800" s="2"/>
      <c r="D800" s="2"/>
      <c r="E800" s="2"/>
      <c r="F800" s="2"/>
      <c r="G800" s="26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81"/>
      <c r="AC800" s="2"/>
      <c r="AD800" s="2"/>
      <c r="AE800" s="281"/>
      <c r="AF800" s="2"/>
      <c r="AG800" s="2"/>
      <c r="AH800" s="2"/>
      <c r="AI800" s="28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</row>
    <row r="801" spans="1:48" ht="14.25" customHeight="1" x14ac:dyDescent="0.25">
      <c r="A801" s="2"/>
      <c r="B801" s="2"/>
      <c r="C801" s="2"/>
      <c r="D801" s="2"/>
      <c r="E801" s="2"/>
      <c r="F801" s="2"/>
      <c r="G801" s="26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81"/>
      <c r="AC801" s="2"/>
      <c r="AD801" s="2"/>
      <c r="AE801" s="281"/>
      <c r="AF801" s="2"/>
      <c r="AG801" s="2"/>
      <c r="AH801" s="2"/>
      <c r="AI801" s="28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</row>
    <row r="802" spans="1:48" ht="14.25" customHeight="1" x14ac:dyDescent="0.25">
      <c r="A802" s="2"/>
      <c r="B802" s="2"/>
      <c r="C802" s="2"/>
      <c r="D802" s="2"/>
      <c r="E802" s="2"/>
      <c r="F802" s="2"/>
      <c r="G802" s="26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81"/>
      <c r="AC802" s="2"/>
      <c r="AD802" s="2"/>
      <c r="AE802" s="281"/>
      <c r="AF802" s="2"/>
      <c r="AG802" s="2"/>
      <c r="AH802" s="2"/>
      <c r="AI802" s="28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</row>
    <row r="803" spans="1:48" ht="14.25" customHeight="1" x14ac:dyDescent="0.25">
      <c r="A803" s="2"/>
      <c r="B803" s="2"/>
      <c r="C803" s="2"/>
      <c r="D803" s="2"/>
      <c r="E803" s="2"/>
      <c r="F803" s="2"/>
      <c r="G803" s="26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81"/>
      <c r="AC803" s="2"/>
      <c r="AD803" s="2"/>
      <c r="AE803" s="281"/>
      <c r="AF803" s="2"/>
      <c r="AG803" s="2"/>
      <c r="AH803" s="2"/>
      <c r="AI803" s="28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</row>
    <row r="804" spans="1:48" ht="14.25" customHeight="1" x14ac:dyDescent="0.25">
      <c r="A804" s="2"/>
      <c r="B804" s="2"/>
      <c r="C804" s="2"/>
      <c r="D804" s="2"/>
      <c r="E804" s="2"/>
      <c r="F804" s="2"/>
      <c r="G804" s="26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81"/>
      <c r="AC804" s="2"/>
      <c r="AD804" s="2"/>
      <c r="AE804" s="281"/>
      <c r="AF804" s="2"/>
      <c r="AG804" s="2"/>
      <c r="AH804" s="2"/>
      <c r="AI804" s="28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</row>
    <row r="805" spans="1:48" ht="14.25" customHeight="1" x14ac:dyDescent="0.25">
      <c r="A805" s="2"/>
      <c r="B805" s="2"/>
      <c r="C805" s="2"/>
      <c r="D805" s="2"/>
      <c r="E805" s="2"/>
      <c r="F805" s="2"/>
      <c r="G805" s="26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81"/>
      <c r="AC805" s="2"/>
      <c r="AD805" s="2"/>
      <c r="AE805" s="281"/>
      <c r="AF805" s="2"/>
      <c r="AG805" s="2"/>
      <c r="AH805" s="2"/>
      <c r="AI805" s="28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</row>
    <row r="806" spans="1:48" ht="14.25" customHeight="1" x14ac:dyDescent="0.25">
      <c r="A806" s="2"/>
      <c r="B806" s="2"/>
      <c r="C806" s="2"/>
      <c r="D806" s="2"/>
      <c r="E806" s="2"/>
      <c r="F806" s="2"/>
      <c r="G806" s="26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81"/>
      <c r="AC806" s="2"/>
      <c r="AD806" s="2"/>
      <c r="AE806" s="281"/>
      <c r="AF806" s="2"/>
      <c r="AG806" s="2"/>
      <c r="AH806" s="2"/>
      <c r="AI806" s="28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</row>
    <row r="807" spans="1:48" ht="14.25" customHeight="1" x14ac:dyDescent="0.25">
      <c r="A807" s="2"/>
      <c r="B807" s="2"/>
      <c r="C807" s="2"/>
      <c r="D807" s="2"/>
      <c r="E807" s="2"/>
      <c r="F807" s="2"/>
      <c r="G807" s="26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81"/>
      <c r="AC807" s="2"/>
      <c r="AD807" s="2"/>
      <c r="AE807" s="281"/>
      <c r="AF807" s="2"/>
      <c r="AG807" s="2"/>
      <c r="AH807" s="2"/>
      <c r="AI807" s="28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</row>
    <row r="808" spans="1:48" ht="14.25" customHeight="1" x14ac:dyDescent="0.25">
      <c r="A808" s="2"/>
      <c r="B808" s="2"/>
      <c r="C808" s="2"/>
      <c r="D808" s="2"/>
      <c r="E808" s="2"/>
      <c r="F808" s="2"/>
      <c r="G808" s="26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81"/>
      <c r="AC808" s="2"/>
      <c r="AD808" s="2"/>
      <c r="AE808" s="281"/>
      <c r="AF808" s="2"/>
      <c r="AG808" s="2"/>
      <c r="AH808" s="2"/>
      <c r="AI808" s="28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</row>
    <row r="809" spans="1:48" ht="14.25" customHeight="1" x14ac:dyDescent="0.25">
      <c r="A809" s="2"/>
      <c r="B809" s="2"/>
      <c r="C809" s="2"/>
      <c r="D809" s="2"/>
      <c r="E809" s="2"/>
      <c r="F809" s="2"/>
      <c r="G809" s="26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81"/>
      <c r="AC809" s="2"/>
      <c r="AD809" s="2"/>
      <c r="AE809" s="281"/>
      <c r="AF809" s="2"/>
      <c r="AG809" s="2"/>
      <c r="AH809" s="2"/>
      <c r="AI809" s="28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</row>
    <row r="810" spans="1:48" ht="14.25" customHeight="1" x14ac:dyDescent="0.25">
      <c r="A810" s="2"/>
      <c r="B810" s="2"/>
      <c r="C810" s="2"/>
      <c r="D810" s="2"/>
      <c r="E810" s="2"/>
      <c r="F810" s="2"/>
      <c r="G810" s="26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81"/>
      <c r="AC810" s="2"/>
      <c r="AD810" s="2"/>
      <c r="AE810" s="281"/>
      <c r="AF810" s="2"/>
      <c r="AG810" s="2"/>
      <c r="AH810" s="2"/>
      <c r="AI810" s="28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</row>
    <row r="811" spans="1:48" ht="14.25" customHeight="1" x14ac:dyDescent="0.25">
      <c r="A811" s="2"/>
      <c r="B811" s="2"/>
      <c r="C811" s="2"/>
      <c r="D811" s="2"/>
      <c r="E811" s="2"/>
      <c r="F811" s="2"/>
      <c r="G811" s="26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81"/>
      <c r="AC811" s="2"/>
      <c r="AD811" s="2"/>
      <c r="AE811" s="281"/>
      <c r="AF811" s="2"/>
      <c r="AG811" s="2"/>
      <c r="AH811" s="2"/>
      <c r="AI811" s="28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</row>
    <row r="812" spans="1:48" ht="14.25" customHeight="1" x14ac:dyDescent="0.25">
      <c r="A812" s="2"/>
      <c r="B812" s="2"/>
      <c r="C812" s="2"/>
      <c r="D812" s="2"/>
      <c r="E812" s="2"/>
      <c r="F812" s="2"/>
      <c r="G812" s="26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81"/>
      <c r="AC812" s="2"/>
      <c r="AD812" s="2"/>
      <c r="AE812" s="281"/>
      <c r="AF812" s="2"/>
      <c r="AG812" s="2"/>
      <c r="AH812" s="2"/>
      <c r="AI812" s="28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</row>
    <row r="813" spans="1:48" ht="14.25" customHeight="1" x14ac:dyDescent="0.25">
      <c r="A813" s="2"/>
      <c r="B813" s="2"/>
      <c r="C813" s="2"/>
      <c r="D813" s="2"/>
      <c r="E813" s="2"/>
      <c r="F813" s="2"/>
      <c r="G813" s="26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81"/>
      <c r="AC813" s="2"/>
      <c r="AD813" s="2"/>
      <c r="AE813" s="281"/>
      <c r="AF813" s="2"/>
      <c r="AG813" s="2"/>
      <c r="AH813" s="2"/>
      <c r="AI813" s="28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</row>
    <row r="814" spans="1:48" ht="14.25" customHeight="1" x14ac:dyDescent="0.25">
      <c r="A814" s="2"/>
      <c r="B814" s="2"/>
      <c r="C814" s="2"/>
      <c r="D814" s="2"/>
      <c r="E814" s="2"/>
      <c r="F814" s="2"/>
      <c r="G814" s="26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81"/>
      <c r="AC814" s="2"/>
      <c r="AD814" s="2"/>
      <c r="AE814" s="281"/>
      <c r="AF814" s="2"/>
      <c r="AG814" s="2"/>
      <c r="AH814" s="2"/>
      <c r="AI814" s="28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</row>
    <row r="815" spans="1:48" ht="14.25" customHeight="1" x14ac:dyDescent="0.25">
      <c r="A815" s="2"/>
      <c r="B815" s="2"/>
      <c r="C815" s="2"/>
      <c r="D815" s="2"/>
      <c r="E815" s="2"/>
      <c r="F815" s="2"/>
      <c r="G815" s="26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81"/>
      <c r="AC815" s="2"/>
      <c r="AD815" s="2"/>
      <c r="AE815" s="281"/>
      <c r="AF815" s="2"/>
      <c r="AG815" s="2"/>
      <c r="AH815" s="2"/>
      <c r="AI815" s="28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</row>
    <row r="816" spans="1:48" ht="14.25" customHeight="1" x14ac:dyDescent="0.25">
      <c r="A816" s="2"/>
      <c r="B816" s="2"/>
      <c r="C816" s="2"/>
      <c r="D816" s="2"/>
      <c r="E816" s="2"/>
      <c r="F816" s="2"/>
      <c r="G816" s="26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81"/>
      <c r="AC816" s="2"/>
      <c r="AD816" s="2"/>
      <c r="AE816" s="281"/>
      <c r="AF816" s="2"/>
      <c r="AG816" s="2"/>
      <c r="AH816" s="2"/>
      <c r="AI816" s="28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</row>
    <row r="817" spans="1:48" ht="14.25" customHeight="1" x14ac:dyDescent="0.25">
      <c r="A817" s="2"/>
      <c r="B817" s="2"/>
      <c r="C817" s="2"/>
      <c r="D817" s="2"/>
      <c r="E817" s="2"/>
      <c r="F817" s="2"/>
      <c r="G817" s="26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81"/>
      <c r="AC817" s="2"/>
      <c r="AD817" s="2"/>
      <c r="AE817" s="281"/>
      <c r="AF817" s="2"/>
      <c r="AG817" s="2"/>
      <c r="AH817" s="2"/>
      <c r="AI817" s="28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</row>
    <row r="818" spans="1:48" ht="14.25" customHeight="1" x14ac:dyDescent="0.25">
      <c r="A818" s="2"/>
      <c r="B818" s="2"/>
      <c r="C818" s="2"/>
      <c r="D818" s="2"/>
      <c r="E818" s="2"/>
      <c r="F818" s="2"/>
      <c r="G818" s="26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81"/>
      <c r="AC818" s="2"/>
      <c r="AD818" s="2"/>
      <c r="AE818" s="281"/>
      <c r="AF818" s="2"/>
      <c r="AG818" s="2"/>
      <c r="AH818" s="2"/>
      <c r="AI818" s="28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</row>
    <row r="819" spans="1:48" ht="14.25" customHeight="1" x14ac:dyDescent="0.25">
      <c r="A819" s="2"/>
      <c r="B819" s="2"/>
      <c r="C819" s="2"/>
      <c r="D819" s="2"/>
      <c r="E819" s="2"/>
      <c r="F819" s="2"/>
      <c r="G819" s="26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81"/>
      <c r="AC819" s="2"/>
      <c r="AD819" s="2"/>
      <c r="AE819" s="281"/>
      <c r="AF819" s="2"/>
      <c r="AG819" s="2"/>
      <c r="AH819" s="2"/>
      <c r="AI819" s="28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</row>
    <row r="820" spans="1:48" ht="14.25" customHeight="1" x14ac:dyDescent="0.25">
      <c r="A820" s="2"/>
      <c r="B820" s="2"/>
      <c r="C820" s="2"/>
      <c r="D820" s="2"/>
      <c r="E820" s="2"/>
      <c r="F820" s="2"/>
      <c r="G820" s="26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81"/>
      <c r="AC820" s="2"/>
      <c r="AD820" s="2"/>
      <c r="AE820" s="281"/>
      <c r="AF820" s="2"/>
      <c r="AG820" s="2"/>
      <c r="AH820" s="2"/>
      <c r="AI820" s="28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</row>
    <row r="821" spans="1:48" ht="14.25" customHeight="1" x14ac:dyDescent="0.25">
      <c r="A821" s="2"/>
      <c r="B821" s="2"/>
      <c r="C821" s="2"/>
      <c r="D821" s="2"/>
      <c r="E821" s="2"/>
      <c r="F821" s="2"/>
      <c r="G821" s="26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81"/>
      <c r="AC821" s="2"/>
      <c r="AD821" s="2"/>
      <c r="AE821" s="281"/>
      <c r="AF821" s="2"/>
      <c r="AG821" s="2"/>
      <c r="AH821" s="2"/>
      <c r="AI821" s="28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</row>
    <row r="822" spans="1:48" ht="14.25" customHeight="1" x14ac:dyDescent="0.25">
      <c r="A822" s="2"/>
      <c r="B822" s="2"/>
      <c r="C822" s="2"/>
      <c r="D822" s="2"/>
      <c r="E822" s="2"/>
      <c r="F822" s="2"/>
      <c r="G822" s="26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81"/>
      <c r="AC822" s="2"/>
      <c r="AD822" s="2"/>
      <c r="AE822" s="281"/>
      <c r="AF822" s="2"/>
      <c r="AG822" s="2"/>
      <c r="AH822" s="2"/>
      <c r="AI822" s="28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</row>
    <row r="823" spans="1:48" ht="14.25" customHeight="1" x14ac:dyDescent="0.25">
      <c r="A823" s="2"/>
      <c r="B823" s="2"/>
      <c r="C823" s="2"/>
      <c r="D823" s="2"/>
      <c r="E823" s="2"/>
      <c r="F823" s="2"/>
      <c r="G823" s="26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81"/>
      <c r="AC823" s="2"/>
      <c r="AD823" s="2"/>
      <c r="AE823" s="281"/>
      <c r="AF823" s="2"/>
      <c r="AG823" s="2"/>
      <c r="AH823" s="2"/>
      <c r="AI823" s="28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</row>
    <row r="824" spans="1:48" ht="14.25" customHeight="1" x14ac:dyDescent="0.25">
      <c r="A824" s="2"/>
      <c r="B824" s="2"/>
      <c r="C824" s="2"/>
      <c r="D824" s="2"/>
      <c r="E824" s="2"/>
      <c r="F824" s="2"/>
      <c r="G824" s="26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81"/>
      <c r="AC824" s="2"/>
      <c r="AD824" s="2"/>
      <c r="AE824" s="281"/>
      <c r="AF824" s="2"/>
      <c r="AG824" s="2"/>
      <c r="AH824" s="2"/>
      <c r="AI824" s="28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</row>
    <row r="825" spans="1:48" ht="14.25" customHeight="1" x14ac:dyDescent="0.25">
      <c r="A825" s="2"/>
      <c r="B825" s="2"/>
      <c r="C825" s="2"/>
      <c r="D825" s="2"/>
      <c r="E825" s="2"/>
      <c r="F825" s="2"/>
      <c r="G825" s="26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81"/>
      <c r="AC825" s="2"/>
      <c r="AD825" s="2"/>
      <c r="AE825" s="281"/>
      <c r="AF825" s="2"/>
      <c r="AG825" s="2"/>
      <c r="AH825" s="2"/>
      <c r="AI825" s="28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</row>
    <row r="826" spans="1:48" ht="14.25" customHeight="1" x14ac:dyDescent="0.25">
      <c r="A826" s="2"/>
      <c r="B826" s="2"/>
      <c r="C826" s="2"/>
      <c r="D826" s="2"/>
      <c r="E826" s="2"/>
      <c r="F826" s="2"/>
      <c r="G826" s="26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81"/>
      <c r="AC826" s="2"/>
      <c r="AD826" s="2"/>
      <c r="AE826" s="281"/>
      <c r="AF826" s="2"/>
      <c r="AG826" s="2"/>
      <c r="AH826" s="2"/>
      <c r="AI826" s="28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</row>
    <row r="827" spans="1:48" ht="14.25" customHeight="1" x14ac:dyDescent="0.25">
      <c r="A827" s="2"/>
      <c r="B827" s="2"/>
      <c r="C827" s="2"/>
      <c r="D827" s="2"/>
      <c r="E827" s="2"/>
      <c r="F827" s="2"/>
      <c r="G827" s="26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81"/>
      <c r="AC827" s="2"/>
      <c r="AD827" s="2"/>
      <c r="AE827" s="281"/>
      <c r="AF827" s="2"/>
      <c r="AG827" s="2"/>
      <c r="AH827" s="2"/>
      <c r="AI827" s="28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</row>
    <row r="828" spans="1:48" ht="14.25" customHeight="1" x14ac:dyDescent="0.25">
      <c r="A828" s="2"/>
      <c r="B828" s="2"/>
      <c r="C828" s="2"/>
      <c r="D828" s="2"/>
      <c r="E828" s="2"/>
      <c r="F828" s="2"/>
      <c r="G828" s="26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81"/>
      <c r="AC828" s="2"/>
      <c r="AD828" s="2"/>
      <c r="AE828" s="281"/>
      <c r="AF828" s="2"/>
      <c r="AG828" s="2"/>
      <c r="AH828" s="2"/>
      <c r="AI828" s="28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</row>
    <row r="829" spans="1:48" ht="14.25" customHeight="1" x14ac:dyDescent="0.25">
      <c r="A829" s="2"/>
      <c r="B829" s="2"/>
      <c r="C829" s="2"/>
      <c r="D829" s="2"/>
      <c r="E829" s="2"/>
      <c r="F829" s="2"/>
      <c r="G829" s="26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81"/>
      <c r="AC829" s="2"/>
      <c r="AD829" s="2"/>
      <c r="AE829" s="281"/>
      <c r="AF829" s="2"/>
      <c r="AG829" s="2"/>
      <c r="AH829" s="2"/>
      <c r="AI829" s="28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</row>
    <row r="830" spans="1:48" ht="14.25" customHeight="1" x14ac:dyDescent="0.25">
      <c r="A830" s="2"/>
      <c r="B830" s="2"/>
      <c r="C830" s="2"/>
      <c r="D830" s="2"/>
      <c r="E830" s="2"/>
      <c r="F830" s="2"/>
      <c r="G830" s="26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81"/>
      <c r="AC830" s="2"/>
      <c r="AD830" s="2"/>
      <c r="AE830" s="281"/>
      <c r="AF830" s="2"/>
      <c r="AG830" s="2"/>
      <c r="AH830" s="2"/>
      <c r="AI830" s="28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</row>
    <row r="831" spans="1:48" ht="14.25" customHeight="1" x14ac:dyDescent="0.25">
      <c r="A831" s="2"/>
      <c r="B831" s="2"/>
      <c r="C831" s="2"/>
      <c r="D831" s="2"/>
      <c r="E831" s="2"/>
      <c r="F831" s="2"/>
      <c r="G831" s="26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81"/>
      <c r="AC831" s="2"/>
      <c r="AD831" s="2"/>
      <c r="AE831" s="281"/>
      <c r="AF831" s="2"/>
      <c r="AG831" s="2"/>
      <c r="AH831" s="2"/>
      <c r="AI831" s="28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</row>
    <row r="832" spans="1:48" ht="14.25" customHeight="1" x14ac:dyDescent="0.25">
      <c r="A832" s="2"/>
      <c r="B832" s="2"/>
      <c r="C832" s="2"/>
      <c r="D832" s="2"/>
      <c r="E832" s="2"/>
      <c r="F832" s="2"/>
      <c r="G832" s="26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81"/>
      <c r="AC832" s="2"/>
      <c r="AD832" s="2"/>
      <c r="AE832" s="281"/>
      <c r="AF832" s="2"/>
      <c r="AG832" s="2"/>
      <c r="AH832" s="2"/>
      <c r="AI832" s="28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</row>
    <row r="833" spans="1:48" ht="14.25" customHeight="1" x14ac:dyDescent="0.25">
      <c r="A833" s="2"/>
      <c r="B833" s="2"/>
      <c r="C833" s="2"/>
      <c r="D833" s="2"/>
      <c r="E833" s="2"/>
      <c r="F833" s="2"/>
      <c r="G833" s="26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81"/>
      <c r="AC833" s="2"/>
      <c r="AD833" s="2"/>
      <c r="AE833" s="281"/>
      <c r="AF833" s="2"/>
      <c r="AG833" s="2"/>
      <c r="AH833" s="2"/>
      <c r="AI833" s="28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</row>
    <row r="834" spans="1:48" ht="14.25" customHeight="1" x14ac:dyDescent="0.25">
      <c r="A834" s="2"/>
      <c r="B834" s="2"/>
      <c r="C834" s="2"/>
      <c r="D834" s="2"/>
      <c r="E834" s="2"/>
      <c r="F834" s="2"/>
      <c r="G834" s="26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81"/>
      <c r="AC834" s="2"/>
      <c r="AD834" s="2"/>
      <c r="AE834" s="281"/>
      <c r="AF834" s="2"/>
      <c r="AG834" s="2"/>
      <c r="AH834" s="2"/>
      <c r="AI834" s="28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</row>
    <row r="835" spans="1:48" ht="14.25" customHeight="1" x14ac:dyDescent="0.25">
      <c r="A835" s="2"/>
      <c r="B835" s="2"/>
      <c r="C835" s="2"/>
      <c r="D835" s="2"/>
      <c r="E835" s="2"/>
      <c r="F835" s="2"/>
      <c r="G835" s="26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81"/>
      <c r="AC835" s="2"/>
      <c r="AD835" s="2"/>
      <c r="AE835" s="281"/>
      <c r="AF835" s="2"/>
      <c r="AG835" s="2"/>
      <c r="AH835" s="2"/>
      <c r="AI835" s="28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</row>
    <row r="836" spans="1:48" ht="14.25" customHeight="1" x14ac:dyDescent="0.25">
      <c r="A836" s="2"/>
      <c r="B836" s="2"/>
      <c r="C836" s="2"/>
      <c r="D836" s="2"/>
      <c r="E836" s="2"/>
      <c r="F836" s="2"/>
      <c r="G836" s="26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81"/>
      <c r="AC836" s="2"/>
      <c r="AD836" s="2"/>
      <c r="AE836" s="281"/>
      <c r="AF836" s="2"/>
      <c r="AG836" s="2"/>
      <c r="AH836" s="2"/>
      <c r="AI836" s="28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</row>
    <row r="837" spans="1:48" ht="14.25" customHeight="1" x14ac:dyDescent="0.25">
      <c r="A837" s="2"/>
      <c r="B837" s="2"/>
      <c r="C837" s="2"/>
      <c r="D837" s="2"/>
      <c r="E837" s="2"/>
      <c r="F837" s="2"/>
      <c r="G837" s="26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81"/>
      <c r="AC837" s="2"/>
      <c r="AD837" s="2"/>
      <c r="AE837" s="281"/>
      <c r="AF837" s="2"/>
      <c r="AG837" s="2"/>
      <c r="AH837" s="2"/>
      <c r="AI837" s="28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</row>
    <row r="838" spans="1:48" ht="14.25" customHeight="1" x14ac:dyDescent="0.25">
      <c r="A838" s="2"/>
      <c r="B838" s="2"/>
      <c r="C838" s="2"/>
      <c r="D838" s="2"/>
      <c r="E838" s="2"/>
      <c r="F838" s="2"/>
      <c r="G838" s="26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81"/>
      <c r="AC838" s="2"/>
      <c r="AD838" s="2"/>
      <c r="AE838" s="281"/>
      <c r="AF838" s="2"/>
      <c r="AG838" s="2"/>
      <c r="AH838" s="2"/>
      <c r="AI838" s="28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</row>
    <row r="839" spans="1:48" ht="14.25" customHeight="1" x14ac:dyDescent="0.25">
      <c r="A839" s="2"/>
      <c r="B839" s="2"/>
      <c r="C839" s="2"/>
      <c r="D839" s="2"/>
      <c r="E839" s="2"/>
      <c r="F839" s="2"/>
      <c r="G839" s="26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81"/>
      <c r="AC839" s="2"/>
      <c r="AD839" s="2"/>
      <c r="AE839" s="281"/>
      <c r="AF839" s="2"/>
      <c r="AG839" s="2"/>
      <c r="AH839" s="2"/>
      <c r="AI839" s="28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</row>
    <row r="840" spans="1:48" ht="14.25" customHeight="1" x14ac:dyDescent="0.25">
      <c r="A840" s="2"/>
      <c r="B840" s="2"/>
      <c r="C840" s="2"/>
      <c r="D840" s="2"/>
      <c r="E840" s="2"/>
      <c r="F840" s="2"/>
      <c r="G840" s="26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81"/>
      <c r="AC840" s="2"/>
      <c r="AD840" s="2"/>
      <c r="AE840" s="281"/>
      <c r="AF840" s="2"/>
      <c r="AG840" s="2"/>
      <c r="AH840" s="2"/>
      <c r="AI840" s="28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</row>
    <row r="841" spans="1:48" ht="14.25" customHeight="1" x14ac:dyDescent="0.25">
      <c r="A841" s="2"/>
      <c r="B841" s="2"/>
      <c r="C841" s="2"/>
      <c r="D841" s="2"/>
      <c r="E841" s="2"/>
      <c r="F841" s="2"/>
      <c r="G841" s="26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81"/>
      <c r="AC841" s="2"/>
      <c r="AD841" s="2"/>
      <c r="AE841" s="281"/>
      <c r="AF841" s="2"/>
      <c r="AG841" s="2"/>
      <c r="AH841" s="2"/>
      <c r="AI841" s="28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</row>
    <row r="842" spans="1:48" ht="14.25" customHeight="1" x14ac:dyDescent="0.25">
      <c r="A842" s="2"/>
      <c r="B842" s="2"/>
      <c r="C842" s="2"/>
      <c r="D842" s="2"/>
      <c r="E842" s="2"/>
      <c r="F842" s="2"/>
      <c r="G842" s="26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81"/>
      <c r="AC842" s="2"/>
      <c r="AD842" s="2"/>
      <c r="AE842" s="281"/>
      <c r="AF842" s="2"/>
      <c r="AG842" s="2"/>
      <c r="AH842" s="2"/>
      <c r="AI842" s="28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</row>
    <row r="843" spans="1:48" ht="14.25" customHeight="1" x14ac:dyDescent="0.25">
      <c r="A843" s="2"/>
      <c r="B843" s="2"/>
      <c r="C843" s="2"/>
      <c r="D843" s="2"/>
      <c r="E843" s="2"/>
      <c r="F843" s="2"/>
      <c r="G843" s="26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81"/>
      <c r="AC843" s="2"/>
      <c r="AD843" s="2"/>
      <c r="AE843" s="281"/>
      <c r="AF843" s="2"/>
      <c r="AG843" s="2"/>
      <c r="AH843" s="2"/>
      <c r="AI843" s="28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</row>
    <row r="844" spans="1:48" ht="14.25" customHeight="1" x14ac:dyDescent="0.25">
      <c r="A844" s="2"/>
      <c r="B844" s="2"/>
      <c r="C844" s="2"/>
      <c r="D844" s="2"/>
      <c r="E844" s="2"/>
      <c r="F844" s="2"/>
      <c r="G844" s="26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81"/>
      <c r="AC844" s="2"/>
      <c r="AD844" s="2"/>
      <c r="AE844" s="281"/>
      <c r="AF844" s="2"/>
      <c r="AG844" s="2"/>
      <c r="AH844" s="2"/>
      <c r="AI844" s="28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</row>
    <row r="845" spans="1:48" ht="14.25" customHeight="1" x14ac:dyDescent="0.25">
      <c r="A845" s="2"/>
      <c r="B845" s="2"/>
      <c r="C845" s="2"/>
      <c r="D845" s="2"/>
      <c r="E845" s="2"/>
      <c r="F845" s="2"/>
      <c r="G845" s="26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81"/>
      <c r="AC845" s="2"/>
      <c r="AD845" s="2"/>
      <c r="AE845" s="281"/>
      <c r="AF845" s="2"/>
      <c r="AG845" s="2"/>
      <c r="AH845" s="2"/>
      <c r="AI845" s="28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</row>
    <row r="846" spans="1:48" ht="14.25" customHeight="1" x14ac:dyDescent="0.25">
      <c r="A846" s="2"/>
      <c r="B846" s="2"/>
      <c r="C846" s="2"/>
      <c r="D846" s="2"/>
      <c r="E846" s="2"/>
      <c r="F846" s="2"/>
      <c r="G846" s="26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81"/>
      <c r="AC846" s="2"/>
      <c r="AD846" s="2"/>
      <c r="AE846" s="281"/>
      <c r="AF846" s="2"/>
      <c r="AG846" s="2"/>
      <c r="AH846" s="2"/>
      <c r="AI846" s="28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</row>
    <row r="847" spans="1:48" ht="14.25" customHeight="1" x14ac:dyDescent="0.25">
      <c r="A847" s="2"/>
      <c r="B847" s="2"/>
      <c r="C847" s="2"/>
      <c r="D847" s="2"/>
      <c r="E847" s="2"/>
      <c r="F847" s="2"/>
      <c r="G847" s="26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81"/>
      <c r="AC847" s="2"/>
      <c r="AD847" s="2"/>
      <c r="AE847" s="281"/>
      <c r="AF847" s="2"/>
      <c r="AG847" s="2"/>
      <c r="AH847" s="2"/>
      <c r="AI847" s="28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</row>
    <row r="848" spans="1:48" ht="14.25" customHeight="1" x14ac:dyDescent="0.25">
      <c r="A848" s="2"/>
      <c r="B848" s="2"/>
      <c r="C848" s="2"/>
      <c r="D848" s="2"/>
      <c r="E848" s="2"/>
      <c r="F848" s="2"/>
      <c r="G848" s="26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81"/>
      <c r="AC848" s="2"/>
      <c r="AD848" s="2"/>
      <c r="AE848" s="281"/>
      <c r="AF848" s="2"/>
      <c r="AG848" s="2"/>
      <c r="AH848" s="2"/>
      <c r="AI848" s="28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</row>
    <row r="849" spans="1:48" ht="14.25" customHeight="1" x14ac:dyDescent="0.25">
      <c r="A849" s="2"/>
      <c r="B849" s="2"/>
      <c r="C849" s="2"/>
      <c r="D849" s="2"/>
      <c r="E849" s="2"/>
      <c r="F849" s="2"/>
      <c r="G849" s="26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81"/>
      <c r="AC849" s="2"/>
      <c r="AD849" s="2"/>
      <c r="AE849" s="281"/>
      <c r="AF849" s="2"/>
      <c r="AG849" s="2"/>
      <c r="AH849" s="2"/>
      <c r="AI849" s="28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</row>
    <row r="850" spans="1:48" ht="14.25" customHeight="1" x14ac:dyDescent="0.25">
      <c r="A850" s="2"/>
      <c r="B850" s="2"/>
      <c r="C850" s="2"/>
      <c r="D850" s="2"/>
      <c r="E850" s="2"/>
      <c r="F850" s="2"/>
      <c r="G850" s="26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81"/>
      <c r="AC850" s="2"/>
      <c r="AD850" s="2"/>
      <c r="AE850" s="281"/>
      <c r="AF850" s="2"/>
      <c r="AG850" s="2"/>
      <c r="AH850" s="2"/>
      <c r="AI850" s="28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</row>
    <row r="851" spans="1:48" ht="14.25" customHeight="1" x14ac:dyDescent="0.25">
      <c r="A851" s="2"/>
      <c r="B851" s="2"/>
      <c r="C851" s="2"/>
      <c r="D851" s="2"/>
      <c r="E851" s="2"/>
      <c r="F851" s="2"/>
      <c r="G851" s="26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81"/>
      <c r="AC851" s="2"/>
      <c r="AD851" s="2"/>
      <c r="AE851" s="281"/>
      <c r="AF851" s="2"/>
      <c r="AG851" s="2"/>
      <c r="AH851" s="2"/>
      <c r="AI851" s="28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</row>
    <row r="852" spans="1:48" ht="14.25" customHeight="1" x14ac:dyDescent="0.25">
      <c r="A852" s="2"/>
      <c r="B852" s="2"/>
      <c r="C852" s="2"/>
      <c r="D852" s="2"/>
      <c r="E852" s="2"/>
      <c r="F852" s="2"/>
      <c r="G852" s="26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81"/>
      <c r="AC852" s="2"/>
      <c r="AD852" s="2"/>
      <c r="AE852" s="281"/>
      <c r="AF852" s="2"/>
      <c r="AG852" s="2"/>
      <c r="AH852" s="2"/>
      <c r="AI852" s="28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</row>
    <row r="853" spans="1:48" ht="14.25" customHeight="1" x14ac:dyDescent="0.25">
      <c r="A853" s="2"/>
      <c r="B853" s="2"/>
      <c r="C853" s="2"/>
      <c r="D853" s="2"/>
      <c r="E853" s="2"/>
      <c r="F853" s="2"/>
      <c r="G853" s="26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81"/>
      <c r="AC853" s="2"/>
      <c r="AD853" s="2"/>
      <c r="AE853" s="281"/>
      <c r="AF853" s="2"/>
      <c r="AG853" s="2"/>
      <c r="AH853" s="2"/>
      <c r="AI853" s="28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</row>
    <row r="854" spans="1:48" ht="14.25" customHeight="1" x14ac:dyDescent="0.25">
      <c r="A854" s="2"/>
      <c r="B854" s="2"/>
      <c r="C854" s="2"/>
      <c r="D854" s="2"/>
      <c r="E854" s="2"/>
      <c r="F854" s="2"/>
      <c r="G854" s="26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81"/>
      <c r="AC854" s="2"/>
      <c r="AD854" s="2"/>
      <c r="AE854" s="281"/>
      <c r="AF854" s="2"/>
      <c r="AG854" s="2"/>
      <c r="AH854" s="2"/>
      <c r="AI854" s="28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</row>
    <row r="855" spans="1:48" ht="14.25" customHeight="1" x14ac:dyDescent="0.25">
      <c r="A855" s="2"/>
      <c r="B855" s="2"/>
      <c r="C855" s="2"/>
      <c r="D855" s="2"/>
      <c r="E855" s="2"/>
      <c r="F855" s="2"/>
      <c r="G855" s="26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81"/>
      <c r="AC855" s="2"/>
      <c r="AD855" s="2"/>
      <c r="AE855" s="281"/>
      <c r="AF855" s="2"/>
      <c r="AG855" s="2"/>
      <c r="AH855" s="2"/>
      <c r="AI855" s="28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</row>
    <row r="856" spans="1:48" ht="14.25" customHeight="1" x14ac:dyDescent="0.25">
      <c r="A856" s="2"/>
      <c r="B856" s="2"/>
      <c r="C856" s="2"/>
      <c r="D856" s="2"/>
      <c r="E856" s="2"/>
      <c r="F856" s="2"/>
      <c r="G856" s="26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81"/>
      <c r="AC856" s="2"/>
      <c r="AD856" s="2"/>
      <c r="AE856" s="281"/>
      <c r="AF856" s="2"/>
      <c r="AG856" s="2"/>
      <c r="AH856" s="2"/>
      <c r="AI856" s="28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</row>
    <row r="857" spans="1:48" ht="14.25" customHeight="1" x14ac:dyDescent="0.25">
      <c r="A857" s="2"/>
      <c r="B857" s="2"/>
      <c r="C857" s="2"/>
      <c r="D857" s="2"/>
      <c r="E857" s="2"/>
      <c r="F857" s="2"/>
      <c r="G857" s="26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81"/>
      <c r="AC857" s="2"/>
      <c r="AD857" s="2"/>
      <c r="AE857" s="281"/>
      <c r="AF857" s="2"/>
      <c r="AG857" s="2"/>
      <c r="AH857" s="2"/>
      <c r="AI857" s="28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</row>
    <row r="858" spans="1:48" ht="14.25" customHeight="1" x14ac:dyDescent="0.25">
      <c r="A858" s="2"/>
      <c r="B858" s="2"/>
      <c r="C858" s="2"/>
      <c r="D858" s="2"/>
      <c r="E858" s="2"/>
      <c r="F858" s="2"/>
      <c r="G858" s="26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81"/>
      <c r="AC858" s="2"/>
      <c r="AD858" s="2"/>
      <c r="AE858" s="281"/>
      <c r="AF858" s="2"/>
      <c r="AG858" s="2"/>
      <c r="AH858" s="2"/>
      <c r="AI858" s="28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</row>
    <row r="859" spans="1:48" ht="14.25" customHeight="1" x14ac:dyDescent="0.25">
      <c r="A859" s="2"/>
      <c r="B859" s="2"/>
      <c r="C859" s="2"/>
      <c r="D859" s="2"/>
      <c r="E859" s="2"/>
      <c r="F859" s="2"/>
      <c r="G859" s="26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81"/>
      <c r="AC859" s="2"/>
      <c r="AD859" s="2"/>
      <c r="AE859" s="281"/>
      <c r="AF859" s="2"/>
      <c r="AG859" s="2"/>
      <c r="AH859" s="2"/>
      <c r="AI859" s="28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</row>
    <row r="860" spans="1:48" ht="14.25" customHeight="1" x14ac:dyDescent="0.25">
      <c r="A860" s="2"/>
      <c r="B860" s="2"/>
      <c r="C860" s="2"/>
      <c r="D860" s="2"/>
      <c r="E860" s="2"/>
      <c r="F860" s="2"/>
      <c r="G860" s="26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81"/>
      <c r="AC860" s="2"/>
      <c r="AD860" s="2"/>
      <c r="AE860" s="281"/>
      <c r="AF860" s="2"/>
      <c r="AG860" s="2"/>
      <c r="AH860" s="2"/>
      <c r="AI860" s="28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</row>
    <row r="861" spans="1:48" ht="14.25" customHeight="1" x14ac:dyDescent="0.25">
      <c r="A861" s="2"/>
      <c r="B861" s="2"/>
      <c r="C861" s="2"/>
      <c r="D861" s="2"/>
      <c r="E861" s="2"/>
      <c r="F861" s="2"/>
      <c r="G861" s="26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81"/>
      <c r="AC861" s="2"/>
      <c r="AD861" s="2"/>
      <c r="AE861" s="281"/>
      <c r="AF861" s="2"/>
      <c r="AG861" s="2"/>
      <c r="AH861" s="2"/>
      <c r="AI861" s="28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</row>
    <row r="862" spans="1:48" ht="14.25" customHeight="1" x14ac:dyDescent="0.25">
      <c r="A862" s="2"/>
      <c r="B862" s="2"/>
      <c r="C862" s="2"/>
      <c r="D862" s="2"/>
      <c r="E862" s="2"/>
      <c r="F862" s="2"/>
      <c r="G862" s="26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81"/>
      <c r="AC862" s="2"/>
      <c r="AD862" s="2"/>
      <c r="AE862" s="281"/>
      <c r="AF862" s="2"/>
      <c r="AG862" s="2"/>
      <c r="AH862" s="2"/>
      <c r="AI862" s="28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</row>
    <row r="863" spans="1:48" ht="14.25" customHeight="1" x14ac:dyDescent="0.25">
      <c r="A863" s="2"/>
      <c r="B863" s="2"/>
      <c r="C863" s="2"/>
      <c r="D863" s="2"/>
      <c r="E863" s="2"/>
      <c r="F863" s="2"/>
      <c r="G863" s="26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81"/>
      <c r="AC863" s="2"/>
      <c r="AD863" s="2"/>
      <c r="AE863" s="281"/>
      <c r="AF863" s="2"/>
      <c r="AG863" s="2"/>
      <c r="AH863" s="2"/>
      <c r="AI863" s="28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</row>
    <row r="864" spans="1:48" ht="14.25" customHeight="1" x14ac:dyDescent="0.25">
      <c r="A864" s="2"/>
      <c r="B864" s="2"/>
      <c r="C864" s="2"/>
      <c r="D864" s="2"/>
      <c r="E864" s="2"/>
      <c r="F864" s="2"/>
      <c r="G864" s="26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81"/>
      <c r="AC864" s="2"/>
      <c r="AD864" s="2"/>
      <c r="AE864" s="281"/>
      <c r="AF864" s="2"/>
      <c r="AG864" s="2"/>
      <c r="AH864" s="2"/>
      <c r="AI864" s="28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</row>
    <row r="865" spans="1:48" ht="14.25" customHeight="1" x14ac:dyDescent="0.25">
      <c r="A865" s="2"/>
      <c r="B865" s="2"/>
      <c r="C865" s="2"/>
      <c r="D865" s="2"/>
      <c r="E865" s="2"/>
      <c r="F865" s="2"/>
      <c r="G865" s="26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81"/>
      <c r="AC865" s="2"/>
      <c r="AD865" s="2"/>
      <c r="AE865" s="281"/>
      <c r="AF865" s="2"/>
      <c r="AG865" s="2"/>
      <c r="AH865" s="2"/>
      <c r="AI865" s="28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</row>
    <row r="866" spans="1:48" ht="14.25" customHeight="1" x14ac:dyDescent="0.25">
      <c r="A866" s="2"/>
      <c r="B866" s="2"/>
      <c r="C866" s="2"/>
      <c r="D866" s="2"/>
      <c r="E866" s="2"/>
      <c r="F866" s="2"/>
      <c r="G866" s="26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81"/>
      <c r="AC866" s="2"/>
      <c r="AD866" s="2"/>
      <c r="AE866" s="281"/>
      <c r="AF866" s="2"/>
      <c r="AG866" s="2"/>
      <c r="AH866" s="2"/>
      <c r="AI866" s="28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</row>
    <row r="867" spans="1:48" ht="14.25" customHeight="1" x14ac:dyDescent="0.25">
      <c r="A867" s="2"/>
      <c r="B867" s="2"/>
      <c r="C867" s="2"/>
      <c r="D867" s="2"/>
      <c r="E867" s="2"/>
      <c r="F867" s="2"/>
      <c r="G867" s="26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81"/>
      <c r="AC867" s="2"/>
      <c r="AD867" s="2"/>
      <c r="AE867" s="281"/>
      <c r="AF867" s="2"/>
      <c r="AG867" s="2"/>
      <c r="AH867" s="2"/>
      <c r="AI867" s="28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</row>
    <row r="868" spans="1:48" ht="14.25" customHeight="1" x14ac:dyDescent="0.25">
      <c r="A868" s="2"/>
      <c r="B868" s="2"/>
      <c r="C868" s="2"/>
      <c r="D868" s="2"/>
      <c r="E868" s="2"/>
      <c r="F868" s="2"/>
      <c r="G868" s="26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81"/>
      <c r="AC868" s="2"/>
      <c r="AD868" s="2"/>
      <c r="AE868" s="281"/>
      <c r="AF868" s="2"/>
      <c r="AG868" s="2"/>
      <c r="AH868" s="2"/>
      <c r="AI868" s="28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</row>
    <row r="869" spans="1:48" ht="14.25" customHeight="1" x14ac:dyDescent="0.25">
      <c r="A869" s="2"/>
      <c r="B869" s="2"/>
      <c r="C869" s="2"/>
      <c r="D869" s="2"/>
      <c r="E869" s="2"/>
      <c r="F869" s="2"/>
      <c r="G869" s="26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81"/>
      <c r="AC869" s="2"/>
      <c r="AD869" s="2"/>
      <c r="AE869" s="281"/>
      <c r="AF869" s="2"/>
      <c r="AG869" s="2"/>
      <c r="AH869" s="2"/>
      <c r="AI869" s="28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</row>
    <row r="870" spans="1:48" ht="14.25" customHeight="1" x14ac:dyDescent="0.25">
      <c r="A870" s="2"/>
      <c r="B870" s="2"/>
      <c r="C870" s="2"/>
      <c r="D870" s="2"/>
      <c r="E870" s="2"/>
      <c r="F870" s="2"/>
      <c r="G870" s="26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81"/>
      <c r="AC870" s="2"/>
      <c r="AD870" s="2"/>
      <c r="AE870" s="281"/>
      <c r="AF870" s="2"/>
      <c r="AG870" s="2"/>
      <c r="AH870" s="2"/>
      <c r="AI870" s="28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</row>
    <row r="871" spans="1:48" ht="14.25" customHeight="1" x14ac:dyDescent="0.25">
      <c r="A871" s="2"/>
      <c r="B871" s="2"/>
      <c r="C871" s="2"/>
      <c r="D871" s="2"/>
      <c r="E871" s="2"/>
      <c r="F871" s="2"/>
      <c r="G871" s="26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81"/>
      <c r="AC871" s="2"/>
      <c r="AD871" s="2"/>
      <c r="AE871" s="281"/>
      <c r="AF871" s="2"/>
      <c r="AG871" s="2"/>
      <c r="AH871" s="2"/>
      <c r="AI871" s="28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</row>
    <row r="872" spans="1:48" ht="14.25" customHeight="1" x14ac:dyDescent="0.25">
      <c r="A872" s="2"/>
      <c r="B872" s="2"/>
      <c r="C872" s="2"/>
      <c r="D872" s="2"/>
      <c r="E872" s="2"/>
      <c r="F872" s="2"/>
      <c r="G872" s="26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81"/>
      <c r="AC872" s="2"/>
      <c r="AD872" s="2"/>
      <c r="AE872" s="281"/>
      <c r="AF872" s="2"/>
      <c r="AG872" s="2"/>
      <c r="AH872" s="2"/>
      <c r="AI872" s="28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</row>
    <row r="873" spans="1:48" ht="14.25" customHeight="1" x14ac:dyDescent="0.25">
      <c r="A873" s="2"/>
      <c r="B873" s="2"/>
      <c r="C873" s="2"/>
      <c r="D873" s="2"/>
      <c r="E873" s="2"/>
      <c r="F873" s="2"/>
      <c r="G873" s="26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81"/>
      <c r="AC873" s="2"/>
      <c r="AD873" s="2"/>
      <c r="AE873" s="281"/>
      <c r="AF873" s="2"/>
      <c r="AG873" s="2"/>
      <c r="AH873" s="2"/>
      <c r="AI873" s="28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</row>
    <row r="874" spans="1:48" ht="14.25" customHeight="1" x14ac:dyDescent="0.25">
      <c r="A874" s="2"/>
      <c r="B874" s="2"/>
      <c r="C874" s="2"/>
      <c r="D874" s="2"/>
      <c r="E874" s="2"/>
      <c r="F874" s="2"/>
      <c r="G874" s="26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81"/>
      <c r="AC874" s="2"/>
      <c r="AD874" s="2"/>
      <c r="AE874" s="281"/>
      <c r="AF874" s="2"/>
      <c r="AG874" s="2"/>
      <c r="AH874" s="2"/>
      <c r="AI874" s="28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</row>
    <row r="875" spans="1:48" ht="14.25" customHeight="1" x14ac:dyDescent="0.25">
      <c r="A875" s="2"/>
      <c r="B875" s="2"/>
      <c r="C875" s="2"/>
      <c r="D875" s="2"/>
      <c r="E875" s="2"/>
      <c r="F875" s="2"/>
      <c r="G875" s="26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81"/>
      <c r="AC875" s="2"/>
      <c r="AD875" s="2"/>
      <c r="AE875" s="281"/>
      <c r="AF875" s="2"/>
      <c r="AG875" s="2"/>
      <c r="AH875" s="2"/>
      <c r="AI875" s="28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</row>
    <row r="876" spans="1:48" ht="14.25" customHeight="1" x14ac:dyDescent="0.25">
      <c r="A876" s="2"/>
      <c r="B876" s="2"/>
      <c r="C876" s="2"/>
      <c r="D876" s="2"/>
      <c r="E876" s="2"/>
      <c r="F876" s="2"/>
      <c r="G876" s="26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81"/>
      <c r="AC876" s="2"/>
      <c r="AD876" s="2"/>
      <c r="AE876" s="281"/>
      <c r="AF876" s="2"/>
      <c r="AG876" s="2"/>
      <c r="AH876" s="2"/>
      <c r="AI876" s="28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</row>
    <row r="877" spans="1:48" ht="14.25" customHeight="1" x14ac:dyDescent="0.25">
      <c r="A877" s="2"/>
      <c r="B877" s="2"/>
      <c r="C877" s="2"/>
      <c r="D877" s="2"/>
      <c r="E877" s="2"/>
      <c r="F877" s="2"/>
      <c r="G877" s="26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81"/>
      <c r="AC877" s="2"/>
      <c r="AD877" s="2"/>
      <c r="AE877" s="281"/>
      <c r="AF877" s="2"/>
      <c r="AG877" s="2"/>
      <c r="AH877" s="2"/>
      <c r="AI877" s="28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</row>
    <row r="878" spans="1:48" ht="14.25" customHeight="1" x14ac:dyDescent="0.25">
      <c r="A878" s="2"/>
      <c r="B878" s="2"/>
      <c r="C878" s="2"/>
      <c r="D878" s="2"/>
      <c r="E878" s="2"/>
      <c r="F878" s="2"/>
      <c r="G878" s="26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81"/>
      <c r="AC878" s="2"/>
      <c r="AD878" s="2"/>
      <c r="AE878" s="281"/>
      <c r="AF878" s="2"/>
      <c r="AG878" s="2"/>
      <c r="AH878" s="2"/>
      <c r="AI878" s="28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</row>
    <row r="879" spans="1:48" ht="14.25" customHeight="1" x14ac:dyDescent="0.25">
      <c r="A879" s="2"/>
      <c r="B879" s="2"/>
      <c r="C879" s="2"/>
      <c r="D879" s="2"/>
      <c r="E879" s="2"/>
      <c r="F879" s="2"/>
      <c r="G879" s="26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81"/>
      <c r="AC879" s="2"/>
      <c r="AD879" s="2"/>
      <c r="AE879" s="281"/>
      <c r="AF879" s="2"/>
      <c r="AG879" s="2"/>
      <c r="AH879" s="2"/>
      <c r="AI879" s="28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</row>
    <row r="880" spans="1:48" ht="14.25" customHeight="1" x14ac:dyDescent="0.25">
      <c r="A880" s="2"/>
      <c r="B880" s="2"/>
      <c r="C880" s="2"/>
      <c r="D880" s="2"/>
      <c r="E880" s="2"/>
      <c r="F880" s="2"/>
      <c r="G880" s="26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81"/>
      <c r="AC880" s="2"/>
      <c r="AD880" s="2"/>
      <c r="AE880" s="281"/>
      <c r="AF880" s="2"/>
      <c r="AG880" s="2"/>
      <c r="AH880" s="2"/>
      <c r="AI880" s="28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</row>
    <row r="881" spans="1:48" ht="14.25" customHeight="1" x14ac:dyDescent="0.25">
      <c r="A881" s="2"/>
      <c r="B881" s="2"/>
      <c r="C881" s="2"/>
      <c r="D881" s="2"/>
      <c r="E881" s="2"/>
      <c r="F881" s="2"/>
      <c r="G881" s="26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81"/>
      <c r="AC881" s="2"/>
      <c r="AD881" s="2"/>
      <c r="AE881" s="281"/>
      <c r="AF881" s="2"/>
      <c r="AG881" s="2"/>
      <c r="AH881" s="2"/>
      <c r="AI881" s="28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</row>
    <row r="882" spans="1:48" ht="14.25" customHeight="1" x14ac:dyDescent="0.25">
      <c r="A882" s="2"/>
      <c r="B882" s="2"/>
      <c r="C882" s="2"/>
      <c r="D882" s="2"/>
      <c r="E882" s="2"/>
      <c r="F882" s="2"/>
      <c r="G882" s="26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81"/>
      <c r="AC882" s="2"/>
      <c r="AD882" s="2"/>
      <c r="AE882" s="281"/>
      <c r="AF882" s="2"/>
      <c r="AG882" s="2"/>
      <c r="AH882" s="2"/>
      <c r="AI882" s="28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</row>
    <row r="883" spans="1:48" ht="14.25" customHeight="1" x14ac:dyDescent="0.25">
      <c r="A883" s="2"/>
      <c r="B883" s="2"/>
      <c r="C883" s="2"/>
      <c r="D883" s="2"/>
      <c r="E883" s="2"/>
      <c r="F883" s="2"/>
      <c r="G883" s="26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81"/>
      <c r="AC883" s="2"/>
      <c r="AD883" s="2"/>
      <c r="AE883" s="281"/>
      <c r="AF883" s="2"/>
      <c r="AG883" s="2"/>
      <c r="AH883" s="2"/>
      <c r="AI883" s="28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</row>
    <row r="884" spans="1:48" ht="14.25" customHeight="1" x14ac:dyDescent="0.25">
      <c r="A884" s="2"/>
      <c r="B884" s="2"/>
      <c r="C884" s="2"/>
      <c r="D884" s="2"/>
      <c r="E884" s="2"/>
      <c r="F884" s="2"/>
      <c r="G884" s="26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81"/>
      <c r="AC884" s="2"/>
      <c r="AD884" s="2"/>
      <c r="AE884" s="281"/>
      <c r="AF884" s="2"/>
      <c r="AG884" s="2"/>
      <c r="AH884" s="2"/>
      <c r="AI884" s="28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</row>
    <row r="885" spans="1:48" ht="14.25" customHeight="1" x14ac:dyDescent="0.25">
      <c r="A885" s="2"/>
      <c r="B885" s="2"/>
      <c r="C885" s="2"/>
      <c r="D885" s="2"/>
      <c r="E885" s="2"/>
      <c r="F885" s="2"/>
      <c r="G885" s="26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81"/>
      <c r="AC885" s="2"/>
      <c r="AD885" s="2"/>
      <c r="AE885" s="281"/>
      <c r="AF885" s="2"/>
      <c r="AG885" s="2"/>
      <c r="AH885" s="2"/>
      <c r="AI885" s="28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</row>
    <row r="886" spans="1:48" ht="14.25" customHeight="1" x14ac:dyDescent="0.25">
      <c r="A886" s="2"/>
      <c r="B886" s="2"/>
      <c r="C886" s="2"/>
      <c r="D886" s="2"/>
      <c r="E886" s="2"/>
      <c r="F886" s="2"/>
      <c r="G886" s="26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81"/>
      <c r="AC886" s="2"/>
      <c r="AD886" s="2"/>
      <c r="AE886" s="281"/>
      <c r="AF886" s="2"/>
      <c r="AG886" s="2"/>
      <c r="AH886" s="2"/>
      <c r="AI886" s="28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</row>
    <row r="887" spans="1:48" ht="14.25" customHeight="1" x14ac:dyDescent="0.25">
      <c r="A887" s="2"/>
      <c r="B887" s="2"/>
      <c r="C887" s="2"/>
      <c r="D887" s="2"/>
      <c r="E887" s="2"/>
      <c r="F887" s="2"/>
      <c r="G887" s="26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81"/>
      <c r="AC887" s="2"/>
      <c r="AD887" s="2"/>
      <c r="AE887" s="281"/>
      <c r="AF887" s="2"/>
      <c r="AG887" s="2"/>
      <c r="AH887" s="2"/>
      <c r="AI887" s="28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</row>
    <row r="888" spans="1:48" ht="14.25" customHeight="1" x14ac:dyDescent="0.25">
      <c r="A888" s="2"/>
      <c r="B888" s="2"/>
      <c r="C888" s="2"/>
      <c r="D888" s="2"/>
      <c r="E888" s="2"/>
      <c r="F888" s="2"/>
      <c r="G888" s="26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81"/>
      <c r="AC888" s="2"/>
      <c r="AD888" s="2"/>
      <c r="AE888" s="281"/>
      <c r="AF888" s="2"/>
      <c r="AG888" s="2"/>
      <c r="AH888" s="2"/>
      <c r="AI888" s="28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</row>
    <row r="889" spans="1:48" ht="14.25" customHeight="1" x14ac:dyDescent="0.25">
      <c r="A889" s="2"/>
      <c r="B889" s="2"/>
      <c r="C889" s="2"/>
      <c r="D889" s="2"/>
      <c r="E889" s="2"/>
      <c r="F889" s="2"/>
      <c r="G889" s="26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81"/>
      <c r="AC889" s="2"/>
      <c r="AD889" s="2"/>
      <c r="AE889" s="281"/>
      <c r="AF889" s="2"/>
      <c r="AG889" s="2"/>
      <c r="AH889" s="2"/>
      <c r="AI889" s="28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</row>
    <row r="890" spans="1:48" ht="14.25" customHeight="1" x14ac:dyDescent="0.25">
      <c r="A890" s="2"/>
      <c r="B890" s="2"/>
      <c r="C890" s="2"/>
      <c r="D890" s="2"/>
      <c r="E890" s="2"/>
      <c r="F890" s="2"/>
      <c r="G890" s="26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81"/>
      <c r="AC890" s="2"/>
      <c r="AD890" s="2"/>
      <c r="AE890" s="281"/>
      <c r="AF890" s="2"/>
      <c r="AG890" s="2"/>
      <c r="AH890" s="2"/>
      <c r="AI890" s="28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</row>
    <row r="891" spans="1:48" ht="14.25" customHeight="1" x14ac:dyDescent="0.25">
      <c r="A891" s="2"/>
      <c r="B891" s="2"/>
      <c r="C891" s="2"/>
      <c r="D891" s="2"/>
      <c r="E891" s="2"/>
      <c r="F891" s="2"/>
      <c r="G891" s="26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81"/>
      <c r="AC891" s="2"/>
      <c r="AD891" s="2"/>
      <c r="AE891" s="281"/>
      <c r="AF891" s="2"/>
      <c r="AG891" s="2"/>
      <c r="AH891" s="2"/>
      <c r="AI891" s="28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</row>
    <row r="892" spans="1:48" ht="14.25" customHeight="1" x14ac:dyDescent="0.25">
      <c r="A892" s="2"/>
      <c r="B892" s="2"/>
      <c r="C892" s="2"/>
      <c r="D892" s="2"/>
      <c r="E892" s="2"/>
      <c r="F892" s="2"/>
      <c r="G892" s="26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81"/>
      <c r="AC892" s="2"/>
      <c r="AD892" s="2"/>
      <c r="AE892" s="281"/>
      <c r="AF892" s="2"/>
      <c r="AG892" s="2"/>
      <c r="AH892" s="2"/>
      <c r="AI892" s="28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</row>
    <row r="893" spans="1:48" ht="14.25" customHeight="1" x14ac:dyDescent="0.25">
      <c r="A893" s="2"/>
      <c r="B893" s="2"/>
      <c r="C893" s="2"/>
      <c r="D893" s="2"/>
      <c r="E893" s="2"/>
      <c r="F893" s="2"/>
      <c r="G893" s="26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81"/>
      <c r="AC893" s="2"/>
      <c r="AD893" s="2"/>
      <c r="AE893" s="281"/>
      <c r="AF893" s="2"/>
      <c r="AG893" s="2"/>
      <c r="AH893" s="2"/>
      <c r="AI893" s="28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</row>
    <row r="894" spans="1:48" ht="14.25" customHeight="1" x14ac:dyDescent="0.25">
      <c r="A894" s="2"/>
      <c r="B894" s="2"/>
      <c r="C894" s="2"/>
      <c r="D894" s="2"/>
      <c r="E894" s="2"/>
      <c r="F894" s="2"/>
      <c r="G894" s="26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81"/>
      <c r="AC894" s="2"/>
      <c r="AD894" s="2"/>
      <c r="AE894" s="281"/>
      <c r="AF894" s="2"/>
      <c r="AG894" s="2"/>
      <c r="AH894" s="2"/>
      <c r="AI894" s="28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</row>
    <row r="895" spans="1:48" ht="14.25" customHeight="1" x14ac:dyDescent="0.25">
      <c r="A895" s="2"/>
      <c r="B895" s="2"/>
      <c r="C895" s="2"/>
      <c r="D895" s="2"/>
      <c r="E895" s="2"/>
      <c r="F895" s="2"/>
      <c r="G895" s="26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81"/>
      <c r="AC895" s="2"/>
      <c r="AD895" s="2"/>
      <c r="AE895" s="281"/>
      <c r="AF895" s="2"/>
      <c r="AG895" s="2"/>
      <c r="AH895" s="2"/>
      <c r="AI895" s="28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</row>
    <row r="896" spans="1:48" ht="14.25" customHeight="1" x14ac:dyDescent="0.25">
      <c r="A896" s="2"/>
      <c r="B896" s="2"/>
      <c r="C896" s="2"/>
      <c r="D896" s="2"/>
      <c r="E896" s="2"/>
      <c r="F896" s="2"/>
      <c r="G896" s="26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81"/>
      <c r="AC896" s="2"/>
      <c r="AD896" s="2"/>
      <c r="AE896" s="281"/>
      <c r="AF896" s="2"/>
      <c r="AG896" s="2"/>
      <c r="AH896" s="2"/>
      <c r="AI896" s="28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</row>
    <row r="897" spans="1:48" ht="14.25" customHeight="1" x14ac:dyDescent="0.25">
      <c r="A897" s="2"/>
      <c r="B897" s="2"/>
      <c r="C897" s="2"/>
      <c r="D897" s="2"/>
      <c r="E897" s="2"/>
      <c r="F897" s="2"/>
      <c r="G897" s="26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81"/>
      <c r="AC897" s="2"/>
      <c r="AD897" s="2"/>
      <c r="AE897" s="281"/>
      <c r="AF897" s="2"/>
      <c r="AG897" s="2"/>
      <c r="AH897" s="2"/>
      <c r="AI897" s="28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</row>
    <row r="898" spans="1:48" ht="14.25" customHeight="1" x14ac:dyDescent="0.25">
      <c r="A898" s="2"/>
      <c r="B898" s="2"/>
      <c r="C898" s="2"/>
      <c r="D898" s="2"/>
      <c r="E898" s="2"/>
      <c r="F898" s="2"/>
      <c r="G898" s="26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81"/>
      <c r="AC898" s="2"/>
      <c r="AD898" s="2"/>
      <c r="AE898" s="281"/>
      <c r="AF898" s="2"/>
      <c r="AG898" s="2"/>
      <c r="AH898" s="2"/>
      <c r="AI898" s="28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</row>
    <row r="899" spans="1:48" ht="14.25" customHeight="1" x14ac:dyDescent="0.25">
      <c r="A899" s="2"/>
      <c r="B899" s="2"/>
      <c r="C899" s="2"/>
      <c r="D899" s="2"/>
      <c r="E899" s="2"/>
      <c r="F899" s="2"/>
      <c r="G899" s="26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81"/>
      <c r="AC899" s="2"/>
      <c r="AD899" s="2"/>
      <c r="AE899" s="281"/>
      <c r="AF899" s="2"/>
      <c r="AG899" s="2"/>
      <c r="AH899" s="2"/>
      <c r="AI899" s="28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</row>
    <row r="900" spans="1:48" ht="14.25" customHeight="1" x14ac:dyDescent="0.25">
      <c r="A900" s="2"/>
      <c r="B900" s="2"/>
      <c r="C900" s="2"/>
      <c r="D900" s="2"/>
      <c r="E900" s="2"/>
      <c r="F900" s="2"/>
      <c r="G900" s="26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81"/>
      <c r="AC900" s="2"/>
      <c r="AD900" s="2"/>
      <c r="AE900" s="281"/>
      <c r="AF900" s="2"/>
      <c r="AG900" s="2"/>
      <c r="AH900" s="2"/>
      <c r="AI900" s="28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</row>
    <row r="901" spans="1:48" ht="14.25" customHeight="1" x14ac:dyDescent="0.25">
      <c r="A901" s="2"/>
      <c r="B901" s="2"/>
      <c r="C901" s="2"/>
      <c r="D901" s="2"/>
      <c r="E901" s="2"/>
      <c r="F901" s="2"/>
      <c r="G901" s="26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81"/>
      <c r="AC901" s="2"/>
      <c r="AD901" s="2"/>
      <c r="AE901" s="281"/>
      <c r="AF901" s="2"/>
      <c r="AG901" s="2"/>
      <c r="AH901" s="2"/>
      <c r="AI901" s="28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</row>
    <row r="902" spans="1:48" ht="14.25" customHeight="1" x14ac:dyDescent="0.25">
      <c r="A902" s="2"/>
      <c r="B902" s="2"/>
      <c r="C902" s="2"/>
      <c r="D902" s="2"/>
      <c r="E902" s="2"/>
      <c r="F902" s="2"/>
      <c r="G902" s="26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81"/>
      <c r="AC902" s="2"/>
      <c r="AD902" s="2"/>
      <c r="AE902" s="281"/>
      <c r="AF902" s="2"/>
      <c r="AG902" s="2"/>
      <c r="AH902" s="2"/>
      <c r="AI902" s="28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</row>
    <row r="903" spans="1:48" ht="14.25" customHeight="1" x14ac:dyDescent="0.25">
      <c r="A903" s="2"/>
      <c r="B903" s="2"/>
      <c r="C903" s="2"/>
      <c r="D903" s="2"/>
      <c r="E903" s="2"/>
      <c r="F903" s="2"/>
      <c r="G903" s="26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81"/>
      <c r="AC903" s="2"/>
      <c r="AD903" s="2"/>
      <c r="AE903" s="281"/>
      <c r="AF903" s="2"/>
      <c r="AG903" s="2"/>
      <c r="AH903" s="2"/>
      <c r="AI903" s="28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</row>
    <row r="904" spans="1:48" ht="14.25" customHeight="1" x14ac:dyDescent="0.25">
      <c r="A904" s="2"/>
      <c r="B904" s="2"/>
      <c r="C904" s="2"/>
      <c r="D904" s="2"/>
      <c r="E904" s="2"/>
      <c r="F904" s="2"/>
      <c r="G904" s="26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81"/>
      <c r="AC904" s="2"/>
      <c r="AD904" s="2"/>
      <c r="AE904" s="281"/>
      <c r="AF904" s="2"/>
      <c r="AG904" s="2"/>
      <c r="AH904" s="2"/>
      <c r="AI904" s="28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</row>
    <row r="905" spans="1:48" ht="14.25" customHeight="1" x14ac:dyDescent="0.25">
      <c r="A905" s="2"/>
      <c r="B905" s="2"/>
      <c r="C905" s="2"/>
      <c r="D905" s="2"/>
      <c r="E905" s="2"/>
      <c r="F905" s="2"/>
      <c r="G905" s="26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81"/>
      <c r="AC905" s="2"/>
      <c r="AD905" s="2"/>
      <c r="AE905" s="281"/>
      <c r="AF905" s="2"/>
      <c r="AG905" s="2"/>
      <c r="AH905" s="2"/>
      <c r="AI905" s="28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</row>
    <row r="906" spans="1:48" ht="14.25" customHeight="1" x14ac:dyDescent="0.25">
      <c r="A906" s="2"/>
      <c r="B906" s="2"/>
      <c r="C906" s="2"/>
      <c r="D906" s="2"/>
      <c r="E906" s="2"/>
      <c r="F906" s="2"/>
      <c r="G906" s="26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81"/>
      <c r="AC906" s="2"/>
      <c r="AD906" s="2"/>
      <c r="AE906" s="281"/>
      <c r="AF906" s="2"/>
      <c r="AG906" s="2"/>
      <c r="AH906" s="2"/>
      <c r="AI906" s="28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</row>
    <row r="907" spans="1:48" ht="14.25" customHeight="1" x14ac:dyDescent="0.25">
      <c r="A907" s="2"/>
      <c r="B907" s="2"/>
      <c r="C907" s="2"/>
      <c r="D907" s="2"/>
      <c r="E907" s="2"/>
      <c r="F907" s="2"/>
      <c r="G907" s="26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81"/>
      <c r="AC907" s="2"/>
      <c r="AD907" s="2"/>
      <c r="AE907" s="281"/>
      <c r="AF907" s="2"/>
      <c r="AG907" s="2"/>
      <c r="AH907" s="2"/>
      <c r="AI907" s="28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</row>
    <row r="908" spans="1:48" ht="14.25" customHeight="1" x14ac:dyDescent="0.25">
      <c r="A908" s="2"/>
      <c r="B908" s="2"/>
      <c r="C908" s="2"/>
      <c r="D908" s="2"/>
      <c r="E908" s="2"/>
      <c r="F908" s="2"/>
      <c r="G908" s="26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81"/>
      <c r="AC908" s="2"/>
      <c r="AD908" s="2"/>
      <c r="AE908" s="281"/>
      <c r="AF908" s="2"/>
      <c r="AG908" s="2"/>
      <c r="AH908" s="2"/>
      <c r="AI908" s="28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</row>
    <row r="909" spans="1:48" ht="14.25" customHeight="1" x14ac:dyDescent="0.25">
      <c r="A909" s="2"/>
      <c r="B909" s="2"/>
      <c r="C909" s="2"/>
      <c r="D909" s="2"/>
      <c r="E909" s="2"/>
      <c r="F909" s="2"/>
      <c r="G909" s="26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81"/>
      <c r="AC909" s="2"/>
      <c r="AD909" s="2"/>
      <c r="AE909" s="281"/>
      <c r="AF909" s="2"/>
      <c r="AG909" s="2"/>
      <c r="AH909" s="2"/>
      <c r="AI909" s="28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</row>
    <row r="910" spans="1:48" ht="14.25" customHeight="1" x14ac:dyDescent="0.25">
      <c r="A910" s="2"/>
      <c r="B910" s="2"/>
      <c r="C910" s="2"/>
      <c r="D910" s="2"/>
      <c r="E910" s="2"/>
      <c r="F910" s="2"/>
      <c r="G910" s="26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81"/>
      <c r="AC910" s="2"/>
      <c r="AD910" s="2"/>
      <c r="AE910" s="281"/>
      <c r="AF910" s="2"/>
      <c r="AG910" s="2"/>
      <c r="AH910" s="2"/>
      <c r="AI910" s="28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</row>
    <row r="911" spans="1:48" ht="14.25" customHeight="1" x14ac:dyDescent="0.25">
      <c r="A911" s="2"/>
      <c r="B911" s="2"/>
      <c r="C911" s="2"/>
      <c r="D911" s="2"/>
      <c r="E911" s="2"/>
      <c r="F911" s="2"/>
      <c r="G911" s="26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81"/>
      <c r="AC911" s="2"/>
      <c r="AD911" s="2"/>
      <c r="AE911" s="281"/>
      <c r="AF911" s="2"/>
      <c r="AG911" s="2"/>
      <c r="AH911" s="2"/>
      <c r="AI911" s="28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</row>
    <row r="912" spans="1:48" ht="14.25" customHeight="1" x14ac:dyDescent="0.25">
      <c r="A912" s="2"/>
      <c r="B912" s="2"/>
      <c r="C912" s="2"/>
      <c r="D912" s="2"/>
      <c r="E912" s="2"/>
      <c r="F912" s="2"/>
      <c r="G912" s="26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81"/>
      <c r="AC912" s="2"/>
      <c r="AD912" s="2"/>
      <c r="AE912" s="281"/>
      <c r="AF912" s="2"/>
      <c r="AG912" s="2"/>
      <c r="AH912" s="2"/>
      <c r="AI912" s="28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</row>
    <row r="913" spans="1:48" ht="14.25" customHeight="1" x14ac:dyDescent="0.25">
      <c r="A913" s="2"/>
      <c r="B913" s="2"/>
      <c r="C913" s="2"/>
      <c r="D913" s="2"/>
      <c r="E913" s="2"/>
      <c r="F913" s="2"/>
      <c r="G913" s="26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81"/>
      <c r="AC913" s="2"/>
      <c r="AD913" s="2"/>
      <c r="AE913" s="281"/>
      <c r="AF913" s="2"/>
      <c r="AG913" s="2"/>
      <c r="AH913" s="2"/>
      <c r="AI913" s="28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</row>
    <row r="914" spans="1:48" ht="14.25" customHeight="1" x14ac:dyDescent="0.25">
      <c r="A914" s="2"/>
      <c r="B914" s="2"/>
      <c r="C914" s="2"/>
      <c r="D914" s="2"/>
      <c r="E914" s="2"/>
      <c r="F914" s="2"/>
      <c r="G914" s="26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81"/>
      <c r="AC914" s="2"/>
      <c r="AD914" s="2"/>
      <c r="AE914" s="281"/>
      <c r="AF914" s="2"/>
      <c r="AG914" s="2"/>
      <c r="AH914" s="2"/>
      <c r="AI914" s="28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</row>
    <row r="915" spans="1:48" ht="14.25" customHeight="1" x14ac:dyDescent="0.25">
      <c r="A915" s="2"/>
      <c r="B915" s="2"/>
      <c r="C915" s="2"/>
      <c r="D915" s="2"/>
      <c r="E915" s="2"/>
      <c r="F915" s="2"/>
      <c r="G915" s="26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81"/>
      <c r="AC915" s="2"/>
      <c r="AD915" s="2"/>
      <c r="AE915" s="281"/>
      <c r="AF915" s="2"/>
      <c r="AG915" s="2"/>
      <c r="AH915" s="2"/>
      <c r="AI915" s="28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</row>
    <row r="916" spans="1:48" ht="14.25" customHeight="1" x14ac:dyDescent="0.25">
      <c r="A916" s="2"/>
      <c r="B916" s="2"/>
      <c r="C916" s="2"/>
      <c r="D916" s="2"/>
      <c r="E916" s="2"/>
      <c r="F916" s="2"/>
      <c r="G916" s="26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81"/>
      <c r="AC916" s="2"/>
      <c r="AD916" s="2"/>
      <c r="AE916" s="281"/>
      <c r="AF916" s="2"/>
      <c r="AG916" s="2"/>
      <c r="AH916" s="2"/>
      <c r="AI916" s="28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</row>
    <row r="917" spans="1:48" ht="14.25" customHeight="1" x14ac:dyDescent="0.25">
      <c r="A917" s="2"/>
      <c r="B917" s="2"/>
      <c r="C917" s="2"/>
      <c r="D917" s="2"/>
      <c r="E917" s="2"/>
      <c r="F917" s="2"/>
      <c r="G917" s="26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81"/>
      <c r="AC917" s="2"/>
      <c r="AD917" s="2"/>
      <c r="AE917" s="281"/>
      <c r="AF917" s="2"/>
      <c r="AG917" s="2"/>
      <c r="AH917" s="2"/>
      <c r="AI917" s="28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</row>
    <row r="918" spans="1:48" ht="14.25" customHeight="1" x14ac:dyDescent="0.25">
      <c r="A918" s="2"/>
      <c r="B918" s="2"/>
      <c r="C918" s="2"/>
      <c r="D918" s="2"/>
      <c r="E918" s="2"/>
      <c r="F918" s="2"/>
      <c r="G918" s="26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81"/>
      <c r="AC918" s="2"/>
      <c r="AD918" s="2"/>
      <c r="AE918" s="281"/>
      <c r="AF918" s="2"/>
      <c r="AG918" s="2"/>
      <c r="AH918" s="2"/>
      <c r="AI918" s="28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</row>
    <row r="919" spans="1:48" ht="14.25" customHeight="1" x14ac:dyDescent="0.25">
      <c r="A919" s="2"/>
      <c r="B919" s="2"/>
      <c r="C919" s="2"/>
      <c r="D919" s="2"/>
      <c r="E919" s="2"/>
      <c r="F919" s="2"/>
      <c r="G919" s="26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81"/>
      <c r="AC919" s="2"/>
      <c r="AD919" s="2"/>
      <c r="AE919" s="281"/>
      <c r="AF919" s="2"/>
      <c r="AG919" s="2"/>
      <c r="AH919" s="2"/>
      <c r="AI919" s="28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</row>
    <row r="920" spans="1:48" ht="14.25" customHeight="1" x14ac:dyDescent="0.25">
      <c r="A920" s="2"/>
      <c r="B920" s="2"/>
      <c r="C920" s="2"/>
      <c r="D920" s="2"/>
      <c r="E920" s="2"/>
      <c r="F920" s="2"/>
      <c r="G920" s="26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81"/>
      <c r="AC920" s="2"/>
      <c r="AD920" s="2"/>
      <c r="AE920" s="281"/>
      <c r="AF920" s="2"/>
      <c r="AG920" s="2"/>
      <c r="AH920" s="2"/>
      <c r="AI920" s="28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</row>
    <row r="921" spans="1:48" ht="14.25" customHeight="1" x14ac:dyDescent="0.25">
      <c r="A921" s="2"/>
      <c r="B921" s="2"/>
      <c r="C921" s="2"/>
      <c r="D921" s="2"/>
      <c r="E921" s="2"/>
      <c r="F921" s="2"/>
      <c r="G921" s="26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81"/>
      <c r="AC921" s="2"/>
      <c r="AD921" s="2"/>
      <c r="AE921" s="281"/>
      <c r="AF921" s="2"/>
      <c r="AG921" s="2"/>
      <c r="AH921" s="2"/>
      <c r="AI921" s="28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</row>
    <row r="922" spans="1:48" ht="14.25" customHeight="1" x14ac:dyDescent="0.25">
      <c r="A922" s="2"/>
      <c r="B922" s="2"/>
      <c r="C922" s="2"/>
      <c r="D922" s="2"/>
      <c r="E922" s="2"/>
      <c r="F922" s="2"/>
      <c r="G922" s="26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81"/>
      <c r="AC922" s="2"/>
      <c r="AD922" s="2"/>
      <c r="AE922" s="281"/>
      <c r="AF922" s="2"/>
      <c r="AG922" s="2"/>
      <c r="AH922" s="2"/>
      <c r="AI922" s="28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</row>
    <row r="923" spans="1:48" ht="14.25" customHeight="1" x14ac:dyDescent="0.25">
      <c r="A923" s="2"/>
      <c r="B923" s="2"/>
      <c r="C923" s="2"/>
      <c r="D923" s="2"/>
      <c r="E923" s="2"/>
      <c r="F923" s="2"/>
      <c r="G923" s="26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81"/>
      <c r="AC923" s="2"/>
      <c r="AD923" s="2"/>
      <c r="AE923" s="281"/>
      <c r="AF923" s="2"/>
      <c r="AG923" s="2"/>
      <c r="AH923" s="2"/>
      <c r="AI923" s="28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</row>
    <row r="924" spans="1:48" ht="14.25" customHeight="1" x14ac:dyDescent="0.25">
      <c r="A924" s="2"/>
      <c r="B924" s="2"/>
      <c r="C924" s="2"/>
      <c r="D924" s="2"/>
      <c r="E924" s="2"/>
      <c r="F924" s="2"/>
      <c r="G924" s="26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81"/>
      <c r="AC924" s="2"/>
      <c r="AD924" s="2"/>
      <c r="AE924" s="281"/>
      <c r="AF924" s="2"/>
      <c r="AG924" s="2"/>
      <c r="AH924" s="2"/>
      <c r="AI924" s="28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</row>
    <row r="925" spans="1:48" ht="14.25" customHeight="1" x14ac:dyDescent="0.25">
      <c r="A925" s="2"/>
      <c r="B925" s="2"/>
      <c r="C925" s="2"/>
      <c r="D925" s="2"/>
      <c r="E925" s="2"/>
      <c r="F925" s="2"/>
      <c r="G925" s="26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81"/>
      <c r="AC925" s="2"/>
      <c r="AD925" s="2"/>
      <c r="AE925" s="281"/>
      <c r="AF925" s="2"/>
      <c r="AG925" s="2"/>
      <c r="AH925" s="2"/>
      <c r="AI925" s="28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</row>
    <row r="926" spans="1:48" ht="14.25" customHeight="1" x14ac:dyDescent="0.25">
      <c r="A926" s="2"/>
      <c r="B926" s="2"/>
      <c r="C926" s="2"/>
      <c r="D926" s="2"/>
      <c r="E926" s="2"/>
      <c r="F926" s="2"/>
      <c r="G926" s="26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81"/>
      <c r="AC926" s="2"/>
      <c r="AD926" s="2"/>
      <c r="AE926" s="281"/>
      <c r="AF926" s="2"/>
      <c r="AG926" s="2"/>
      <c r="AH926" s="2"/>
      <c r="AI926" s="28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</row>
    <row r="927" spans="1:48" ht="14.25" customHeight="1" x14ac:dyDescent="0.25">
      <c r="A927" s="2"/>
      <c r="B927" s="2"/>
      <c r="C927" s="2"/>
      <c r="D927" s="2"/>
      <c r="E927" s="2"/>
      <c r="F927" s="2"/>
      <c r="G927" s="26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81"/>
      <c r="AC927" s="2"/>
      <c r="AD927" s="2"/>
      <c r="AE927" s="281"/>
      <c r="AF927" s="2"/>
      <c r="AG927" s="2"/>
      <c r="AH927" s="2"/>
      <c r="AI927" s="28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</row>
    <row r="928" spans="1:48" ht="14.25" customHeight="1" x14ac:dyDescent="0.25">
      <c r="A928" s="2"/>
      <c r="B928" s="2"/>
      <c r="C928" s="2"/>
      <c r="D928" s="2"/>
      <c r="E928" s="2"/>
      <c r="F928" s="2"/>
      <c r="G928" s="26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81"/>
      <c r="AC928" s="2"/>
      <c r="AD928" s="2"/>
      <c r="AE928" s="281"/>
      <c r="AF928" s="2"/>
      <c r="AG928" s="2"/>
      <c r="AH928" s="2"/>
      <c r="AI928" s="28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</row>
    <row r="929" spans="1:48" ht="14.25" customHeight="1" x14ac:dyDescent="0.25">
      <c r="A929" s="2"/>
      <c r="B929" s="2"/>
      <c r="C929" s="2"/>
      <c r="D929" s="2"/>
      <c r="E929" s="2"/>
      <c r="F929" s="2"/>
      <c r="G929" s="26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81"/>
      <c r="AC929" s="2"/>
      <c r="AD929" s="2"/>
      <c r="AE929" s="281"/>
      <c r="AF929" s="2"/>
      <c r="AG929" s="2"/>
      <c r="AH929" s="2"/>
      <c r="AI929" s="28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</row>
    <row r="930" spans="1:48" ht="14.25" customHeight="1" x14ac:dyDescent="0.25">
      <c r="A930" s="2"/>
      <c r="B930" s="2"/>
      <c r="C930" s="2"/>
      <c r="D930" s="2"/>
      <c r="E930" s="2"/>
      <c r="F930" s="2"/>
      <c r="G930" s="26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81"/>
      <c r="AC930" s="2"/>
      <c r="AD930" s="2"/>
      <c r="AE930" s="281"/>
      <c r="AF930" s="2"/>
      <c r="AG930" s="2"/>
      <c r="AH930" s="2"/>
      <c r="AI930" s="28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</row>
    <row r="931" spans="1:48" ht="14.25" customHeight="1" x14ac:dyDescent="0.25">
      <c r="A931" s="2"/>
      <c r="B931" s="2"/>
      <c r="C931" s="2"/>
      <c r="D931" s="2"/>
      <c r="E931" s="2"/>
      <c r="F931" s="2"/>
      <c r="G931" s="26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81"/>
      <c r="AC931" s="2"/>
      <c r="AD931" s="2"/>
      <c r="AE931" s="281"/>
      <c r="AF931" s="2"/>
      <c r="AG931" s="2"/>
      <c r="AH931" s="2"/>
      <c r="AI931" s="28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</row>
    <row r="932" spans="1:48" ht="14.25" customHeight="1" x14ac:dyDescent="0.25">
      <c r="A932" s="2"/>
      <c r="B932" s="2"/>
      <c r="C932" s="2"/>
      <c r="D932" s="2"/>
      <c r="E932" s="2"/>
      <c r="F932" s="2"/>
      <c r="G932" s="26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81"/>
      <c r="AC932" s="2"/>
      <c r="AD932" s="2"/>
      <c r="AE932" s="281"/>
      <c r="AF932" s="2"/>
      <c r="AG932" s="2"/>
      <c r="AH932" s="2"/>
      <c r="AI932" s="28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</row>
    <row r="933" spans="1:48" ht="14.25" customHeight="1" x14ac:dyDescent="0.25">
      <c r="A933" s="2"/>
      <c r="B933" s="2"/>
      <c r="C933" s="2"/>
      <c r="D933" s="2"/>
      <c r="E933" s="2"/>
      <c r="F933" s="2"/>
      <c r="G933" s="26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81"/>
      <c r="AC933" s="2"/>
      <c r="AD933" s="2"/>
      <c r="AE933" s="281"/>
      <c r="AF933" s="2"/>
      <c r="AG933" s="2"/>
      <c r="AH933" s="2"/>
      <c r="AI933" s="28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</row>
    <row r="934" spans="1:48" ht="14.25" customHeight="1" x14ac:dyDescent="0.25">
      <c r="A934" s="2"/>
      <c r="B934" s="2"/>
      <c r="C934" s="2"/>
      <c r="D934" s="2"/>
      <c r="E934" s="2"/>
      <c r="F934" s="2"/>
      <c r="G934" s="26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81"/>
      <c r="AC934" s="2"/>
      <c r="AD934" s="2"/>
      <c r="AE934" s="281"/>
      <c r="AF934" s="2"/>
      <c r="AG934" s="2"/>
      <c r="AH934" s="2"/>
      <c r="AI934" s="28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</row>
    <row r="935" spans="1:48" ht="14.25" customHeight="1" x14ac:dyDescent="0.25">
      <c r="A935" s="2"/>
      <c r="B935" s="2"/>
      <c r="C935" s="2"/>
      <c r="D935" s="2"/>
      <c r="E935" s="2"/>
      <c r="F935" s="2"/>
      <c r="G935" s="26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81"/>
      <c r="AC935" s="2"/>
      <c r="AD935" s="2"/>
      <c r="AE935" s="281"/>
      <c r="AF935" s="2"/>
      <c r="AG935" s="2"/>
      <c r="AH935" s="2"/>
      <c r="AI935" s="28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</row>
    <row r="936" spans="1:48" ht="14.25" customHeight="1" x14ac:dyDescent="0.25">
      <c r="A936" s="2"/>
      <c r="B936" s="2"/>
      <c r="C936" s="2"/>
      <c r="D936" s="2"/>
      <c r="E936" s="2"/>
      <c r="F936" s="2"/>
      <c r="G936" s="26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81"/>
      <c r="AC936" s="2"/>
      <c r="AD936" s="2"/>
      <c r="AE936" s="281"/>
      <c r="AF936" s="2"/>
      <c r="AG936" s="2"/>
      <c r="AH936" s="2"/>
      <c r="AI936" s="28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</row>
    <row r="937" spans="1:48" ht="14.25" customHeight="1" x14ac:dyDescent="0.25">
      <c r="A937" s="2"/>
      <c r="B937" s="2"/>
      <c r="C937" s="2"/>
      <c r="D937" s="2"/>
      <c r="E937" s="2"/>
      <c r="F937" s="2"/>
      <c r="G937" s="26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81"/>
      <c r="AC937" s="2"/>
      <c r="AD937" s="2"/>
      <c r="AE937" s="281"/>
      <c r="AF937" s="2"/>
      <c r="AG937" s="2"/>
      <c r="AH937" s="2"/>
      <c r="AI937" s="28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</row>
    <row r="938" spans="1:48" ht="14.25" customHeight="1" x14ac:dyDescent="0.25">
      <c r="A938" s="2"/>
      <c r="B938" s="2"/>
      <c r="C938" s="2"/>
      <c r="D938" s="2"/>
      <c r="E938" s="2"/>
      <c r="F938" s="2"/>
      <c r="G938" s="26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81"/>
      <c r="AC938" s="2"/>
      <c r="AD938" s="2"/>
      <c r="AE938" s="281"/>
      <c r="AF938" s="2"/>
      <c r="AG938" s="2"/>
      <c r="AH938" s="2"/>
      <c r="AI938" s="28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</row>
    <row r="939" spans="1:48" ht="14.25" customHeight="1" x14ac:dyDescent="0.25">
      <c r="A939" s="2"/>
      <c r="B939" s="2"/>
      <c r="C939" s="2"/>
      <c r="D939" s="2"/>
      <c r="E939" s="2"/>
      <c r="F939" s="2"/>
      <c r="G939" s="26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81"/>
      <c r="AC939" s="2"/>
      <c r="AD939" s="2"/>
      <c r="AE939" s="281"/>
      <c r="AF939" s="2"/>
      <c r="AG939" s="2"/>
      <c r="AH939" s="2"/>
      <c r="AI939" s="28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</row>
    <row r="940" spans="1:48" ht="14.25" customHeight="1" x14ac:dyDescent="0.25">
      <c r="A940" s="2"/>
      <c r="B940" s="2"/>
      <c r="C940" s="2"/>
      <c r="D940" s="2"/>
      <c r="E940" s="2"/>
      <c r="F940" s="2"/>
      <c r="G940" s="26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81"/>
      <c r="AC940" s="2"/>
      <c r="AD940" s="2"/>
      <c r="AE940" s="281"/>
      <c r="AF940" s="2"/>
      <c r="AG940" s="2"/>
      <c r="AH940" s="2"/>
      <c r="AI940" s="28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</row>
    <row r="941" spans="1:48" ht="14.25" customHeight="1" x14ac:dyDescent="0.25">
      <c r="A941" s="2"/>
      <c r="B941" s="2"/>
      <c r="C941" s="2"/>
      <c r="D941" s="2"/>
      <c r="E941" s="2"/>
      <c r="F941" s="2"/>
      <c r="G941" s="26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81"/>
      <c r="AC941" s="2"/>
      <c r="AD941" s="2"/>
      <c r="AE941" s="281"/>
      <c r="AF941" s="2"/>
      <c r="AG941" s="2"/>
      <c r="AH941" s="2"/>
      <c r="AI941" s="28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</row>
    <row r="942" spans="1:48" ht="14.25" customHeight="1" x14ac:dyDescent="0.25">
      <c r="A942" s="2"/>
      <c r="B942" s="2"/>
      <c r="C942" s="2"/>
      <c r="D942" s="2"/>
      <c r="E942" s="2"/>
      <c r="F942" s="2"/>
      <c r="G942" s="26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81"/>
      <c r="AC942" s="2"/>
      <c r="AD942" s="2"/>
      <c r="AE942" s="281"/>
      <c r="AF942" s="2"/>
      <c r="AG942" s="2"/>
      <c r="AH942" s="2"/>
      <c r="AI942" s="28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</row>
    <row r="943" spans="1:48" ht="14.25" customHeight="1" x14ac:dyDescent="0.25">
      <c r="A943" s="2"/>
      <c r="B943" s="2"/>
      <c r="C943" s="2"/>
      <c r="D943" s="2"/>
      <c r="E943" s="2"/>
      <c r="F943" s="2"/>
      <c r="G943" s="26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81"/>
      <c r="AC943" s="2"/>
      <c r="AD943" s="2"/>
      <c r="AE943" s="281"/>
      <c r="AF943" s="2"/>
      <c r="AG943" s="2"/>
      <c r="AH943" s="2"/>
      <c r="AI943" s="28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</row>
    <row r="944" spans="1:48" ht="14.25" customHeight="1" x14ac:dyDescent="0.25">
      <c r="A944" s="2"/>
      <c r="B944" s="2"/>
      <c r="C944" s="2"/>
      <c r="D944" s="2"/>
      <c r="E944" s="2"/>
      <c r="F944" s="2"/>
      <c r="G944" s="26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81"/>
      <c r="AC944" s="2"/>
      <c r="AD944" s="2"/>
      <c r="AE944" s="281"/>
      <c r="AF944" s="2"/>
      <c r="AG944" s="2"/>
      <c r="AH944" s="2"/>
      <c r="AI944" s="28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</row>
    <row r="945" spans="1:48" ht="14.25" customHeight="1" x14ac:dyDescent="0.25">
      <c r="A945" s="2"/>
      <c r="B945" s="2"/>
      <c r="C945" s="2"/>
      <c r="D945" s="2"/>
      <c r="E945" s="2"/>
      <c r="F945" s="2"/>
      <c r="G945" s="26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81"/>
      <c r="AC945" s="2"/>
      <c r="AD945" s="2"/>
      <c r="AE945" s="281"/>
      <c r="AF945" s="2"/>
      <c r="AG945" s="2"/>
      <c r="AH945" s="2"/>
      <c r="AI945" s="28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</row>
    <row r="946" spans="1:48" ht="14.25" customHeight="1" x14ac:dyDescent="0.25">
      <c r="A946" s="2"/>
      <c r="B946" s="2"/>
      <c r="C946" s="2"/>
      <c r="D946" s="2"/>
      <c r="E946" s="2"/>
      <c r="F946" s="2"/>
      <c r="G946" s="26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81"/>
      <c r="AC946" s="2"/>
      <c r="AD946" s="2"/>
      <c r="AE946" s="281"/>
      <c r="AF946" s="2"/>
      <c r="AG946" s="2"/>
      <c r="AH946" s="2"/>
      <c r="AI946" s="28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</row>
    <row r="947" spans="1:48" ht="14.25" customHeight="1" x14ac:dyDescent="0.25">
      <c r="A947" s="2"/>
      <c r="B947" s="2"/>
      <c r="C947" s="2"/>
      <c r="D947" s="2"/>
      <c r="E947" s="2"/>
      <c r="F947" s="2"/>
      <c r="G947" s="26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81"/>
      <c r="AC947" s="2"/>
      <c r="AD947" s="2"/>
      <c r="AE947" s="281"/>
      <c r="AF947" s="2"/>
      <c r="AG947" s="2"/>
      <c r="AH947" s="2"/>
      <c r="AI947" s="28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</row>
    <row r="948" spans="1:48" ht="14.25" customHeight="1" x14ac:dyDescent="0.25">
      <c r="A948" s="2"/>
      <c r="B948" s="2"/>
      <c r="C948" s="2"/>
      <c r="D948" s="2"/>
      <c r="E948" s="2"/>
      <c r="F948" s="2"/>
      <c r="G948" s="26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81"/>
      <c r="AC948" s="2"/>
      <c r="AD948" s="2"/>
      <c r="AE948" s="281"/>
      <c r="AF948" s="2"/>
      <c r="AG948" s="2"/>
      <c r="AH948" s="2"/>
      <c r="AI948" s="28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</row>
    <row r="949" spans="1:48" ht="14.25" customHeight="1" x14ac:dyDescent="0.25">
      <c r="A949" s="2"/>
      <c r="B949" s="2"/>
      <c r="C949" s="2"/>
      <c r="D949" s="2"/>
      <c r="E949" s="2"/>
      <c r="F949" s="2"/>
      <c r="G949" s="26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81"/>
      <c r="AC949" s="2"/>
      <c r="AD949" s="2"/>
      <c r="AE949" s="281"/>
      <c r="AF949" s="2"/>
      <c r="AG949" s="2"/>
      <c r="AH949" s="2"/>
      <c r="AI949" s="28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</row>
    <row r="950" spans="1:48" ht="14.25" customHeight="1" x14ac:dyDescent="0.25">
      <c r="A950" s="2"/>
      <c r="B950" s="2"/>
      <c r="C950" s="2"/>
      <c r="D950" s="2"/>
      <c r="E950" s="2"/>
      <c r="F950" s="2"/>
      <c r="G950" s="26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81"/>
      <c r="AC950" s="2"/>
      <c r="AD950" s="2"/>
      <c r="AE950" s="281"/>
      <c r="AF950" s="2"/>
      <c r="AG950" s="2"/>
      <c r="AH950" s="2"/>
      <c r="AI950" s="28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</row>
    <row r="951" spans="1:48" ht="14.25" customHeight="1" x14ac:dyDescent="0.25">
      <c r="A951" s="2"/>
      <c r="B951" s="2"/>
      <c r="C951" s="2"/>
      <c r="D951" s="2"/>
      <c r="E951" s="2"/>
      <c r="F951" s="2"/>
      <c r="G951" s="26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81"/>
      <c r="AC951" s="2"/>
      <c r="AD951" s="2"/>
      <c r="AE951" s="281"/>
      <c r="AF951" s="2"/>
      <c r="AG951" s="2"/>
      <c r="AH951" s="2"/>
      <c r="AI951" s="28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</row>
    <row r="952" spans="1:48" ht="14.25" customHeight="1" x14ac:dyDescent="0.25">
      <c r="A952" s="2"/>
      <c r="B952" s="2"/>
      <c r="C952" s="2"/>
      <c r="D952" s="2"/>
      <c r="E952" s="2"/>
      <c r="F952" s="2"/>
      <c r="G952" s="26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81"/>
      <c r="AC952" s="2"/>
      <c r="AD952" s="2"/>
      <c r="AE952" s="281"/>
      <c r="AF952" s="2"/>
      <c r="AG952" s="2"/>
      <c r="AH952" s="2"/>
      <c r="AI952" s="28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</row>
    <row r="953" spans="1:48" ht="14.25" customHeight="1" x14ac:dyDescent="0.25">
      <c r="A953" s="2"/>
      <c r="B953" s="2"/>
      <c r="C953" s="2"/>
      <c r="D953" s="2"/>
      <c r="E953" s="2"/>
      <c r="F953" s="2"/>
      <c r="G953" s="26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81"/>
      <c r="AC953" s="2"/>
      <c r="AD953" s="2"/>
      <c r="AE953" s="281"/>
      <c r="AF953" s="2"/>
      <c r="AG953" s="2"/>
      <c r="AH953" s="2"/>
      <c r="AI953" s="28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</row>
    <row r="954" spans="1:48" ht="14.25" customHeight="1" x14ac:dyDescent="0.25">
      <c r="A954" s="2"/>
      <c r="B954" s="2"/>
      <c r="C954" s="2"/>
      <c r="D954" s="2"/>
      <c r="E954" s="2"/>
      <c r="F954" s="2"/>
      <c r="G954" s="26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81"/>
      <c r="AC954" s="2"/>
      <c r="AD954" s="2"/>
      <c r="AE954" s="281"/>
      <c r="AF954" s="2"/>
      <c r="AG954" s="2"/>
      <c r="AH954" s="2"/>
      <c r="AI954" s="28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</row>
    <row r="955" spans="1:48" ht="14.25" customHeight="1" x14ac:dyDescent="0.25">
      <c r="A955" s="2"/>
      <c r="B955" s="2"/>
      <c r="C955" s="2"/>
      <c r="D955" s="2"/>
      <c r="E955" s="2"/>
      <c r="F955" s="2"/>
      <c r="G955" s="26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81"/>
      <c r="AC955" s="2"/>
      <c r="AD955" s="2"/>
      <c r="AE955" s="281"/>
      <c r="AF955" s="2"/>
      <c r="AG955" s="2"/>
      <c r="AH955" s="2"/>
      <c r="AI955" s="28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</row>
    <row r="956" spans="1:48" ht="14.25" customHeight="1" x14ac:dyDescent="0.25">
      <c r="A956" s="2"/>
      <c r="B956" s="2"/>
      <c r="C956" s="2"/>
      <c r="D956" s="2"/>
      <c r="E956" s="2"/>
      <c r="F956" s="2"/>
      <c r="G956" s="26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81"/>
      <c r="AC956" s="2"/>
      <c r="AD956" s="2"/>
      <c r="AE956" s="281"/>
      <c r="AF956" s="2"/>
      <c r="AG956" s="2"/>
      <c r="AH956" s="2"/>
      <c r="AI956" s="28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</row>
    <row r="957" spans="1:48" ht="14.25" customHeight="1" x14ac:dyDescent="0.25">
      <c r="A957" s="2"/>
      <c r="B957" s="2"/>
      <c r="C957" s="2"/>
      <c r="D957" s="2"/>
      <c r="E957" s="2"/>
      <c r="F957" s="2"/>
      <c r="G957" s="26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81"/>
      <c r="AC957" s="2"/>
      <c r="AD957" s="2"/>
      <c r="AE957" s="281"/>
      <c r="AF957" s="2"/>
      <c r="AG957" s="2"/>
      <c r="AH957" s="2"/>
      <c r="AI957" s="28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</row>
    <row r="958" spans="1:48" ht="14.25" customHeight="1" x14ac:dyDescent="0.25">
      <c r="A958" s="2"/>
      <c r="B958" s="2"/>
      <c r="C958" s="2"/>
      <c r="D958" s="2"/>
      <c r="E958" s="2"/>
      <c r="F958" s="2"/>
      <c r="G958" s="26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81"/>
      <c r="AC958" s="2"/>
      <c r="AD958" s="2"/>
      <c r="AE958" s="281"/>
      <c r="AF958" s="2"/>
      <c r="AG958" s="2"/>
      <c r="AH958" s="2"/>
      <c r="AI958" s="28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</row>
    <row r="959" spans="1:48" ht="14.25" customHeight="1" x14ac:dyDescent="0.25">
      <c r="A959" s="2"/>
      <c r="B959" s="2"/>
      <c r="C959" s="2"/>
      <c r="D959" s="2"/>
      <c r="E959" s="2"/>
      <c r="F959" s="2"/>
      <c r="G959" s="26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81"/>
      <c r="AC959" s="2"/>
      <c r="AD959" s="2"/>
      <c r="AE959" s="281"/>
      <c r="AF959" s="2"/>
      <c r="AG959" s="2"/>
      <c r="AH959" s="2"/>
      <c r="AI959" s="28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</row>
    <row r="960" spans="1:48" ht="14.25" customHeight="1" x14ac:dyDescent="0.25">
      <c r="A960" s="2"/>
      <c r="B960" s="2"/>
      <c r="C960" s="2"/>
      <c r="D960" s="2"/>
      <c r="E960" s="2"/>
      <c r="F960" s="2"/>
      <c r="G960" s="26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81"/>
      <c r="AC960" s="2"/>
      <c r="AD960" s="2"/>
      <c r="AE960" s="281"/>
      <c r="AF960" s="2"/>
      <c r="AG960" s="2"/>
      <c r="AH960" s="2"/>
      <c r="AI960" s="28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</row>
    <row r="961" spans="1:48" ht="14.25" customHeight="1" x14ac:dyDescent="0.25">
      <c r="A961" s="2"/>
      <c r="B961" s="2"/>
      <c r="C961" s="2"/>
      <c r="D961" s="2"/>
      <c r="E961" s="2"/>
      <c r="F961" s="2"/>
      <c r="G961" s="26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81"/>
      <c r="AC961" s="2"/>
      <c r="AD961" s="2"/>
      <c r="AE961" s="281"/>
      <c r="AF961" s="2"/>
      <c r="AG961" s="2"/>
      <c r="AH961" s="2"/>
      <c r="AI961" s="28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</row>
    <row r="962" spans="1:48" ht="14.25" customHeight="1" x14ac:dyDescent="0.25">
      <c r="A962" s="2"/>
      <c r="B962" s="2"/>
      <c r="C962" s="2"/>
      <c r="D962" s="2"/>
      <c r="E962" s="2"/>
      <c r="F962" s="2"/>
      <c r="G962" s="26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81"/>
      <c r="AC962" s="2"/>
      <c r="AD962" s="2"/>
      <c r="AE962" s="281"/>
      <c r="AF962" s="2"/>
      <c r="AG962" s="2"/>
      <c r="AH962" s="2"/>
      <c r="AI962" s="28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</row>
    <row r="963" spans="1:48" ht="14.25" customHeight="1" x14ac:dyDescent="0.25">
      <c r="A963" s="2"/>
      <c r="B963" s="2"/>
      <c r="C963" s="2"/>
      <c r="D963" s="2"/>
      <c r="E963" s="2"/>
      <c r="F963" s="2"/>
      <c r="G963" s="26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81"/>
      <c r="AC963" s="2"/>
      <c r="AD963" s="2"/>
      <c r="AE963" s="281"/>
      <c r="AF963" s="2"/>
      <c r="AG963" s="2"/>
      <c r="AH963" s="2"/>
      <c r="AI963" s="28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</row>
    <row r="964" spans="1:48" ht="14.25" customHeight="1" x14ac:dyDescent="0.25">
      <c r="A964" s="2"/>
      <c r="B964" s="2"/>
      <c r="C964" s="2"/>
      <c r="D964" s="2"/>
      <c r="E964" s="2"/>
      <c r="F964" s="2"/>
      <c r="G964" s="26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81"/>
      <c r="AC964" s="2"/>
      <c r="AD964" s="2"/>
      <c r="AE964" s="281"/>
      <c r="AF964" s="2"/>
      <c r="AG964" s="2"/>
      <c r="AH964" s="2"/>
      <c r="AI964" s="28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</row>
    <row r="965" spans="1:48" ht="14.25" customHeight="1" x14ac:dyDescent="0.25">
      <c r="A965" s="2"/>
      <c r="B965" s="2"/>
      <c r="C965" s="2"/>
      <c r="D965" s="2"/>
      <c r="E965" s="2"/>
      <c r="F965" s="2"/>
      <c r="G965" s="26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81"/>
      <c r="AC965" s="2"/>
      <c r="AD965" s="2"/>
      <c r="AE965" s="281"/>
      <c r="AF965" s="2"/>
      <c r="AG965" s="2"/>
      <c r="AH965" s="2"/>
      <c r="AI965" s="28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</row>
    <row r="966" spans="1:48" ht="14.25" customHeight="1" x14ac:dyDescent="0.25">
      <c r="A966" s="2"/>
      <c r="B966" s="2"/>
      <c r="C966" s="2"/>
      <c r="D966" s="2"/>
      <c r="E966" s="2"/>
      <c r="F966" s="2"/>
      <c r="G966" s="26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81"/>
      <c r="AC966" s="2"/>
      <c r="AD966" s="2"/>
      <c r="AE966" s="281"/>
      <c r="AF966" s="2"/>
      <c r="AG966" s="2"/>
      <c r="AH966" s="2"/>
      <c r="AI966" s="28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</row>
    <row r="967" spans="1:48" ht="14.25" customHeight="1" x14ac:dyDescent="0.25">
      <c r="A967" s="2"/>
      <c r="B967" s="2"/>
      <c r="C967" s="2"/>
      <c r="D967" s="2"/>
      <c r="E967" s="2"/>
      <c r="F967" s="2"/>
      <c r="G967" s="26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81"/>
      <c r="AC967" s="2"/>
      <c r="AD967" s="2"/>
      <c r="AE967" s="281"/>
      <c r="AF967" s="2"/>
      <c r="AG967" s="2"/>
      <c r="AH967" s="2"/>
      <c r="AI967" s="28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</row>
    <row r="968" spans="1:48" ht="14.25" customHeight="1" x14ac:dyDescent="0.25">
      <c r="A968" s="2"/>
      <c r="B968" s="2"/>
      <c r="C968" s="2"/>
      <c r="D968" s="2"/>
      <c r="E968" s="2"/>
      <c r="F968" s="2"/>
      <c r="G968" s="26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81"/>
      <c r="AC968" s="2"/>
      <c r="AD968" s="2"/>
      <c r="AE968" s="281"/>
      <c r="AF968" s="2"/>
      <c r="AG968" s="2"/>
      <c r="AH968" s="2"/>
      <c r="AI968" s="28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</row>
    <row r="969" spans="1:48" ht="14.25" customHeight="1" x14ac:dyDescent="0.25">
      <c r="A969" s="2"/>
      <c r="B969" s="2"/>
      <c r="C969" s="2"/>
      <c r="D969" s="2"/>
      <c r="E969" s="2"/>
      <c r="F969" s="2"/>
      <c r="G969" s="26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81"/>
      <c r="AC969" s="2"/>
      <c r="AD969" s="2"/>
      <c r="AE969" s="281"/>
      <c r="AF969" s="2"/>
      <c r="AG969" s="2"/>
      <c r="AH969" s="2"/>
      <c r="AI969" s="28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</row>
    <row r="970" spans="1:48" ht="14.25" customHeight="1" x14ac:dyDescent="0.25">
      <c r="A970" s="2"/>
      <c r="B970" s="2"/>
      <c r="C970" s="2"/>
      <c r="D970" s="2"/>
      <c r="E970" s="2"/>
      <c r="F970" s="2"/>
      <c r="G970" s="26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81"/>
      <c r="AC970" s="2"/>
      <c r="AD970" s="2"/>
      <c r="AE970" s="281"/>
      <c r="AF970" s="2"/>
      <c r="AG970" s="2"/>
      <c r="AH970" s="2"/>
      <c r="AI970" s="28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</row>
    <row r="971" spans="1:48" ht="14.25" customHeight="1" x14ac:dyDescent="0.25">
      <c r="A971" s="2"/>
      <c r="B971" s="2"/>
      <c r="C971" s="2"/>
      <c r="D971" s="2"/>
      <c r="E971" s="2"/>
      <c r="F971" s="2"/>
      <c r="G971" s="26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81"/>
      <c r="AC971" s="2"/>
      <c r="AD971" s="2"/>
      <c r="AE971" s="281"/>
      <c r="AF971" s="2"/>
      <c r="AG971" s="2"/>
      <c r="AH971" s="2"/>
      <c r="AI971" s="28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</row>
    <row r="972" spans="1:48" ht="14.25" customHeight="1" x14ac:dyDescent="0.25">
      <c r="A972" s="2"/>
      <c r="B972" s="2"/>
      <c r="C972" s="2"/>
      <c r="D972" s="2"/>
      <c r="E972" s="2"/>
      <c r="F972" s="2"/>
      <c r="G972" s="26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81"/>
      <c r="AC972" s="2"/>
      <c r="AD972" s="2"/>
      <c r="AE972" s="281"/>
      <c r="AF972" s="2"/>
      <c r="AG972" s="2"/>
      <c r="AH972" s="2"/>
      <c r="AI972" s="28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</row>
    <row r="973" spans="1:48" ht="14.25" customHeight="1" x14ac:dyDescent="0.25">
      <c r="A973" s="2"/>
      <c r="B973" s="2"/>
      <c r="C973" s="2"/>
      <c r="D973" s="2"/>
      <c r="E973" s="2"/>
      <c r="F973" s="2"/>
      <c r="G973" s="26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81"/>
      <c r="AC973" s="2"/>
      <c r="AD973" s="2"/>
      <c r="AE973" s="281"/>
      <c r="AF973" s="2"/>
      <c r="AG973" s="2"/>
      <c r="AH973" s="2"/>
      <c r="AI973" s="28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</row>
    <row r="974" spans="1:48" ht="14.25" customHeight="1" x14ac:dyDescent="0.25">
      <c r="A974" s="2"/>
      <c r="B974" s="2"/>
      <c r="C974" s="2"/>
      <c r="D974" s="2"/>
      <c r="E974" s="2"/>
      <c r="F974" s="2"/>
      <c r="G974" s="26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81"/>
      <c r="AC974" s="2"/>
      <c r="AD974" s="2"/>
      <c r="AE974" s="281"/>
      <c r="AF974" s="2"/>
      <c r="AG974" s="2"/>
      <c r="AH974" s="2"/>
      <c r="AI974" s="28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</row>
    <row r="975" spans="1:48" ht="14.25" customHeight="1" x14ac:dyDescent="0.25">
      <c r="A975" s="2"/>
      <c r="B975" s="2"/>
      <c r="C975" s="2"/>
      <c r="D975" s="2"/>
      <c r="E975" s="2"/>
      <c r="F975" s="2"/>
      <c r="G975" s="26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81"/>
      <c r="AC975" s="2"/>
      <c r="AD975" s="2"/>
      <c r="AE975" s="281"/>
      <c r="AF975" s="2"/>
      <c r="AG975" s="2"/>
      <c r="AH975" s="2"/>
      <c r="AI975" s="28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</row>
    <row r="976" spans="1:48" ht="14.25" customHeight="1" x14ac:dyDescent="0.25">
      <c r="A976" s="2"/>
      <c r="B976" s="2"/>
      <c r="C976" s="2"/>
      <c r="D976" s="2"/>
      <c r="E976" s="2"/>
      <c r="F976" s="2"/>
      <c r="G976" s="26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81"/>
      <c r="AC976" s="2"/>
      <c r="AD976" s="2"/>
      <c r="AE976" s="281"/>
      <c r="AF976" s="2"/>
      <c r="AG976" s="2"/>
      <c r="AH976" s="2"/>
      <c r="AI976" s="28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</row>
    <row r="977" spans="1:48" ht="14.25" customHeight="1" x14ac:dyDescent="0.25">
      <c r="A977" s="2"/>
      <c r="B977" s="2"/>
      <c r="C977" s="2"/>
      <c r="D977" s="2"/>
      <c r="E977" s="2"/>
      <c r="F977" s="2"/>
      <c r="G977" s="26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81"/>
      <c r="AC977" s="2"/>
      <c r="AD977" s="2"/>
      <c r="AE977" s="281"/>
      <c r="AF977" s="2"/>
      <c r="AG977" s="2"/>
      <c r="AH977" s="2"/>
      <c r="AI977" s="28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</row>
    <row r="978" spans="1:48" ht="14.25" customHeight="1" x14ac:dyDescent="0.25">
      <c r="A978" s="2"/>
      <c r="B978" s="2"/>
      <c r="C978" s="2"/>
      <c r="D978" s="2"/>
      <c r="E978" s="2"/>
      <c r="F978" s="2"/>
      <c r="G978" s="26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81"/>
      <c r="AC978" s="2"/>
      <c r="AD978" s="2"/>
      <c r="AE978" s="281"/>
      <c r="AF978" s="2"/>
      <c r="AG978" s="2"/>
      <c r="AH978" s="2"/>
      <c r="AI978" s="28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</row>
    <row r="979" spans="1:48" ht="14.25" customHeight="1" x14ac:dyDescent="0.25">
      <c r="A979" s="2"/>
      <c r="B979" s="2"/>
      <c r="C979" s="2"/>
      <c r="D979" s="2"/>
      <c r="E979" s="2"/>
      <c r="F979" s="2"/>
      <c r="G979" s="26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81"/>
      <c r="AC979" s="2"/>
      <c r="AD979" s="2"/>
      <c r="AE979" s="281"/>
      <c r="AF979" s="2"/>
      <c r="AG979" s="2"/>
      <c r="AH979" s="2"/>
      <c r="AI979" s="28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</row>
    <row r="980" spans="1:48" ht="14.25" customHeight="1" x14ac:dyDescent="0.25">
      <c r="A980" s="2"/>
      <c r="B980" s="2"/>
      <c r="C980" s="2"/>
      <c r="D980" s="2"/>
      <c r="E980" s="2"/>
      <c r="F980" s="2"/>
      <c r="G980" s="26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81"/>
      <c r="AC980" s="2"/>
      <c r="AD980" s="2"/>
      <c r="AE980" s="281"/>
      <c r="AF980" s="2"/>
      <c r="AG980" s="2"/>
      <c r="AH980" s="2"/>
      <c r="AI980" s="28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</row>
    <row r="981" spans="1:48" ht="14.25" customHeight="1" x14ac:dyDescent="0.25">
      <c r="A981" s="2"/>
      <c r="B981" s="2"/>
      <c r="C981" s="2"/>
      <c r="D981" s="2"/>
      <c r="E981" s="2"/>
      <c r="F981" s="2"/>
      <c r="G981" s="26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81"/>
      <c r="AC981" s="2"/>
      <c r="AD981" s="2"/>
      <c r="AE981" s="281"/>
      <c r="AF981" s="2"/>
      <c r="AG981" s="2"/>
      <c r="AH981" s="2"/>
      <c r="AI981" s="28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</row>
    <row r="982" spans="1:48" ht="14.25" customHeight="1" x14ac:dyDescent="0.25">
      <c r="A982" s="2"/>
      <c r="B982" s="2"/>
      <c r="C982" s="2"/>
      <c r="D982" s="2"/>
      <c r="E982" s="2"/>
      <c r="F982" s="2"/>
      <c r="G982" s="26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81"/>
      <c r="AC982" s="2"/>
      <c r="AD982" s="2"/>
      <c r="AE982" s="281"/>
      <c r="AF982" s="2"/>
      <c r="AG982" s="2"/>
      <c r="AH982" s="2"/>
      <c r="AI982" s="28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</row>
    <row r="983" spans="1:48" ht="14.25" customHeight="1" x14ac:dyDescent="0.25">
      <c r="A983" s="2"/>
      <c r="B983" s="2"/>
      <c r="C983" s="2"/>
      <c r="D983" s="2"/>
      <c r="E983" s="2"/>
      <c r="F983" s="2"/>
      <c r="G983" s="26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81"/>
      <c r="AC983" s="2"/>
      <c r="AD983" s="2"/>
      <c r="AE983" s="281"/>
      <c r="AF983" s="2"/>
      <c r="AG983" s="2"/>
      <c r="AH983" s="2"/>
      <c r="AI983" s="28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</row>
    <row r="984" spans="1:48" ht="14.25" customHeight="1" x14ac:dyDescent="0.25">
      <c r="A984" s="2"/>
      <c r="B984" s="2"/>
      <c r="C984" s="2"/>
      <c r="D984" s="2"/>
      <c r="E984" s="2"/>
      <c r="F984" s="2"/>
      <c r="G984" s="26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81"/>
      <c r="AC984" s="2"/>
      <c r="AD984" s="2"/>
      <c r="AE984" s="281"/>
      <c r="AF984" s="2"/>
      <c r="AG984" s="2"/>
      <c r="AH984" s="2"/>
      <c r="AI984" s="28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</row>
    <row r="985" spans="1:48" ht="14.25" customHeight="1" x14ac:dyDescent="0.25">
      <c r="A985" s="2"/>
      <c r="B985" s="2"/>
      <c r="C985" s="2"/>
      <c r="D985" s="2"/>
      <c r="E985" s="2"/>
      <c r="F985" s="2"/>
      <c r="G985" s="26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81"/>
      <c r="AC985" s="2"/>
      <c r="AD985" s="2"/>
      <c r="AE985" s="281"/>
      <c r="AF985" s="2"/>
      <c r="AG985" s="2"/>
      <c r="AH985" s="2"/>
      <c r="AI985" s="28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</row>
    <row r="986" spans="1:48" ht="14.25" customHeight="1" x14ac:dyDescent="0.25">
      <c r="A986" s="2"/>
      <c r="B986" s="2"/>
      <c r="C986" s="2"/>
      <c r="D986" s="2"/>
      <c r="E986" s="2"/>
      <c r="F986" s="2"/>
      <c r="G986" s="26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81"/>
      <c r="AC986" s="2"/>
      <c r="AD986" s="2"/>
      <c r="AE986" s="281"/>
      <c r="AF986" s="2"/>
      <c r="AG986" s="2"/>
      <c r="AH986" s="2"/>
      <c r="AI986" s="28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</row>
    <row r="987" spans="1:48" ht="14.25" customHeight="1" x14ac:dyDescent="0.25">
      <c r="A987" s="2"/>
      <c r="B987" s="2"/>
      <c r="C987" s="2"/>
      <c r="D987" s="2"/>
      <c r="E987" s="2"/>
      <c r="F987" s="2"/>
      <c r="G987" s="26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81"/>
      <c r="AC987" s="2"/>
      <c r="AD987" s="2"/>
      <c r="AE987" s="281"/>
      <c r="AF987" s="2"/>
      <c r="AG987" s="2"/>
      <c r="AH987" s="2"/>
      <c r="AI987" s="28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</row>
    <row r="988" spans="1:48" ht="14.25" customHeight="1" x14ac:dyDescent="0.25">
      <c r="A988" s="2"/>
      <c r="B988" s="2"/>
      <c r="C988" s="2"/>
      <c r="D988" s="2"/>
      <c r="E988" s="2"/>
      <c r="F988" s="2"/>
      <c r="G988" s="26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81"/>
      <c r="AC988" s="2"/>
      <c r="AD988" s="2"/>
      <c r="AE988" s="281"/>
      <c r="AF988" s="2"/>
      <c r="AG988" s="2"/>
      <c r="AH988" s="2"/>
      <c r="AI988" s="28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</row>
    <row r="989" spans="1:48" ht="14.25" customHeight="1" x14ac:dyDescent="0.25">
      <c r="A989" s="2"/>
      <c r="B989" s="2"/>
      <c r="C989" s="2"/>
      <c r="D989" s="2"/>
      <c r="E989" s="2"/>
      <c r="F989" s="2"/>
      <c r="G989" s="26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81"/>
      <c r="AC989" s="2"/>
      <c r="AD989" s="2"/>
      <c r="AE989" s="281"/>
      <c r="AF989" s="2"/>
      <c r="AG989" s="2"/>
      <c r="AH989" s="2"/>
      <c r="AI989" s="28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</row>
    <row r="990" spans="1:48" ht="14.25" customHeight="1" x14ac:dyDescent="0.25">
      <c r="A990" s="2"/>
      <c r="B990" s="2"/>
      <c r="C990" s="2"/>
      <c r="D990" s="2"/>
      <c r="E990" s="2"/>
      <c r="F990" s="2"/>
      <c r="G990" s="26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81"/>
      <c r="AC990" s="2"/>
      <c r="AD990" s="2"/>
      <c r="AE990" s="281"/>
      <c r="AF990" s="2"/>
      <c r="AG990" s="2"/>
      <c r="AH990" s="2"/>
      <c r="AI990" s="28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</row>
    <row r="991" spans="1:48" ht="14.25" customHeight="1" x14ac:dyDescent="0.25">
      <c r="A991" s="2"/>
      <c r="B991" s="2"/>
      <c r="C991" s="2"/>
      <c r="D991" s="2"/>
      <c r="E991" s="2"/>
      <c r="F991" s="2"/>
      <c r="G991" s="26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81"/>
      <c r="AC991" s="2"/>
      <c r="AD991" s="2"/>
      <c r="AE991" s="281"/>
      <c r="AF991" s="2"/>
      <c r="AG991" s="2"/>
      <c r="AH991" s="2"/>
      <c r="AI991" s="28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</row>
    <row r="992" spans="1:48" ht="14.25" customHeight="1" x14ac:dyDescent="0.25">
      <c r="A992" s="2"/>
      <c r="B992" s="2"/>
      <c r="C992" s="2"/>
      <c r="D992" s="2"/>
      <c r="E992" s="2"/>
      <c r="F992" s="2"/>
      <c r="G992" s="26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81"/>
      <c r="AC992" s="2"/>
      <c r="AD992" s="2"/>
      <c r="AE992" s="281"/>
      <c r="AF992" s="2"/>
      <c r="AG992" s="2"/>
      <c r="AH992" s="2"/>
      <c r="AI992" s="28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</row>
    <row r="993" spans="1:48" ht="14.25" customHeight="1" x14ac:dyDescent="0.25">
      <c r="A993" s="2"/>
      <c r="B993" s="2"/>
      <c r="C993" s="2"/>
      <c r="D993" s="2"/>
      <c r="E993" s="2"/>
      <c r="F993" s="2"/>
      <c r="G993" s="26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81"/>
      <c r="AC993" s="2"/>
      <c r="AD993" s="2"/>
      <c r="AE993" s="281"/>
      <c r="AF993" s="2"/>
      <c r="AG993" s="2"/>
      <c r="AH993" s="2"/>
      <c r="AI993" s="28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</row>
    <row r="994" spans="1:48" ht="14.25" customHeight="1" x14ac:dyDescent="0.25">
      <c r="A994" s="2"/>
      <c r="B994" s="2"/>
      <c r="C994" s="2"/>
      <c r="D994" s="2"/>
      <c r="E994" s="2"/>
      <c r="F994" s="2"/>
      <c r="G994" s="26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81"/>
      <c r="AC994" s="2"/>
      <c r="AD994" s="2"/>
      <c r="AE994" s="281"/>
      <c r="AF994" s="2"/>
      <c r="AG994" s="2"/>
      <c r="AH994" s="2"/>
      <c r="AI994" s="28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</row>
    <row r="995" spans="1:48" ht="14.25" customHeight="1" x14ac:dyDescent="0.25">
      <c r="A995" s="2"/>
      <c r="B995" s="2"/>
      <c r="C995" s="2"/>
      <c r="D995" s="2"/>
      <c r="E995" s="2"/>
      <c r="F995" s="2"/>
      <c r="G995" s="26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81"/>
      <c r="AC995" s="2"/>
      <c r="AD995" s="2"/>
      <c r="AE995" s="281"/>
      <c r="AF995" s="2"/>
      <c r="AG995" s="2"/>
      <c r="AH995" s="2"/>
      <c r="AI995" s="28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</row>
    <row r="996" spans="1:48" ht="14.25" customHeight="1" x14ac:dyDescent="0.25">
      <c r="A996" s="2"/>
      <c r="B996" s="2"/>
      <c r="C996" s="2"/>
      <c r="D996" s="2"/>
      <c r="E996" s="2"/>
      <c r="F996" s="2"/>
      <c r="G996" s="26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81"/>
      <c r="AC996" s="2"/>
      <c r="AD996" s="2"/>
      <c r="AE996" s="281"/>
      <c r="AF996" s="2"/>
      <c r="AG996" s="2"/>
      <c r="AH996" s="2"/>
      <c r="AI996" s="28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</row>
    <row r="997" spans="1:48" ht="14.25" customHeight="1" x14ac:dyDescent="0.25">
      <c r="A997" s="2"/>
      <c r="B997" s="2"/>
      <c r="C997" s="2"/>
      <c r="D997" s="2"/>
      <c r="E997" s="2"/>
      <c r="F997" s="2"/>
      <c r="G997" s="26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81"/>
      <c r="AC997" s="2"/>
      <c r="AD997" s="2"/>
      <c r="AE997" s="281"/>
      <c r="AF997" s="2"/>
      <c r="AG997" s="2"/>
      <c r="AH997" s="2"/>
      <c r="AI997" s="28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</row>
    <row r="998" spans="1:48" ht="14.25" customHeight="1" x14ac:dyDescent="0.25">
      <c r="A998" s="2"/>
      <c r="B998" s="2"/>
      <c r="C998" s="2"/>
      <c r="D998" s="2"/>
      <c r="E998" s="2"/>
      <c r="F998" s="2"/>
      <c r="G998" s="26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81"/>
      <c r="AC998" s="2"/>
      <c r="AD998" s="2"/>
      <c r="AE998" s="281"/>
      <c r="AF998" s="2"/>
      <c r="AG998" s="2"/>
      <c r="AH998" s="2"/>
      <c r="AI998" s="28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</row>
    <row r="999" spans="1:48" ht="14.25" customHeight="1" x14ac:dyDescent="0.25">
      <c r="A999" s="2"/>
      <c r="B999" s="2"/>
      <c r="C999" s="2"/>
      <c r="D999" s="2"/>
      <c r="E999" s="2"/>
      <c r="F999" s="2"/>
      <c r="G999" s="26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81"/>
      <c r="AC999" s="2"/>
      <c r="AD999" s="2"/>
      <c r="AE999" s="281"/>
      <c r="AF999" s="2"/>
      <c r="AG999" s="2"/>
      <c r="AH999" s="2"/>
      <c r="AI999" s="28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</row>
    <row r="1000" spans="1:48" ht="14.25" customHeight="1" x14ac:dyDescent="0.25">
      <c r="A1000" s="2"/>
      <c r="B1000" s="2"/>
      <c r="C1000" s="2"/>
      <c r="D1000" s="2"/>
      <c r="E1000" s="2"/>
      <c r="F1000" s="2"/>
      <c r="G1000" s="26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81"/>
      <c r="AC1000" s="2"/>
      <c r="AD1000" s="2"/>
      <c r="AE1000" s="281"/>
      <c r="AF1000" s="2"/>
      <c r="AG1000" s="2"/>
      <c r="AH1000" s="2"/>
      <c r="AI1000" s="28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</row>
  </sheetData>
  <mergeCells count="1">
    <mergeCell ref="A1:A3"/>
  </mergeCells>
  <conditionalFormatting sqref="AV3">
    <cfRule type="cellIs" dxfId="11" priority="1" operator="equal">
      <formula>#REF!</formula>
    </cfRule>
  </conditionalFormatting>
  <conditionalFormatting sqref="AV3">
    <cfRule type="cellIs" dxfId="10" priority="2" operator="equal">
      <formula>#REF!</formula>
    </cfRule>
  </conditionalFormatting>
  <conditionalFormatting sqref="AV3">
    <cfRule type="cellIs" dxfId="9" priority="3" operator="equal">
      <formula>#REF!</formula>
    </cfRule>
  </conditionalFormatting>
  <conditionalFormatting sqref="AV3">
    <cfRule type="cellIs" dxfId="8" priority="4" operator="equal">
      <formula>#REF!</formula>
    </cfRule>
  </conditionalFormatting>
  <conditionalFormatting sqref="G3:AU3">
    <cfRule type="cellIs" dxfId="7" priority="5" operator="equal">
      <formula>#REF!</formula>
    </cfRule>
  </conditionalFormatting>
  <conditionalFormatting sqref="G3:AU3">
    <cfRule type="cellIs" dxfId="6" priority="6" operator="equal">
      <formula>#REF!</formula>
    </cfRule>
  </conditionalFormatting>
  <conditionalFormatting sqref="G3:AU3">
    <cfRule type="cellIs" dxfId="5" priority="7" operator="equal">
      <formula>#REF!</formula>
    </cfRule>
  </conditionalFormatting>
  <conditionalFormatting sqref="G3:AU3">
    <cfRule type="cellIs" dxfId="4" priority="8" operator="equal">
      <formula>#REF!</formula>
    </cfRule>
  </conditionalFormatting>
  <conditionalFormatting sqref="D3:AU3">
    <cfRule type="cellIs" dxfId="3" priority="9" operator="equal">
      <formula>#REF!</formula>
    </cfRule>
  </conditionalFormatting>
  <conditionalFormatting sqref="D3:AU3">
    <cfRule type="cellIs" dxfId="2" priority="10" operator="equal">
      <formula>#REF!</formula>
    </cfRule>
  </conditionalFormatting>
  <conditionalFormatting sqref="D3:AU3">
    <cfRule type="cellIs" dxfId="1" priority="11" operator="equal">
      <formula>#REF!</formula>
    </cfRule>
  </conditionalFormatting>
  <conditionalFormatting sqref="D3:AU3">
    <cfRule type="cellIs" dxfId="0" priority="12" operator="equal">
      <formula>#REF!</formula>
    </cfRule>
  </conditionalFormatting>
  <pageMargins left="0.7" right="0.7" top="0.75" bottom="0.75" header="0" footer="0"/>
  <pageSetup orientation="portrait"/>
  <headerFooter>
    <oddHeader>&amp;C000000OVERALL DRAW</oddHeader>
    <oddFooter>&amp;C000000PAGE &amp;P OF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DFE50-4E4B-4011-AC74-12A03E221C4B}">
  <sheetPr>
    <tabColor rgb="FFE68E8E"/>
  </sheetPr>
  <dimension ref="A1:AO160"/>
  <sheetViews>
    <sheetView zoomScale="80" zoomScaleNormal="80" workbookViewId="0">
      <selection activeCell="P150" sqref="P150"/>
    </sheetView>
  </sheetViews>
  <sheetFormatPr defaultRowHeight="15" x14ac:dyDescent="0.25"/>
  <cols>
    <col min="2" max="2" width="25.7109375" customWidth="1"/>
  </cols>
  <sheetData>
    <row r="1" spans="1:41" x14ac:dyDescent="0.25">
      <c r="A1" s="539"/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</row>
    <row r="2" spans="1:41" x14ac:dyDescent="0.25">
      <c r="A2" s="539"/>
      <c r="B2" s="540" t="s">
        <v>0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16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</row>
    <row r="3" spans="1:41" x14ac:dyDescent="0.25">
      <c r="A3" s="539"/>
      <c r="B3" s="539" t="s">
        <v>43</v>
      </c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</row>
    <row r="4" spans="1:41" ht="15.75" thickBot="1" x14ac:dyDescent="0.3">
      <c r="A4" s="539"/>
      <c r="B4" s="354"/>
      <c r="C4" s="354"/>
      <c r="D4" s="354"/>
      <c r="E4" s="354"/>
      <c r="F4" s="354"/>
      <c r="G4" s="354"/>
      <c r="H4" s="354"/>
      <c r="I4" s="354"/>
      <c r="J4" s="354"/>
      <c r="K4" s="539"/>
      <c r="L4" s="354"/>
      <c r="M4" s="354"/>
      <c r="N4" s="354"/>
      <c r="O4" s="354"/>
      <c r="P4" s="354"/>
      <c r="Q4" s="354"/>
      <c r="R4" s="354"/>
      <c r="S4" s="354"/>
      <c r="T4" s="354"/>
      <c r="U4" s="539"/>
      <c r="V4" s="539"/>
      <c r="W4" s="539"/>
      <c r="X4" s="539"/>
      <c r="Y4" s="539"/>
      <c r="Z4" s="539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</row>
    <row r="5" spans="1:41" ht="15.75" thickBot="1" x14ac:dyDescent="0.3">
      <c r="A5" s="354"/>
      <c r="B5" s="1048" t="s">
        <v>44</v>
      </c>
      <c r="C5" s="1049"/>
      <c r="D5" s="1049"/>
      <c r="E5" s="1049"/>
      <c r="F5" s="1049"/>
      <c r="G5" s="1049"/>
      <c r="H5" s="1049"/>
      <c r="I5" s="1049"/>
      <c r="J5" s="1050"/>
      <c r="K5" s="354"/>
      <c r="L5" s="1048" t="s">
        <v>45</v>
      </c>
      <c r="M5" s="1049"/>
      <c r="N5" s="1049"/>
      <c r="O5" s="1049"/>
      <c r="P5" s="1049"/>
      <c r="Q5" s="1049"/>
      <c r="R5" s="1049"/>
      <c r="S5" s="1049"/>
      <c r="T5" s="1050"/>
      <c r="U5" s="354"/>
      <c r="V5" s="1048" t="s">
        <v>46</v>
      </c>
      <c r="W5" s="1049"/>
      <c r="X5" s="1049"/>
      <c r="Y5" s="1049"/>
      <c r="Z5" s="1049"/>
      <c r="AA5" s="1049"/>
      <c r="AB5" s="1049"/>
      <c r="AC5" s="1049"/>
      <c r="AD5" s="1050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</row>
    <row r="6" spans="1:41" x14ac:dyDescent="0.25">
      <c r="A6" s="354"/>
      <c r="B6" s="689"/>
      <c r="C6" s="354"/>
      <c r="D6" s="354"/>
      <c r="E6" s="354"/>
      <c r="F6" s="354"/>
      <c r="G6" s="354"/>
      <c r="H6" s="354"/>
      <c r="I6" s="354"/>
      <c r="J6" s="786"/>
      <c r="K6" s="354"/>
      <c r="L6" s="689"/>
      <c r="M6" s="354"/>
      <c r="N6" s="354"/>
      <c r="O6" s="354"/>
      <c r="P6" s="354"/>
      <c r="Q6" s="354"/>
      <c r="R6" s="354"/>
      <c r="S6" s="354"/>
      <c r="T6" s="786"/>
      <c r="U6" s="354"/>
      <c r="V6" s="689"/>
      <c r="W6" s="354"/>
      <c r="X6" s="354"/>
      <c r="Y6" s="354"/>
      <c r="Z6" s="354"/>
      <c r="AA6" s="424"/>
      <c r="AB6" s="424"/>
      <c r="AC6" s="424"/>
      <c r="AD6" s="425"/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</row>
    <row r="7" spans="1:41" x14ac:dyDescent="0.25">
      <c r="A7" s="354"/>
      <c r="B7" s="689"/>
      <c r="C7" s="354"/>
      <c r="D7" s="354"/>
      <c r="E7" s="354"/>
      <c r="F7" s="354"/>
      <c r="G7" s="354"/>
      <c r="H7" s="354"/>
      <c r="I7" s="354"/>
      <c r="J7" s="786"/>
      <c r="K7" s="354"/>
      <c r="L7" s="689"/>
      <c r="M7" s="354"/>
      <c r="N7" s="354"/>
      <c r="O7" s="354"/>
      <c r="P7" s="354"/>
      <c r="Q7" s="354"/>
      <c r="R7" s="354"/>
      <c r="S7" s="354"/>
      <c r="T7" s="786"/>
      <c r="U7" s="354"/>
      <c r="V7" s="689"/>
      <c r="W7" s="354"/>
      <c r="X7" s="354"/>
      <c r="Y7" s="354"/>
      <c r="Z7" s="354"/>
      <c r="AA7" s="424"/>
      <c r="AB7" s="424"/>
      <c r="AC7" s="424"/>
      <c r="AD7" s="425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</row>
    <row r="8" spans="1:41" x14ac:dyDescent="0.25">
      <c r="A8" s="354"/>
      <c r="B8" s="689"/>
      <c r="C8" s="354"/>
      <c r="D8" s="354"/>
      <c r="E8" s="354"/>
      <c r="F8" s="354"/>
      <c r="G8" s="354"/>
      <c r="H8" s="354"/>
      <c r="I8" s="354"/>
      <c r="J8" s="786"/>
      <c r="K8" s="354"/>
      <c r="L8" s="689"/>
      <c r="M8" s="354"/>
      <c r="N8" s="354"/>
      <c r="O8" s="354"/>
      <c r="P8" s="354"/>
      <c r="Q8" s="354"/>
      <c r="R8" s="354"/>
      <c r="S8" s="354"/>
      <c r="T8" s="786"/>
      <c r="U8" s="354"/>
      <c r="V8" s="689"/>
      <c r="W8" s="354"/>
      <c r="X8" s="354"/>
      <c r="Y8" s="354"/>
      <c r="Z8" s="354"/>
      <c r="AA8" s="424"/>
      <c r="AB8" s="424"/>
      <c r="AC8" s="424"/>
      <c r="AD8" s="425"/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</row>
    <row r="9" spans="1:41" x14ac:dyDescent="0.25">
      <c r="A9" s="354"/>
      <c r="B9" s="689"/>
      <c r="C9" s="354"/>
      <c r="D9" s="354"/>
      <c r="E9" s="354"/>
      <c r="F9" s="354"/>
      <c r="G9" s="354"/>
      <c r="H9" s="354"/>
      <c r="I9" s="354"/>
      <c r="J9" s="786"/>
      <c r="K9" s="354"/>
      <c r="L9" s="689"/>
      <c r="M9" s="354"/>
      <c r="N9" s="354"/>
      <c r="O9" s="354"/>
      <c r="P9" s="354"/>
      <c r="Q9" s="354"/>
      <c r="R9" s="354"/>
      <c r="S9" s="354"/>
      <c r="T9" s="786"/>
      <c r="U9" s="354"/>
      <c r="V9" s="689"/>
      <c r="W9" s="354"/>
      <c r="X9" s="354"/>
      <c r="Y9" s="354"/>
      <c r="Z9" s="354"/>
      <c r="AA9" s="424"/>
      <c r="AB9" s="424"/>
      <c r="AC9" s="424"/>
      <c r="AD9" s="425"/>
      <c r="AE9" s="516"/>
      <c r="AF9" s="516"/>
      <c r="AG9" s="516"/>
      <c r="AH9" s="516"/>
      <c r="AI9" s="516"/>
      <c r="AJ9" s="516"/>
      <c r="AK9" s="516"/>
      <c r="AL9" s="516"/>
      <c r="AM9" s="516"/>
      <c r="AN9" s="516"/>
      <c r="AO9" s="516"/>
    </row>
    <row r="10" spans="1:41" x14ac:dyDescent="0.25">
      <c r="A10" s="354"/>
      <c r="B10" s="689"/>
      <c r="C10" s="354"/>
      <c r="D10" s="354"/>
      <c r="E10" s="354"/>
      <c r="F10" s="354"/>
      <c r="G10" s="354"/>
      <c r="H10" s="354"/>
      <c r="I10" s="354"/>
      <c r="J10" s="786"/>
      <c r="K10" s="354"/>
      <c r="L10" s="689"/>
      <c r="M10" s="354"/>
      <c r="N10" s="354"/>
      <c r="O10" s="354"/>
      <c r="P10" s="354"/>
      <c r="Q10" s="354"/>
      <c r="R10" s="354"/>
      <c r="S10" s="354"/>
      <c r="T10" s="786"/>
      <c r="U10" s="354"/>
      <c r="V10" s="689"/>
      <c r="W10" s="354"/>
      <c r="X10" s="354"/>
      <c r="Y10" s="354"/>
      <c r="Z10" s="354"/>
      <c r="AA10" s="424"/>
      <c r="AB10" s="424"/>
      <c r="AC10" s="424"/>
      <c r="AD10" s="425"/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</row>
    <row r="11" spans="1:41" x14ac:dyDescent="0.25">
      <c r="A11" s="354"/>
      <c r="B11" s="689"/>
      <c r="C11" s="354"/>
      <c r="D11" s="354"/>
      <c r="E11" s="354"/>
      <c r="F11" s="354"/>
      <c r="G11" s="354"/>
      <c r="H11" s="354"/>
      <c r="I11" s="354"/>
      <c r="J11" s="786"/>
      <c r="K11" s="354"/>
      <c r="L11" s="689"/>
      <c r="M11" s="354"/>
      <c r="N11" s="354"/>
      <c r="O11" s="354"/>
      <c r="P11" s="354"/>
      <c r="Q11" s="354"/>
      <c r="R11" s="354"/>
      <c r="S11" s="354"/>
      <c r="T11" s="786"/>
      <c r="U11" s="354"/>
      <c r="V11" s="689"/>
      <c r="W11" s="354"/>
      <c r="X11" s="354"/>
      <c r="Y11" s="354"/>
      <c r="Z11" s="354"/>
      <c r="AA11" s="424"/>
      <c r="AB11" s="424"/>
      <c r="AC11" s="424"/>
      <c r="AD11" s="425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</row>
    <row r="12" spans="1:41" x14ac:dyDescent="0.25">
      <c r="A12" s="354"/>
      <c r="B12" s="689"/>
      <c r="C12" s="354"/>
      <c r="D12" s="354"/>
      <c r="E12" s="354"/>
      <c r="F12" s="354"/>
      <c r="G12" s="354"/>
      <c r="H12" s="354"/>
      <c r="I12" s="354"/>
      <c r="J12" s="786"/>
      <c r="K12" s="354"/>
      <c r="L12" s="689"/>
      <c r="M12" s="354"/>
      <c r="N12" s="354"/>
      <c r="O12" s="354"/>
      <c r="P12" s="354"/>
      <c r="Q12" s="354"/>
      <c r="R12" s="354"/>
      <c r="S12" s="354"/>
      <c r="T12" s="786"/>
      <c r="U12" s="354"/>
      <c r="V12" s="689"/>
      <c r="W12" s="354"/>
      <c r="X12" s="354"/>
      <c r="Y12" s="354"/>
      <c r="Z12" s="354"/>
      <c r="AA12" s="424"/>
      <c r="AB12" s="424"/>
      <c r="AC12" s="424"/>
      <c r="AD12" s="425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</row>
    <row r="13" spans="1:41" x14ac:dyDescent="0.25">
      <c r="A13" s="354"/>
      <c r="B13" s="689"/>
      <c r="C13" s="354"/>
      <c r="D13" s="354"/>
      <c r="E13" s="354"/>
      <c r="F13" s="354"/>
      <c r="G13" s="354"/>
      <c r="H13" s="354"/>
      <c r="I13" s="354"/>
      <c r="J13" s="786"/>
      <c r="K13" s="354"/>
      <c r="L13" s="689"/>
      <c r="M13" s="354"/>
      <c r="N13" s="354"/>
      <c r="O13" s="354"/>
      <c r="P13" s="354"/>
      <c r="Q13" s="354"/>
      <c r="R13" s="354"/>
      <c r="S13" s="354"/>
      <c r="T13" s="786"/>
      <c r="U13" s="354"/>
      <c r="V13" s="689" t="s">
        <v>47</v>
      </c>
      <c r="W13" s="354"/>
      <c r="X13" s="354"/>
      <c r="Y13" s="354"/>
      <c r="Z13" s="354"/>
      <c r="AA13" s="424"/>
      <c r="AB13" s="424"/>
      <c r="AC13" s="424"/>
      <c r="AD13" s="425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</row>
    <row r="14" spans="1:41" x14ac:dyDescent="0.25">
      <c r="A14" s="354"/>
      <c r="B14" s="689"/>
      <c r="C14" s="354"/>
      <c r="D14" s="354"/>
      <c r="E14" s="354"/>
      <c r="F14" s="354"/>
      <c r="G14" s="354"/>
      <c r="H14" s="354"/>
      <c r="I14" s="354"/>
      <c r="J14" s="786"/>
      <c r="K14" s="354"/>
      <c r="L14" s="689"/>
      <c r="M14" s="354"/>
      <c r="N14" s="354"/>
      <c r="O14" s="354"/>
      <c r="P14" s="354"/>
      <c r="Q14" s="354"/>
      <c r="R14" s="354"/>
      <c r="S14" s="354"/>
      <c r="T14" s="786"/>
      <c r="U14" s="354"/>
      <c r="V14" s="689"/>
      <c r="W14" s="354"/>
      <c r="X14" s="354"/>
      <c r="Y14" s="354"/>
      <c r="Z14" s="354"/>
      <c r="AA14" s="424"/>
      <c r="AB14" s="424"/>
      <c r="AC14" s="424"/>
      <c r="AD14" s="425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</row>
    <row r="15" spans="1:41" x14ac:dyDescent="0.25">
      <c r="A15" s="354"/>
      <c r="B15" s="689"/>
      <c r="C15" s="354"/>
      <c r="D15" s="354"/>
      <c r="E15" s="354"/>
      <c r="F15" s="354"/>
      <c r="G15" s="354"/>
      <c r="H15" s="354"/>
      <c r="I15" s="354"/>
      <c r="J15" s="786"/>
      <c r="K15" s="354"/>
      <c r="L15" s="689"/>
      <c r="M15" s="354"/>
      <c r="N15" s="354"/>
      <c r="O15" s="354"/>
      <c r="P15" s="354"/>
      <c r="Q15" s="354"/>
      <c r="R15" s="354"/>
      <c r="S15" s="354"/>
      <c r="T15" s="786"/>
      <c r="U15" s="354"/>
      <c r="V15" s="689"/>
      <c r="W15" s="354"/>
      <c r="X15" s="354"/>
      <c r="Y15" s="354"/>
      <c r="Z15" s="354"/>
      <c r="AA15" s="424"/>
      <c r="AB15" s="424"/>
      <c r="AC15" s="424"/>
      <c r="AD15" s="425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</row>
    <row r="16" spans="1:41" x14ac:dyDescent="0.25">
      <c r="A16" s="354"/>
      <c r="B16" s="689"/>
      <c r="C16" s="354"/>
      <c r="D16" s="354"/>
      <c r="E16" s="354"/>
      <c r="F16" s="354"/>
      <c r="G16" s="354"/>
      <c r="H16" s="354"/>
      <c r="I16" s="354"/>
      <c r="J16" s="786"/>
      <c r="K16" s="354"/>
      <c r="L16" s="689"/>
      <c r="M16" s="354"/>
      <c r="N16" s="354"/>
      <c r="O16" s="354"/>
      <c r="P16" s="354"/>
      <c r="Q16" s="354"/>
      <c r="R16" s="354"/>
      <c r="S16" s="354"/>
      <c r="T16" s="786"/>
      <c r="U16" s="354"/>
      <c r="V16" s="689"/>
      <c r="W16" s="354"/>
      <c r="X16" s="354"/>
      <c r="Y16" s="354"/>
      <c r="Z16" s="354"/>
      <c r="AA16" s="424"/>
      <c r="AB16" s="424"/>
      <c r="AC16" s="424"/>
      <c r="AD16" s="425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</row>
    <row r="17" spans="1:41" x14ac:dyDescent="0.25">
      <c r="A17" s="354"/>
      <c r="B17" s="689"/>
      <c r="C17" s="354"/>
      <c r="D17" s="354"/>
      <c r="E17" s="354"/>
      <c r="F17" s="354"/>
      <c r="G17" s="354"/>
      <c r="H17" s="354"/>
      <c r="I17" s="354"/>
      <c r="J17" s="786"/>
      <c r="K17" s="354"/>
      <c r="L17" s="689"/>
      <c r="M17" s="354"/>
      <c r="N17" s="354"/>
      <c r="O17" s="354"/>
      <c r="P17" s="354"/>
      <c r="Q17" s="354"/>
      <c r="R17" s="354"/>
      <c r="S17" s="354"/>
      <c r="T17" s="786"/>
      <c r="U17" s="354"/>
      <c r="V17" s="689"/>
      <c r="W17" s="354"/>
      <c r="X17" s="354"/>
      <c r="Y17" s="354"/>
      <c r="Z17" s="354"/>
      <c r="AA17" s="424"/>
      <c r="AB17" s="424"/>
      <c r="AC17" s="424"/>
      <c r="AD17" s="425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</row>
    <row r="18" spans="1:41" x14ac:dyDescent="0.25">
      <c r="A18" s="354"/>
      <c r="B18" s="689"/>
      <c r="C18" s="354"/>
      <c r="D18" s="354"/>
      <c r="E18" s="354"/>
      <c r="F18" s="354"/>
      <c r="G18" s="354"/>
      <c r="H18" s="354"/>
      <c r="I18" s="354"/>
      <c r="J18" s="786"/>
      <c r="K18" s="354"/>
      <c r="L18" s="689"/>
      <c r="M18" s="354"/>
      <c r="N18" s="354"/>
      <c r="O18" s="354"/>
      <c r="P18" s="354"/>
      <c r="Q18" s="354"/>
      <c r="R18" s="354"/>
      <c r="S18" s="354"/>
      <c r="T18" s="786"/>
      <c r="U18" s="354"/>
      <c r="V18" s="689"/>
      <c r="W18" s="354"/>
      <c r="X18" s="354"/>
      <c r="Y18" s="354"/>
      <c r="Z18" s="354"/>
      <c r="AA18" s="424"/>
      <c r="AB18" s="424"/>
      <c r="AC18" s="424"/>
      <c r="AD18" s="425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</row>
    <row r="19" spans="1:41" x14ac:dyDescent="0.25">
      <c r="A19" s="354"/>
      <c r="B19" s="689"/>
      <c r="C19" s="354"/>
      <c r="D19" s="354"/>
      <c r="E19" s="354"/>
      <c r="F19" s="354"/>
      <c r="G19" s="354"/>
      <c r="H19" s="354"/>
      <c r="I19" s="354"/>
      <c r="J19" s="786"/>
      <c r="K19" s="354"/>
      <c r="L19" s="689"/>
      <c r="M19" s="354"/>
      <c r="N19" s="354"/>
      <c r="O19" s="354"/>
      <c r="P19" s="354"/>
      <c r="Q19" s="354"/>
      <c r="R19" s="354"/>
      <c r="S19" s="354"/>
      <c r="T19" s="786"/>
      <c r="U19" s="354"/>
      <c r="V19" s="689"/>
      <c r="W19" s="354"/>
      <c r="X19" s="354"/>
      <c r="Y19" s="354"/>
      <c r="Z19" s="354"/>
      <c r="AA19" s="424"/>
      <c r="AB19" s="424"/>
      <c r="AC19" s="424"/>
      <c r="AD19" s="425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</row>
    <row r="20" spans="1:41" x14ac:dyDescent="0.25">
      <c r="A20" s="354"/>
      <c r="B20" s="689"/>
      <c r="C20" s="354"/>
      <c r="D20" s="354"/>
      <c r="E20" s="354"/>
      <c r="F20" s="354"/>
      <c r="G20" s="354"/>
      <c r="H20" s="354"/>
      <c r="I20" s="354"/>
      <c r="J20" s="786"/>
      <c r="K20" s="354"/>
      <c r="L20" s="689"/>
      <c r="M20" s="354"/>
      <c r="N20" s="354"/>
      <c r="O20" s="354"/>
      <c r="P20" s="354"/>
      <c r="Q20" s="354"/>
      <c r="R20" s="354"/>
      <c r="S20" s="354"/>
      <c r="T20" s="786"/>
      <c r="U20" s="354"/>
      <c r="V20" s="689"/>
      <c r="W20" s="354"/>
      <c r="X20" s="354"/>
      <c r="Y20" s="354"/>
      <c r="Z20" s="354"/>
      <c r="AA20" s="424"/>
      <c r="AB20" s="424"/>
      <c r="AC20" s="424"/>
      <c r="AD20" s="425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</row>
    <row r="21" spans="1:41" x14ac:dyDescent="0.25">
      <c r="A21" s="354"/>
      <c r="B21" s="689"/>
      <c r="C21" s="354"/>
      <c r="D21" s="354"/>
      <c r="E21" s="354"/>
      <c r="F21" s="354"/>
      <c r="G21" s="354"/>
      <c r="H21" s="354"/>
      <c r="I21" s="354"/>
      <c r="J21" s="786"/>
      <c r="K21" s="354"/>
      <c r="L21" s="689"/>
      <c r="M21" s="354"/>
      <c r="N21" s="354"/>
      <c r="O21" s="354"/>
      <c r="P21" s="354"/>
      <c r="Q21" s="354"/>
      <c r="R21" s="354"/>
      <c r="S21" s="354"/>
      <c r="T21" s="786"/>
      <c r="U21" s="354"/>
      <c r="V21" s="689"/>
      <c r="W21" s="354"/>
      <c r="X21" s="354"/>
      <c r="Y21" s="354"/>
      <c r="Z21" s="354"/>
      <c r="AA21" s="424"/>
      <c r="AB21" s="424"/>
      <c r="AC21" s="424"/>
      <c r="AD21" s="425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</row>
    <row r="22" spans="1:41" x14ac:dyDescent="0.25">
      <c r="A22" s="354"/>
      <c r="B22" s="689"/>
      <c r="C22" s="354"/>
      <c r="D22" s="354"/>
      <c r="E22" s="354"/>
      <c r="F22" s="354"/>
      <c r="G22" s="354"/>
      <c r="H22" s="354"/>
      <c r="I22" s="354"/>
      <c r="J22" s="786"/>
      <c r="K22" s="354"/>
      <c r="L22" s="689"/>
      <c r="M22" s="354"/>
      <c r="N22" s="354"/>
      <c r="O22" s="354"/>
      <c r="P22" s="354"/>
      <c r="Q22" s="354"/>
      <c r="R22" s="354"/>
      <c r="S22" s="354"/>
      <c r="T22" s="786"/>
      <c r="U22" s="354"/>
      <c r="V22" s="689"/>
      <c r="W22" s="354"/>
      <c r="X22" s="354"/>
      <c r="Y22" s="354"/>
      <c r="Z22" s="354"/>
      <c r="AA22" s="424"/>
      <c r="AB22" s="424"/>
      <c r="AC22" s="424"/>
      <c r="AD22" s="425"/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</row>
    <row r="23" spans="1:41" x14ac:dyDescent="0.25">
      <c r="A23" s="354"/>
      <c r="B23" s="689"/>
      <c r="C23" s="354"/>
      <c r="D23" s="354"/>
      <c r="E23" s="354"/>
      <c r="F23" s="354"/>
      <c r="G23" s="354"/>
      <c r="H23" s="354"/>
      <c r="I23" s="354"/>
      <c r="J23" s="786"/>
      <c r="K23" s="354"/>
      <c r="L23" s="689"/>
      <c r="M23" s="354"/>
      <c r="N23" s="354"/>
      <c r="O23" s="354"/>
      <c r="P23" s="354"/>
      <c r="Q23" s="354"/>
      <c r="R23" s="354"/>
      <c r="S23" s="354"/>
      <c r="T23" s="786"/>
      <c r="U23" s="354"/>
      <c r="V23" s="689"/>
      <c r="W23" s="354"/>
      <c r="X23" s="354"/>
      <c r="Y23" s="354"/>
      <c r="Z23" s="354"/>
      <c r="AA23" s="424"/>
      <c r="AB23" s="424"/>
      <c r="AC23" s="424"/>
      <c r="AD23" s="425"/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</row>
    <row r="24" spans="1:41" x14ac:dyDescent="0.25">
      <c r="A24" s="354"/>
      <c r="B24" s="390"/>
      <c r="C24" s="424"/>
      <c r="D24" s="424"/>
      <c r="E24" s="424"/>
      <c r="F24" s="424"/>
      <c r="G24" s="424"/>
      <c r="H24" s="424"/>
      <c r="I24" s="354"/>
      <c r="J24" s="786"/>
      <c r="K24" s="354"/>
      <c r="L24" s="689"/>
      <c r="M24" s="354"/>
      <c r="N24" s="354"/>
      <c r="O24" s="354"/>
      <c r="P24" s="354"/>
      <c r="Q24" s="354"/>
      <c r="R24" s="354"/>
      <c r="S24" s="354"/>
      <c r="T24" s="786"/>
      <c r="U24" s="354"/>
      <c r="V24" s="689"/>
      <c r="W24" s="354"/>
      <c r="X24" s="354"/>
      <c r="Y24" s="354"/>
      <c r="Z24" s="354"/>
      <c r="AA24" s="424"/>
      <c r="AB24" s="424"/>
      <c r="AC24" s="424"/>
      <c r="AD24" s="425"/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</row>
    <row r="25" spans="1:41" x14ac:dyDescent="0.25">
      <c r="A25" s="354"/>
      <c r="B25" s="689" t="s">
        <v>48</v>
      </c>
      <c r="C25" s="354"/>
      <c r="D25" s="354"/>
      <c r="E25" s="354"/>
      <c r="F25" s="354"/>
      <c r="G25" s="354"/>
      <c r="H25" s="354"/>
      <c r="I25" s="354"/>
      <c r="J25" s="786"/>
      <c r="K25" s="354"/>
      <c r="L25" s="689"/>
      <c r="M25" s="354"/>
      <c r="N25" s="354"/>
      <c r="O25" s="354"/>
      <c r="P25" s="354"/>
      <c r="Q25" s="354"/>
      <c r="R25" s="354"/>
      <c r="S25" s="354"/>
      <c r="T25" s="786"/>
      <c r="U25" s="354"/>
      <c r="V25" s="689"/>
      <c r="W25" s="354"/>
      <c r="X25" s="354"/>
      <c r="Y25" s="354"/>
      <c r="Z25" s="354"/>
      <c r="AA25" s="424"/>
      <c r="AB25" s="424"/>
      <c r="AC25" s="424"/>
      <c r="AD25" s="425"/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</row>
    <row r="26" spans="1:41" x14ac:dyDescent="0.25">
      <c r="A26" s="354"/>
      <c r="B26" s="689" t="s">
        <v>49</v>
      </c>
      <c r="C26" s="354"/>
      <c r="D26" s="354"/>
      <c r="E26" s="354"/>
      <c r="F26" s="354"/>
      <c r="G26" s="354"/>
      <c r="H26" s="354"/>
      <c r="I26" s="354"/>
      <c r="J26" s="786"/>
      <c r="K26" s="354"/>
      <c r="L26" s="689"/>
      <c r="M26" s="354"/>
      <c r="N26" s="354"/>
      <c r="O26" s="354"/>
      <c r="P26" s="354"/>
      <c r="Q26" s="354"/>
      <c r="R26" s="354"/>
      <c r="S26" s="354"/>
      <c r="T26" s="786"/>
      <c r="U26" s="354"/>
      <c r="V26" s="689"/>
      <c r="W26" s="354"/>
      <c r="X26" s="354"/>
      <c r="Y26" s="354"/>
      <c r="Z26" s="354"/>
      <c r="AA26" s="424"/>
      <c r="AB26" s="424"/>
      <c r="AC26" s="424"/>
      <c r="AD26" s="425"/>
      <c r="AE26" s="516"/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</row>
    <row r="27" spans="1:41" x14ac:dyDescent="0.25">
      <c r="A27" s="354"/>
      <c r="B27" s="689" t="s">
        <v>50</v>
      </c>
      <c r="C27" s="354"/>
      <c r="D27" s="354"/>
      <c r="E27" s="354"/>
      <c r="F27" s="354"/>
      <c r="G27" s="354"/>
      <c r="H27" s="354"/>
      <c r="I27" s="354"/>
      <c r="J27" s="786"/>
      <c r="K27" s="354"/>
      <c r="L27" s="689" t="s">
        <v>51</v>
      </c>
      <c r="M27" s="354"/>
      <c r="N27" s="354"/>
      <c r="O27" s="354"/>
      <c r="P27" s="354"/>
      <c r="Q27" s="354"/>
      <c r="R27" s="354"/>
      <c r="S27" s="354"/>
      <c r="T27" s="786"/>
      <c r="U27" s="354"/>
      <c r="V27" s="689"/>
      <c r="W27" s="354"/>
      <c r="X27" s="354"/>
      <c r="Y27" s="354"/>
      <c r="Z27" s="354"/>
      <c r="AA27" s="424"/>
      <c r="AB27" s="424"/>
      <c r="AC27" s="424"/>
      <c r="AD27" s="425"/>
      <c r="AE27" s="516"/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</row>
    <row r="28" spans="1:41" x14ac:dyDescent="0.25">
      <c r="A28" s="354"/>
      <c r="B28" s="689"/>
      <c r="C28" s="354"/>
      <c r="D28" s="354"/>
      <c r="E28" s="354"/>
      <c r="F28" s="354"/>
      <c r="G28" s="354"/>
      <c r="H28" s="354"/>
      <c r="I28" s="354"/>
      <c r="J28" s="786"/>
      <c r="K28" s="354"/>
      <c r="L28" s="689"/>
      <c r="M28" s="354"/>
      <c r="N28" s="354"/>
      <c r="O28" s="354"/>
      <c r="P28" s="354"/>
      <c r="Q28" s="354"/>
      <c r="R28" s="354"/>
      <c r="S28" s="354"/>
      <c r="T28" s="786"/>
      <c r="U28" s="354"/>
      <c r="V28" s="689"/>
      <c r="W28" s="354"/>
      <c r="X28" s="354"/>
      <c r="Y28" s="354"/>
      <c r="Z28" s="354"/>
      <c r="AA28" s="424"/>
      <c r="AB28" s="424"/>
      <c r="AC28" s="424"/>
      <c r="AD28" s="425"/>
      <c r="AE28" s="516"/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</row>
    <row r="29" spans="1:41" ht="15.75" thickBot="1" x14ac:dyDescent="0.3">
      <c r="A29" s="354"/>
      <c r="B29" s="685" t="s">
        <v>52</v>
      </c>
      <c r="C29" s="777"/>
      <c r="D29" s="777"/>
      <c r="E29" s="777"/>
      <c r="F29" s="777"/>
      <c r="G29" s="777"/>
      <c r="H29" s="777"/>
      <c r="I29" s="777"/>
      <c r="J29" s="844"/>
      <c r="K29" s="354"/>
      <c r="L29" s="685" t="s">
        <v>53</v>
      </c>
      <c r="M29" s="777"/>
      <c r="N29" s="777"/>
      <c r="O29" s="777"/>
      <c r="P29" s="777"/>
      <c r="Q29" s="777"/>
      <c r="R29" s="777"/>
      <c r="S29" s="777"/>
      <c r="T29" s="844"/>
      <c r="U29" s="354"/>
      <c r="V29" s="689"/>
      <c r="W29" s="354"/>
      <c r="X29" s="354"/>
      <c r="Y29" s="354"/>
      <c r="Z29" s="354"/>
      <c r="AA29" s="424"/>
      <c r="AB29" s="424"/>
      <c r="AC29" s="424"/>
      <c r="AD29" s="425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</row>
    <row r="30" spans="1:41" ht="15.75" thickBot="1" x14ac:dyDescent="0.3">
      <c r="A30" s="539"/>
      <c r="B30" s="354"/>
      <c r="C30" s="354"/>
      <c r="D30" s="354"/>
      <c r="E30" s="354"/>
      <c r="F30" s="354"/>
      <c r="G30" s="354"/>
      <c r="H30" s="354"/>
      <c r="I30" s="354"/>
      <c r="J30" s="354"/>
      <c r="K30" s="539"/>
      <c r="L30" s="354"/>
      <c r="M30" s="354"/>
      <c r="N30" s="354"/>
      <c r="O30" s="354"/>
      <c r="P30" s="354"/>
      <c r="Q30" s="354"/>
      <c r="R30" s="354"/>
      <c r="S30" s="354"/>
      <c r="T30" s="354"/>
      <c r="U30" s="539"/>
      <c r="V30" s="689"/>
      <c r="W30" s="354"/>
      <c r="X30" s="354"/>
      <c r="Y30" s="354"/>
      <c r="Z30" s="354"/>
      <c r="AA30" s="424"/>
      <c r="AB30" s="424"/>
      <c r="AC30" s="424"/>
      <c r="AD30" s="425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</row>
    <row r="31" spans="1:41" ht="15.75" thickBot="1" x14ac:dyDescent="0.3">
      <c r="A31" s="539"/>
      <c r="B31" s="1048" t="s">
        <v>54</v>
      </c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50"/>
      <c r="U31" s="539"/>
      <c r="V31" s="689"/>
      <c r="W31" s="354"/>
      <c r="X31" s="354"/>
      <c r="Y31" s="354"/>
      <c r="Z31" s="354"/>
      <c r="AA31" s="424"/>
      <c r="AB31" s="424"/>
      <c r="AC31" s="424"/>
      <c r="AD31" s="425"/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</row>
    <row r="32" spans="1:41" x14ac:dyDescent="0.25">
      <c r="A32" s="354"/>
      <c r="B32" s="689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539"/>
      <c r="T32" s="786"/>
      <c r="U32" s="354"/>
      <c r="V32" s="689"/>
      <c r="W32" s="354"/>
      <c r="X32" s="354"/>
      <c r="Y32" s="354"/>
      <c r="Z32" s="354"/>
      <c r="AA32" s="424"/>
      <c r="AB32" s="424"/>
      <c r="AC32" s="424"/>
      <c r="AD32" s="425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</row>
    <row r="33" spans="1:41" x14ac:dyDescent="0.25">
      <c r="A33" s="354"/>
      <c r="B33" s="689" t="s">
        <v>55</v>
      </c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539"/>
      <c r="T33" s="786"/>
      <c r="U33" s="354"/>
      <c r="V33" s="689"/>
      <c r="W33" s="354"/>
      <c r="X33" s="354"/>
      <c r="Y33" s="354"/>
      <c r="Z33" s="354"/>
      <c r="AA33" s="424"/>
      <c r="AB33" s="424"/>
      <c r="AC33" s="424"/>
      <c r="AD33" s="425"/>
      <c r="AE33" s="516"/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</row>
    <row r="34" spans="1:41" x14ac:dyDescent="0.25">
      <c r="A34" s="354"/>
      <c r="B34" s="689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539"/>
      <c r="T34" s="786"/>
      <c r="U34" s="354"/>
      <c r="V34" s="689"/>
      <c r="W34" s="354"/>
      <c r="X34" s="354"/>
      <c r="Y34" s="354"/>
      <c r="Z34" s="354"/>
      <c r="AA34" s="424"/>
      <c r="AB34" s="424"/>
      <c r="AC34" s="424"/>
      <c r="AD34" s="425"/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</row>
    <row r="35" spans="1:41" x14ac:dyDescent="0.25">
      <c r="A35" s="354"/>
      <c r="B35" s="689" t="s">
        <v>56</v>
      </c>
      <c r="C35" s="354"/>
      <c r="D35" s="354"/>
      <c r="E35" s="354"/>
      <c r="F35" s="354"/>
      <c r="G35" s="354"/>
      <c r="H35" s="354"/>
      <c r="I35" s="354"/>
      <c r="J35" s="354" t="s">
        <v>57</v>
      </c>
      <c r="K35" s="354"/>
      <c r="L35" s="354"/>
      <c r="M35" s="354"/>
      <c r="N35" s="354"/>
      <c r="O35" s="354"/>
      <c r="P35" s="354"/>
      <c r="Q35" s="354"/>
      <c r="R35" s="354"/>
      <c r="S35" s="539"/>
      <c r="T35" s="786"/>
      <c r="U35" s="354"/>
      <c r="V35" s="689"/>
      <c r="W35" s="354"/>
      <c r="X35" s="354"/>
      <c r="Y35" s="354"/>
      <c r="Z35" s="354"/>
      <c r="AA35" s="424"/>
      <c r="AB35" s="424"/>
      <c r="AC35" s="424"/>
      <c r="AD35" s="425"/>
      <c r="AE35" s="516"/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</row>
    <row r="36" spans="1:41" x14ac:dyDescent="0.25">
      <c r="A36" s="354"/>
      <c r="B36" s="689"/>
      <c r="C36" s="354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539"/>
      <c r="T36" s="786"/>
      <c r="U36" s="354"/>
      <c r="V36" s="689"/>
      <c r="W36" s="354"/>
      <c r="X36" s="354"/>
      <c r="Y36" s="354"/>
      <c r="Z36" s="354"/>
      <c r="AA36" s="424"/>
      <c r="AB36" s="424"/>
      <c r="AC36" s="424"/>
      <c r="AD36" s="425"/>
      <c r="AE36" s="516"/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</row>
    <row r="37" spans="1:41" x14ac:dyDescent="0.25">
      <c r="A37" s="354"/>
      <c r="B37" s="689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4"/>
      <c r="O37" s="354"/>
      <c r="P37" s="354"/>
      <c r="Q37" s="354"/>
      <c r="R37" s="354"/>
      <c r="S37" s="539"/>
      <c r="T37" s="786"/>
      <c r="U37" s="354"/>
      <c r="V37" s="689"/>
      <c r="W37" s="354"/>
      <c r="X37" s="354"/>
      <c r="Y37" s="354"/>
      <c r="Z37" s="354"/>
      <c r="AA37" s="424"/>
      <c r="AB37" s="424"/>
      <c r="AC37" s="424"/>
      <c r="AD37" s="425"/>
      <c r="AE37" s="516"/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</row>
    <row r="38" spans="1:41" x14ac:dyDescent="0.25">
      <c r="A38" s="354"/>
      <c r="B38" s="689"/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4"/>
      <c r="O38" s="354"/>
      <c r="P38" s="354"/>
      <c r="Q38" s="354"/>
      <c r="R38" s="354"/>
      <c r="S38" s="539"/>
      <c r="T38" s="786"/>
      <c r="U38" s="354"/>
      <c r="V38" s="689"/>
      <c r="W38" s="354"/>
      <c r="X38" s="354"/>
      <c r="Y38" s="354"/>
      <c r="Z38" s="354"/>
      <c r="AA38" s="424"/>
      <c r="AB38" s="424"/>
      <c r="AC38" s="424"/>
      <c r="AD38" s="425"/>
      <c r="AE38" s="516"/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</row>
    <row r="39" spans="1:41" x14ac:dyDescent="0.25">
      <c r="A39" s="354"/>
      <c r="B39" s="689"/>
      <c r="C39" s="354"/>
      <c r="D39" s="354"/>
      <c r="E39" s="354"/>
      <c r="F39" s="354"/>
      <c r="G39" s="354"/>
      <c r="H39" s="354"/>
      <c r="I39" s="354"/>
      <c r="J39" s="354"/>
      <c r="K39" s="354"/>
      <c r="L39" s="354"/>
      <c r="M39" s="354"/>
      <c r="N39" s="354"/>
      <c r="O39" s="354"/>
      <c r="P39" s="354"/>
      <c r="Q39" s="354"/>
      <c r="R39" s="354"/>
      <c r="S39" s="539"/>
      <c r="T39" s="786"/>
      <c r="U39" s="354"/>
      <c r="V39" s="689"/>
      <c r="W39" s="354"/>
      <c r="X39" s="354"/>
      <c r="Y39" s="354"/>
      <c r="Z39" s="354"/>
      <c r="AA39" s="424"/>
      <c r="AB39" s="424"/>
      <c r="AC39" s="424"/>
      <c r="AD39" s="425"/>
      <c r="AE39" s="516"/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</row>
    <row r="40" spans="1:41" x14ac:dyDescent="0.25">
      <c r="A40" s="354"/>
      <c r="B40" s="689"/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  <c r="R40" s="354"/>
      <c r="S40" s="539"/>
      <c r="T40" s="786"/>
      <c r="U40" s="354"/>
      <c r="V40" s="689"/>
      <c r="W40" s="354"/>
      <c r="X40" s="354"/>
      <c r="Y40" s="354"/>
      <c r="Z40" s="354"/>
      <c r="AA40" s="424"/>
      <c r="AB40" s="424"/>
      <c r="AC40" s="424"/>
      <c r="AD40" s="425"/>
      <c r="AE40" s="516"/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</row>
    <row r="41" spans="1:41" x14ac:dyDescent="0.25">
      <c r="A41" s="354"/>
      <c r="B41" s="689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539"/>
      <c r="T41" s="786"/>
      <c r="U41" s="354"/>
      <c r="V41" s="689"/>
      <c r="W41" s="354"/>
      <c r="X41" s="354"/>
      <c r="Y41" s="354"/>
      <c r="Z41" s="354"/>
      <c r="AA41" s="424"/>
      <c r="AB41" s="424"/>
      <c r="AC41" s="424"/>
      <c r="AD41" s="425"/>
      <c r="AE41" s="516"/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</row>
    <row r="42" spans="1:41" x14ac:dyDescent="0.25">
      <c r="A42" s="354"/>
      <c r="B42" s="689"/>
      <c r="C42" s="354"/>
      <c r="D42" s="354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4"/>
      <c r="Q42" s="354"/>
      <c r="R42" s="354"/>
      <c r="S42" s="539"/>
      <c r="T42" s="786"/>
      <c r="U42" s="354"/>
      <c r="V42" s="689"/>
      <c r="W42" s="354"/>
      <c r="X42" s="354"/>
      <c r="Y42" s="354"/>
      <c r="Z42" s="354"/>
      <c r="AA42" s="424"/>
      <c r="AB42" s="424"/>
      <c r="AC42" s="424"/>
      <c r="AD42" s="425"/>
      <c r="AE42" s="516"/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</row>
    <row r="43" spans="1:41" x14ac:dyDescent="0.25">
      <c r="A43" s="354"/>
      <c r="B43" s="689"/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539"/>
      <c r="T43" s="786"/>
      <c r="U43" s="354"/>
      <c r="V43" s="689"/>
      <c r="W43" s="354"/>
      <c r="X43" s="354"/>
      <c r="Y43" s="354"/>
      <c r="Z43" s="354"/>
      <c r="AA43" s="424"/>
      <c r="AB43" s="424"/>
      <c r="AC43" s="424"/>
      <c r="AD43" s="425"/>
      <c r="AE43" s="516"/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</row>
    <row r="44" spans="1:41" x14ac:dyDescent="0.25">
      <c r="A44" s="354"/>
      <c r="B44" s="689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539"/>
      <c r="T44" s="786"/>
      <c r="U44" s="354"/>
      <c r="V44" s="689"/>
      <c r="W44" s="354"/>
      <c r="X44" s="354"/>
      <c r="Y44" s="354"/>
      <c r="Z44" s="354"/>
      <c r="AA44" s="424"/>
      <c r="AB44" s="424"/>
      <c r="AC44" s="424"/>
      <c r="AD44" s="425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</row>
    <row r="45" spans="1:41" x14ac:dyDescent="0.25">
      <c r="A45" s="354"/>
      <c r="B45" s="689"/>
      <c r="C45" s="354"/>
      <c r="D45" s="354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539"/>
      <c r="T45" s="786"/>
      <c r="U45" s="354"/>
      <c r="V45" s="689"/>
      <c r="W45" s="354"/>
      <c r="X45" s="354"/>
      <c r="Y45" s="354"/>
      <c r="Z45" s="354"/>
      <c r="AA45" s="424"/>
      <c r="AB45" s="424"/>
      <c r="AC45" s="424"/>
      <c r="AD45" s="425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</row>
    <row r="46" spans="1:41" x14ac:dyDescent="0.25">
      <c r="A46" s="354"/>
      <c r="B46" s="689"/>
      <c r="C46" s="354"/>
      <c r="D46" s="354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539"/>
      <c r="T46" s="786"/>
      <c r="U46" s="354"/>
      <c r="V46" s="689"/>
      <c r="W46" s="354"/>
      <c r="X46" s="354"/>
      <c r="Y46" s="354"/>
      <c r="Z46" s="354"/>
      <c r="AA46" s="424"/>
      <c r="AB46" s="424"/>
      <c r="AC46" s="424"/>
      <c r="AD46" s="425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</row>
    <row r="47" spans="1:41" x14ac:dyDescent="0.25">
      <c r="A47" s="354"/>
      <c r="B47" s="689"/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539"/>
      <c r="T47" s="786"/>
      <c r="U47" s="354"/>
      <c r="V47" s="689"/>
      <c r="W47" s="354"/>
      <c r="X47" s="354"/>
      <c r="Y47" s="354"/>
      <c r="Z47" s="354"/>
      <c r="AA47" s="424"/>
      <c r="AB47" s="424"/>
      <c r="AC47" s="424"/>
      <c r="AD47" s="425"/>
      <c r="AE47" s="516"/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</row>
    <row r="48" spans="1:41" x14ac:dyDescent="0.25">
      <c r="A48" s="354"/>
      <c r="B48" s="689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539"/>
      <c r="T48" s="786"/>
      <c r="U48" s="354"/>
      <c r="V48" s="689"/>
      <c r="W48" s="354"/>
      <c r="X48" s="354"/>
      <c r="Y48" s="354"/>
      <c r="Z48" s="354"/>
      <c r="AA48" s="424"/>
      <c r="AB48" s="424"/>
      <c r="AC48" s="424"/>
      <c r="AD48" s="425"/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</row>
    <row r="49" spans="1:41" x14ac:dyDescent="0.25">
      <c r="A49" s="354"/>
      <c r="B49" s="689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539"/>
      <c r="T49" s="786"/>
      <c r="U49" s="354"/>
      <c r="V49" s="689" t="s">
        <v>58</v>
      </c>
      <c r="W49" s="354"/>
      <c r="X49" s="354"/>
      <c r="Y49" s="354"/>
      <c r="Z49" s="354"/>
      <c r="AA49" s="424"/>
      <c r="AB49" s="424"/>
      <c r="AC49" s="424"/>
      <c r="AD49" s="425"/>
      <c r="AE49" s="516"/>
      <c r="AF49" s="516"/>
      <c r="AG49" s="516"/>
      <c r="AH49" s="516"/>
      <c r="AI49" s="516"/>
      <c r="AJ49" s="516"/>
      <c r="AK49" s="516"/>
      <c r="AL49" s="516"/>
      <c r="AM49" s="516"/>
      <c r="AN49" s="516"/>
      <c r="AO49" s="516"/>
    </row>
    <row r="50" spans="1:41" x14ac:dyDescent="0.25">
      <c r="A50" s="354"/>
      <c r="B50" s="689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539"/>
      <c r="T50" s="786"/>
      <c r="U50" s="354"/>
      <c r="V50" s="390"/>
      <c r="W50" s="424"/>
      <c r="X50" s="516"/>
      <c r="Y50" s="516"/>
      <c r="Z50" s="516"/>
      <c r="AA50" s="516"/>
      <c r="AB50" s="516"/>
      <c r="AC50" s="424"/>
      <c r="AD50" s="425"/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</row>
    <row r="51" spans="1:41" x14ac:dyDescent="0.25">
      <c r="A51" s="354"/>
      <c r="B51" s="689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539"/>
      <c r="T51" s="786"/>
      <c r="U51" s="354"/>
      <c r="V51" s="689" t="s">
        <v>59</v>
      </c>
      <c r="W51" s="354"/>
      <c r="X51" s="354"/>
      <c r="Y51" s="354"/>
      <c r="Z51" s="354"/>
      <c r="AA51" s="424"/>
      <c r="AB51" s="424"/>
      <c r="AC51" s="424"/>
      <c r="AD51" s="425"/>
      <c r="AE51" s="516"/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</row>
    <row r="52" spans="1:41" x14ac:dyDescent="0.25">
      <c r="A52" s="354"/>
      <c r="B52" s="689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539"/>
      <c r="T52" s="786"/>
      <c r="U52" s="354"/>
      <c r="V52" s="689" t="s">
        <v>60</v>
      </c>
      <c r="W52" s="516"/>
      <c r="X52" s="516"/>
      <c r="Y52" s="516"/>
      <c r="Z52" s="516"/>
      <c r="AA52" s="516"/>
      <c r="AB52" s="424"/>
      <c r="AC52" s="424"/>
      <c r="AD52" s="425"/>
      <c r="AE52" s="516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</row>
    <row r="53" spans="1:41" x14ac:dyDescent="0.25">
      <c r="A53" s="354"/>
      <c r="B53" s="689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539"/>
      <c r="T53" s="786"/>
      <c r="U53" s="354"/>
      <c r="V53" s="689" t="s">
        <v>61</v>
      </c>
      <c r="W53" s="354"/>
      <c r="X53" s="354"/>
      <c r="Y53" s="354"/>
      <c r="Z53" s="354"/>
      <c r="AA53" s="424"/>
      <c r="AB53" s="424"/>
      <c r="AC53" s="424"/>
      <c r="AD53" s="425"/>
      <c r="AE53" s="516"/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</row>
    <row r="54" spans="1:41" x14ac:dyDescent="0.25">
      <c r="A54" s="354"/>
      <c r="B54" s="689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539"/>
      <c r="T54" s="786"/>
      <c r="U54" s="354"/>
      <c r="V54" s="960"/>
      <c r="W54" s="354"/>
      <c r="X54" s="354"/>
      <c r="Y54" s="354"/>
      <c r="Z54" s="354"/>
      <c r="AA54" s="424"/>
      <c r="AB54" s="424"/>
      <c r="AC54" s="424"/>
      <c r="AD54" s="425"/>
      <c r="AE54" s="516"/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</row>
    <row r="55" spans="1:41" ht="15.75" thickBot="1" x14ac:dyDescent="0.3">
      <c r="A55" s="354"/>
      <c r="B55" s="685" t="s">
        <v>62</v>
      </c>
      <c r="C55" s="777"/>
      <c r="D55" s="777"/>
      <c r="E55" s="777"/>
      <c r="F55" s="777"/>
      <c r="G55" s="777"/>
      <c r="H55" s="777"/>
      <c r="I55" s="777"/>
      <c r="J55" s="777" t="s">
        <v>63</v>
      </c>
      <c r="K55" s="777"/>
      <c r="L55" s="777"/>
      <c r="M55" s="777"/>
      <c r="N55" s="777"/>
      <c r="O55" s="777"/>
      <c r="P55" s="777"/>
      <c r="Q55" s="777"/>
      <c r="R55" s="777"/>
      <c r="S55" s="777"/>
      <c r="T55" s="844"/>
      <c r="U55" s="354"/>
      <c r="V55" s="685" t="s">
        <v>64</v>
      </c>
      <c r="W55" s="777"/>
      <c r="X55" s="777"/>
      <c r="Y55" s="777"/>
      <c r="Z55" s="777"/>
      <c r="AA55" s="939"/>
      <c r="AB55" s="939"/>
      <c r="AC55" s="939"/>
      <c r="AD55" s="426"/>
      <c r="AE55" s="516"/>
      <c r="AF55" s="516"/>
      <c r="AG55" s="516"/>
      <c r="AH55" s="516"/>
      <c r="AI55" s="516"/>
      <c r="AJ55" s="516"/>
      <c r="AK55" s="516"/>
      <c r="AL55" s="516"/>
      <c r="AM55" s="516"/>
      <c r="AN55" s="516"/>
      <c r="AO55" s="516"/>
    </row>
    <row r="56" spans="1:41" ht="15.75" thickBot="1" x14ac:dyDescent="0.3">
      <c r="A56" s="354"/>
      <c r="B56" s="424"/>
      <c r="C56" s="424"/>
      <c r="D56" s="424"/>
      <c r="E56" s="424"/>
      <c r="F56" s="424"/>
      <c r="G56" s="424"/>
      <c r="H56" s="424"/>
      <c r="I56" s="424"/>
      <c r="J56" s="424"/>
      <c r="K56" s="424"/>
      <c r="L56" s="424"/>
      <c r="M56" s="424"/>
      <c r="N56" s="424"/>
      <c r="O56" s="424"/>
      <c r="P56" s="516"/>
      <c r="Q56" s="516"/>
      <c r="R56" s="516"/>
      <c r="S56" s="516"/>
      <c r="T56" s="516"/>
      <c r="U56" s="354"/>
      <c r="V56" s="539"/>
      <c r="W56" s="539"/>
      <c r="X56" s="539"/>
      <c r="Y56" s="539"/>
      <c r="Z56" s="539"/>
      <c r="AA56" s="516"/>
      <c r="AB56" s="516"/>
      <c r="AC56" s="516"/>
      <c r="AD56" s="516"/>
      <c r="AE56" s="516"/>
      <c r="AF56" s="516"/>
      <c r="AG56" s="516"/>
      <c r="AH56" s="516"/>
      <c r="AI56" s="516"/>
      <c r="AJ56" s="516"/>
      <c r="AK56" s="516"/>
      <c r="AL56" s="516"/>
      <c r="AM56" s="516"/>
      <c r="AN56" s="516"/>
      <c r="AO56" s="516"/>
    </row>
    <row r="57" spans="1:41" ht="15.75" thickBot="1" x14ac:dyDescent="0.3">
      <c r="A57" s="354"/>
      <c r="B57" s="1048" t="s">
        <v>65</v>
      </c>
      <c r="C57" s="1049"/>
      <c r="D57" s="1049"/>
      <c r="E57" s="1049"/>
      <c r="F57" s="1049"/>
      <c r="G57" s="1049"/>
      <c r="H57" s="1049"/>
      <c r="I57" s="1049"/>
      <c r="J57" s="1050"/>
      <c r="K57" s="516"/>
      <c r="L57" s="1048" t="s">
        <v>66</v>
      </c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50"/>
      <c r="Z57" s="539"/>
      <c r="AA57" s="1048" t="s">
        <v>67</v>
      </c>
      <c r="AB57" s="1049"/>
      <c r="AC57" s="1049"/>
      <c r="AD57" s="1049"/>
      <c r="AE57" s="1049"/>
      <c r="AF57" s="1049"/>
      <c r="AG57" s="1049"/>
      <c r="AH57" s="1049"/>
      <c r="AI57" s="1049"/>
      <c r="AJ57" s="1049"/>
      <c r="AK57" s="1049"/>
      <c r="AL57" s="1049"/>
      <c r="AM57" s="1049"/>
      <c r="AN57" s="1050"/>
      <c r="AO57" s="516"/>
    </row>
    <row r="58" spans="1:41" x14ac:dyDescent="0.25">
      <c r="A58" s="354"/>
      <c r="B58" s="689"/>
      <c r="C58" s="539"/>
      <c r="D58" s="539"/>
      <c r="E58" s="539"/>
      <c r="F58" s="539"/>
      <c r="G58" s="539"/>
      <c r="H58" s="539"/>
      <c r="I58" s="539"/>
      <c r="J58" s="786"/>
      <c r="K58" s="516"/>
      <c r="L58" s="689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786"/>
      <c r="Z58" s="539"/>
      <c r="AA58" s="689"/>
      <c r="AB58" s="539"/>
      <c r="AC58" s="539"/>
      <c r="AD58" s="539"/>
      <c r="AE58" s="539"/>
      <c r="AF58" s="539"/>
      <c r="AG58" s="539"/>
      <c r="AH58" s="539"/>
      <c r="AI58" s="539"/>
      <c r="AJ58" s="539"/>
      <c r="AK58" s="539"/>
      <c r="AL58" s="539"/>
      <c r="AM58" s="539"/>
      <c r="AN58" s="786"/>
      <c r="AO58" s="516"/>
    </row>
    <row r="59" spans="1:41" x14ac:dyDescent="0.25">
      <c r="A59" s="354"/>
      <c r="B59" s="689"/>
      <c r="C59" s="539"/>
      <c r="D59" s="539"/>
      <c r="E59" s="539"/>
      <c r="F59" s="539"/>
      <c r="G59" s="539"/>
      <c r="H59" s="539"/>
      <c r="I59" s="539"/>
      <c r="J59" s="786"/>
      <c r="K59" s="516"/>
      <c r="L59" s="689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786"/>
      <c r="Z59" s="539"/>
      <c r="AA59" s="689"/>
      <c r="AB59" s="539"/>
      <c r="AC59" s="539"/>
      <c r="AD59" s="539"/>
      <c r="AE59" s="539"/>
      <c r="AF59" s="539"/>
      <c r="AG59" s="539"/>
      <c r="AH59" s="539"/>
      <c r="AI59" s="539"/>
      <c r="AJ59" s="539"/>
      <c r="AK59" s="539"/>
      <c r="AL59" s="539"/>
      <c r="AM59" s="539"/>
      <c r="AN59" s="786"/>
      <c r="AO59" s="516"/>
    </row>
    <row r="60" spans="1:41" x14ac:dyDescent="0.25">
      <c r="A60" s="354"/>
      <c r="B60" s="689"/>
      <c r="C60" s="539"/>
      <c r="D60" s="539"/>
      <c r="E60" s="539"/>
      <c r="F60" s="539"/>
      <c r="G60" s="539"/>
      <c r="H60" s="539"/>
      <c r="I60" s="539"/>
      <c r="J60" s="786"/>
      <c r="K60" s="516"/>
      <c r="L60" s="689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786"/>
      <c r="Z60" s="539"/>
      <c r="AA60" s="689"/>
      <c r="AB60" s="539"/>
      <c r="AC60" s="539"/>
      <c r="AD60" s="539"/>
      <c r="AE60" s="539"/>
      <c r="AF60" s="539"/>
      <c r="AG60" s="539"/>
      <c r="AH60" s="539"/>
      <c r="AI60" s="539"/>
      <c r="AJ60" s="539"/>
      <c r="AK60" s="539"/>
      <c r="AL60" s="539"/>
      <c r="AM60" s="539"/>
      <c r="AN60" s="786"/>
      <c r="AO60" s="516"/>
    </row>
    <row r="61" spans="1:41" x14ac:dyDescent="0.25">
      <c r="A61" s="354"/>
      <c r="B61" s="689"/>
      <c r="C61" s="539"/>
      <c r="D61" s="539"/>
      <c r="E61" s="539"/>
      <c r="F61" s="539"/>
      <c r="G61" s="539"/>
      <c r="H61" s="539"/>
      <c r="I61" s="539"/>
      <c r="J61" s="786"/>
      <c r="K61" s="516"/>
      <c r="L61" s="689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786"/>
      <c r="Z61" s="539"/>
      <c r="AA61" s="689"/>
      <c r="AB61" s="539"/>
      <c r="AC61" s="539"/>
      <c r="AD61" s="539"/>
      <c r="AE61" s="539"/>
      <c r="AF61" s="539"/>
      <c r="AG61" s="539"/>
      <c r="AH61" s="539"/>
      <c r="AI61" s="539"/>
      <c r="AJ61" s="539"/>
      <c r="AK61" s="539"/>
      <c r="AL61" s="539"/>
      <c r="AM61" s="539"/>
      <c r="AN61" s="786"/>
      <c r="AO61" s="516"/>
    </row>
    <row r="62" spans="1:41" x14ac:dyDescent="0.25">
      <c r="A62" s="354"/>
      <c r="B62" s="689"/>
      <c r="C62" s="539"/>
      <c r="D62" s="539"/>
      <c r="E62" s="539"/>
      <c r="F62" s="539"/>
      <c r="G62" s="539"/>
      <c r="H62" s="539"/>
      <c r="I62" s="539"/>
      <c r="J62" s="786"/>
      <c r="K62" s="516"/>
      <c r="L62" s="689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786"/>
      <c r="Z62" s="539"/>
      <c r="AA62" s="689"/>
      <c r="AB62" s="539"/>
      <c r="AC62" s="539"/>
      <c r="AD62" s="539"/>
      <c r="AE62" s="539"/>
      <c r="AF62" s="539"/>
      <c r="AG62" s="539"/>
      <c r="AH62" s="539"/>
      <c r="AI62" s="539"/>
      <c r="AJ62" s="539"/>
      <c r="AK62" s="539"/>
      <c r="AL62" s="539"/>
      <c r="AM62" s="539"/>
      <c r="AN62" s="786"/>
      <c r="AO62" s="516"/>
    </row>
    <row r="63" spans="1:41" x14ac:dyDescent="0.25">
      <c r="A63" s="354"/>
      <c r="B63" s="689"/>
      <c r="C63" s="539"/>
      <c r="D63" s="539"/>
      <c r="E63" s="539"/>
      <c r="F63" s="539"/>
      <c r="G63" s="539"/>
      <c r="H63" s="539"/>
      <c r="I63" s="539"/>
      <c r="J63" s="786"/>
      <c r="K63" s="516"/>
      <c r="L63" s="689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786"/>
      <c r="Z63" s="539"/>
      <c r="AA63" s="689"/>
      <c r="AB63" s="539"/>
      <c r="AC63" s="539"/>
      <c r="AD63" s="539"/>
      <c r="AE63" s="539"/>
      <c r="AF63" s="539"/>
      <c r="AG63" s="539"/>
      <c r="AH63" s="539"/>
      <c r="AI63" s="539"/>
      <c r="AJ63" s="539"/>
      <c r="AK63" s="539"/>
      <c r="AL63" s="539"/>
      <c r="AM63" s="539"/>
      <c r="AN63" s="786"/>
      <c r="AO63" s="516"/>
    </row>
    <row r="64" spans="1:41" x14ac:dyDescent="0.25">
      <c r="A64" s="354"/>
      <c r="B64" s="689"/>
      <c r="C64" s="539"/>
      <c r="D64" s="539"/>
      <c r="E64" s="539"/>
      <c r="F64" s="539"/>
      <c r="G64" s="539"/>
      <c r="H64" s="539"/>
      <c r="I64" s="539"/>
      <c r="J64" s="786"/>
      <c r="K64" s="516"/>
      <c r="L64" s="689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786"/>
      <c r="Z64" s="539"/>
      <c r="AA64" s="689"/>
      <c r="AB64" s="539"/>
      <c r="AC64" s="539"/>
      <c r="AD64" s="539"/>
      <c r="AE64" s="539"/>
      <c r="AF64" s="539"/>
      <c r="AG64" s="539"/>
      <c r="AH64" s="539"/>
      <c r="AI64" s="539"/>
      <c r="AJ64" s="539"/>
      <c r="AK64" s="539"/>
      <c r="AL64" s="539"/>
      <c r="AM64" s="539"/>
      <c r="AN64" s="786"/>
      <c r="AO64" s="516"/>
    </row>
    <row r="65" spans="1:41" x14ac:dyDescent="0.25">
      <c r="A65" s="354"/>
      <c r="B65" s="689"/>
      <c r="C65" s="539"/>
      <c r="D65" s="539"/>
      <c r="E65" s="539"/>
      <c r="F65" s="539"/>
      <c r="G65" s="539"/>
      <c r="H65" s="539"/>
      <c r="I65" s="539"/>
      <c r="J65" s="786"/>
      <c r="K65" s="516"/>
      <c r="L65" s="689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786"/>
      <c r="Z65" s="539"/>
      <c r="AA65" s="689"/>
      <c r="AB65" s="539"/>
      <c r="AC65" s="539"/>
      <c r="AD65" s="539"/>
      <c r="AE65" s="539"/>
      <c r="AF65" s="539"/>
      <c r="AG65" s="539"/>
      <c r="AH65" s="539"/>
      <c r="AI65" s="539"/>
      <c r="AJ65" s="539"/>
      <c r="AK65" s="539"/>
      <c r="AL65" s="539"/>
      <c r="AM65" s="539"/>
      <c r="AN65" s="786"/>
      <c r="AO65" s="516"/>
    </row>
    <row r="66" spans="1:41" x14ac:dyDescent="0.25">
      <c r="A66" s="354"/>
      <c r="B66" s="689"/>
      <c r="C66" s="539"/>
      <c r="D66" s="539"/>
      <c r="E66" s="539"/>
      <c r="F66" s="539"/>
      <c r="G66" s="539"/>
      <c r="H66" s="539"/>
      <c r="I66" s="539"/>
      <c r="J66" s="786"/>
      <c r="K66" s="516"/>
      <c r="L66" s="689"/>
      <c r="M66" s="354"/>
      <c r="N66" s="354"/>
      <c r="O66" s="354"/>
      <c r="P66" s="354"/>
      <c r="Q66" s="354"/>
      <c r="R66" s="214"/>
      <c r="S66" s="354"/>
      <c r="T66" s="354"/>
      <c r="U66" s="354"/>
      <c r="V66" s="354"/>
      <c r="W66" s="354"/>
      <c r="X66" s="354"/>
      <c r="Y66" s="786"/>
      <c r="Z66" s="539"/>
      <c r="AA66" s="689"/>
      <c r="AB66" s="539"/>
      <c r="AC66" s="539"/>
      <c r="AD66" s="539"/>
      <c r="AE66" s="539"/>
      <c r="AF66" s="539"/>
      <c r="AG66" s="516"/>
      <c r="AH66" s="539"/>
      <c r="AI66" s="539"/>
      <c r="AJ66" s="539"/>
      <c r="AK66" s="539"/>
      <c r="AL66" s="539"/>
      <c r="AM66" s="539"/>
      <c r="AN66" s="786"/>
      <c r="AO66" s="516"/>
    </row>
    <row r="67" spans="1:41" x14ac:dyDescent="0.25">
      <c r="A67" s="354"/>
      <c r="B67" s="689"/>
      <c r="C67" s="539"/>
      <c r="D67" s="539"/>
      <c r="E67" s="539"/>
      <c r="F67" s="539"/>
      <c r="G67" s="539"/>
      <c r="H67" s="539"/>
      <c r="I67" s="539"/>
      <c r="J67" s="786"/>
      <c r="K67" s="516"/>
      <c r="L67" s="689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786"/>
      <c r="Z67" s="539"/>
      <c r="AA67" s="689"/>
      <c r="AB67" s="539"/>
      <c r="AC67" s="539"/>
      <c r="AD67" s="539"/>
      <c r="AE67" s="539"/>
      <c r="AF67" s="539"/>
      <c r="AG67" s="539"/>
      <c r="AH67" s="539"/>
      <c r="AI67" s="539"/>
      <c r="AJ67" s="539"/>
      <c r="AK67" s="539"/>
      <c r="AL67" s="539"/>
      <c r="AM67" s="539"/>
      <c r="AN67" s="786"/>
      <c r="AO67" s="516"/>
    </row>
    <row r="68" spans="1:41" x14ac:dyDescent="0.25">
      <c r="A68" s="354"/>
      <c r="B68" s="689"/>
      <c r="C68" s="539"/>
      <c r="D68" s="539"/>
      <c r="E68" s="539"/>
      <c r="F68" s="539"/>
      <c r="G68" s="539"/>
      <c r="H68" s="539"/>
      <c r="I68" s="539"/>
      <c r="J68" s="786"/>
      <c r="K68" s="516"/>
      <c r="L68" s="689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786"/>
      <c r="Z68" s="539"/>
      <c r="AA68" s="689"/>
      <c r="AB68" s="539"/>
      <c r="AC68" s="539"/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786"/>
      <c r="AO68" s="516"/>
    </row>
    <row r="69" spans="1:41" x14ac:dyDescent="0.25">
      <c r="A69" s="354"/>
      <c r="B69" s="689"/>
      <c r="C69" s="539"/>
      <c r="D69" s="539"/>
      <c r="E69" s="539"/>
      <c r="F69" s="539"/>
      <c r="G69" s="539"/>
      <c r="H69" s="539"/>
      <c r="I69" s="539"/>
      <c r="J69" s="786"/>
      <c r="K69" s="516"/>
      <c r="L69" s="689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786"/>
      <c r="Z69" s="539"/>
      <c r="AA69" s="689"/>
      <c r="AB69" s="539"/>
      <c r="AC69" s="539"/>
      <c r="AD69" s="539"/>
      <c r="AE69" s="539"/>
      <c r="AF69" s="539"/>
      <c r="AG69" s="539"/>
      <c r="AH69" s="539"/>
      <c r="AI69" s="539"/>
      <c r="AJ69" s="539"/>
      <c r="AK69" s="539"/>
      <c r="AL69" s="539"/>
      <c r="AM69" s="539"/>
      <c r="AN69" s="786"/>
      <c r="AO69" s="516"/>
    </row>
    <row r="70" spans="1:41" x14ac:dyDescent="0.25">
      <c r="A70" s="354"/>
      <c r="B70" s="689"/>
      <c r="C70" s="539"/>
      <c r="D70" s="539"/>
      <c r="E70" s="539"/>
      <c r="F70" s="539"/>
      <c r="G70" s="539"/>
      <c r="H70" s="539"/>
      <c r="I70" s="539"/>
      <c r="J70" s="786"/>
      <c r="K70" s="516"/>
      <c r="L70" s="689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786"/>
      <c r="Z70" s="539"/>
      <c r="AA70" s="689"/>
      <c r="AB70" s="539"/>
      <c r="AC70" s="539"/>
      <c r="AD70" s="539"/>
      <c r="AE70" s="539"/>
      <c r="AF70" s="539"/>
      <c r="AG70" s="539"/>
      <c r="AH70" s="539"/>
      <c r="AI70" s="539"/>
      <c r="AJ70" s="539"/>
      <c r="AK70" s="539"/>
      <c r="AL70" s="539"/>
      <c r="AM70" s="539"/>
      <c r="AN70" s="786"/>
      <c r="AO70" s="516"/>
    </row>
    <row r="71" spans="1:41" x14ac:dyDescent="0.25">
      <c r="A71" s="354"/>
      <c r="B71" s="689"/>
      <c r="C71" s="539"/>
      <c r="D71" s="539"/>
      <c r="E71" s="539"/>
      <c r="F71" s="539"/>
      <c r="G71" s="539"/>
      <c r="H71" s="539"/>
      <c r="I71" s="539"/>
      <c r="J71" s="786"/>
      <c r="K71" s="516"/>
      <c r="L71" s="689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786"/>
      <c r="Z71" s="539"/>
      <c r="AA71" s="689"/>
      <c r="AB71" s="539"/>
      <c r="AC71" s="539"/>
      <c r="AD71" s="539"/>
      <c r="AE71" s="539"/>
      <c r="AF71" s="539"/>
      <c r="AG71" s="539"/>
      <c r="AH71" s="539"/>
      <c r="AI71" s="539"/>
      <c r="AJ71" s="539"/>
      <c r="AK71" s="539"/>
      <c r="AL71" s="539"/>
      <c r="AM71" s="539"/>
      <c r="AN71" s="786"/>
      <c r="AO71" s="516"/>
    </row>
    <row r="72" spans="1:41" x14ac:dyDescent="0.25">
      <c r="A72" s="354"/>
      <c r="B72" s="689" t="s">
        <v>48</v>
      </c>
      <c r="C72" s="539"/>
      <c r="D72" s="539"/>
      <c r="E72" s="539"/>
      <c r="F72" s="539"/>
      <c r="G72" s="539"/>
      <c r="H72" s="539"/>
      <c r="I72" s="539"/>
      <c r="J72" s="786"/>
      <c r="K72" s="516"/>
      <c r="L72" s="689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786"/>
      <c r="Z72" s="539"/>
      <c r="AA72" s="689"/>
      <c r="AB72" s="539"/>
      <c r="AC72" s="539"/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786"/>
      <c r="AO72" s="516"/>
    </row>
    <row r="73" spans="1:41" x14ac:dyDescent="0.25">
      <c r="A73" s="354"/>
      <c r="B73" s="689" t="s">
        <v>68</v>
      </c>
      <c r="C73" s="539"/>
      <c r="D73" s="539"/>
      <c r="E73" s="539"/>
      <c r="F73" s="539"/>
      <c r="G73" s="539"/>
      <c r="H73" s="539"/>
      <c r="I73" s="539"/>
      <c r="J73" s="786"/>
      <c r="K73" s="516"/>
      <c r="L73" s="689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786"/>
      <c r="Z73" s="539"/>
      <c r="AA73" s="689"/>
      <c r="AB73" s="539"/>
      <c r="AC73" s="539"/>
      <c r="AD73" s="539"/>
      <c r="AE73" s="539"/>
      <c r="AF73" s="539"/>
      <c r="AG73" s="539"/>
      <c r="AH73" s="539"/>
      <c r="AI73" s="539"/>
      <c r="AJ73" s="539"/>
      <c r="AK73" s="539"/>
      <c r="AL73" s="539"/>
      <c r="AM73" s="539"/>
      <c r="AN73" s="786"/>
      <c r="AO73" s="516"/>
    </row>
    <row r="74" spans="1:41" x14ac:dyDescent="0.25">
      <c r="A74" s="354"/>
      <c r="B74" s="689" t="s">
        <v>69</v>
      </c>
      <c r="C74" s="539"/>
      <c r="D74" s="539"/>
      <c r="E74" s="539"/>
      <c r="F74" s="539"/>
      <c r="G74" s="539"/>
      <c r="H74" s="539"/>
      <c r="I74" s="539"/>
      <c r="J74" s="786"/>
      <c r="K74" s="516"/>
      <c r="L74" s="689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786"/>
      <c r="Z74" s="539"/>
      <c r="AA74" s="689"/>
      <c r="AB74" s="539"/>
      <c r="AC74" s="539"/>
      <c r="AD74" s="539"/>
      <c r="AE74" s="539"/>
      <c r="AF74" s="539"/>
      <c r="AG74" s="539"/>
      <c r="AH74" s="539"/>
      <c r="AI74" s="539"/>
      <c r="AJ74" s="539"/>
      <c r="AK74" s="539"/>
      <c r="AL74" s="539"/>
      <c r="AM74" s="539"/>
      <c r="AN74" s="786"/>
      <c r="AO74" s="516"/>
    </row>
    <row r="75" spans="1:41" x14ac:dyDescent="0.25">
      <c r="A75" s="354"/>
      <c r="B75" s="689"/>
      <c r="C75" s="539"/>
      <c r="D75" s="539"/>
      <c r="E75" s="539"/>
      <c r="F75" s="539"/>
      <c r="G75" s="539"/>
      <c r="H75" s="539"/>
      <c r="I75" s="539"/>
      <c r="J75" s="786"/>
      <c r="K75" s="516"/>
      <c r="L75" s="689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786"/>
      <c r="Z75" s="539"/>
      <c r="AA75" s="689"/>
      <c r="AB75" s="539"/>
      <c r="AC75" s="539"/>
      <c r="AD75" s="539"/>
      <c r="AE75" s="539"/>
      <c r="AF75" s="539"/>
      <c r="AG75" s="539"/>
      <c r="AH75" s="539"/>
      <c r="AI75" s="539"/>
      <c r="AJ75" s="539"/>
      <c r="AK75" s="539"/>
      <c r="AL75" s="539"/>
      <c r="AM75" s="539"/>
      <c r="AN75" s="786"/>
      <c r="AO75" s="516"/>
    </row>
    <row r="76" spans="1:41" ht="15.75" thickBot="1" x14ac:dyDescent="0.3">
      <c r="A76" s="354"/>
      <c r="B76" s="685" t="s">
        <v>70</v>
      </c>
      <c r="C76" s="777"/>
      <c r="D76" s="777"/>
      <c r="E76" s="777"/>
      <c r="F76" s="777"/>
      <c r="G76" s="777"/>
      <c r="H76" s="777"/>
      <c r="I76" s="777"/>
      <c r="J76" s="844"/>
      <c r="K76" s="516"/>
      <c r="L76" s="689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4"/>
      <c r="Y76" s="786"/>
      <c r="Z76" s="539"/>
      <c r="AA76" s="689"/>
      <c r="AB76" s="539"/>
      <c r="AC76" s="539"/>
      <c r="AD76" s="539"/>
      <c r="AE76" s="539"/>
      <c r="AF76" s="539"/>
      <c r="AG76" s="539"/>
      <c r="AH76" s="539"/>
      <c r="AI76" s="539"/>
      <c r="AJ76" s="539"/>
      <c r="AK76" s="539"/>
      <c r="AL76" s="539"/>
      <c r="AM76" s="539"/>
      <c r="AN76" s="786"/>
      <c r="AO76" s="516"/>
    </row>
    <row r="77" spans="1:41" x14ac:dyDescent="0.25">
      <c r="A77" s="354"/>
      <c r="B77" s="516"/>
      <c r="C77" s="516"/>
      <c r="D77" s="516"/>
      <c r="E77" s="516"/>
      <c r="F77" s="516"/>
      <c r="G77" s="516"/>
      <c r="H77" s="516"/>
      <c r="I77" s="516"/>
      <c r="J77" s="516"/>
      <c r="K77" s="516"/>
      <c r="L77" s="689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4"/>
      <c r="Y77" s="786"/>
      <c r="Z77" s="539"/>
      <c r="AA77" s="689"/>
      <c r="AB77" s="539"/>
      <c r="AC77" s="539"/>
      <c r="AD77" s="539"/>
      <c r="AE77" s="539"/>
      <c r="AF77" s="539"/>
      <c r="AG77" s="539"/>
      <c r="AH77" s="539"/>
      <c r="AI77" s="539"/>
      <c r="AJ77" s="539"/>
      <c r="AK77" s="539"/>
      <c r="AL77" s="539"/>
      <c r="AM77" s="539"/>
      <c r="AN77" s="786"/>
      <c r="AO77" s="516"/>
    </row>
    <row r="78" spans="1:41" x14ac:dyDescent="0.25">
      <c r="A78" s="354"/>
      <c r="B78" s="1048" t="s">
        <v>71</v>
      </c>
      <c r="C78" s="1049"/>
      <c r="D78" s="1049"/>
      <c r="E78" s="1049"/>
      <c r="F78" s="1049"/>
      <c r="G78" s="1049"/>
      <c r="H78" s="1049"/>
      <c r="I78" s="1049"/>
      <c r="J78" s="1050"/>
      <c r="K78" s="516"/>
      <c r="L78" s="689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4"/>
      <c r="Y78" s="786"/>
      <c r="Z78" s="539"/>
      <c r="AA78" s="689"/>
      <c r="AB78" s="539"/>
      <c r="AC78" s="539"/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786"/>
      <c r="AO78" s="516"/>
    </row>
    <row r="79" spans="1:41" x14ac:dyDescent="0.25">
      <c r="A79" s="354"/>
      <c r="B79" s="689"/>
      <c r="C79" s="539"/>
      <c r="D79" s="539"/>
      <c r="E79" s="539"/>
      <c r="F79" s="539"/>
      <c r="G79" s="539"/>
      <c r="H79" s="539"/>
      <c r="I79" s="539"/>
      <c r="J79" s="786"/>
      <c r="K79" s="516"/>
      <c r="L79" s="689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4"/>
      <c r="Y79" s="786"/>
      <c r="Z79" s="539"/>
      <c r="AA79" s="689"/>
      <c r="AB79" s="539"/>
      <c r="AC79" s="539"/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786"/>
      <c r="AO79" s="516"/>
    </row>
    <row r="80" spans="1:41" x14ac:dyDescent="0.25">
      <c r="A80" s="354"/>
      <c r="B80" s="689"/>
      <c r="C80" s="539"/>
      <c r="D80" s="539"/>
      <c r="E80" s="539"/>
      <c r="F80" s="539"/>
      <c r="G80" s="539"/>
      <c r="H80" s="539"/>
      <c r="I80" s="539"/>
      <c r="J80" s="786"/>
      <c r="K80" s="516"/>
      <c r="L80" s="689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4"/>
      <c r="Y80" s="786"/>
      <c r="Z80" s="539"/>
      <c r="AA80" s="689"/>
      <c r="AB80" s="539"/>
      <c r="AC80" s="539"/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786"/>
      <c r="AO80" s="516"/>
    </row>
    <row r="81" spans="1:41" x14ac:dyDescent="0.25">
      <c r="A81" s="354"/>
      <c r="B81" s="689"/>
      <c r="C81" s="539"/>
      <c r="D81" s="539"/>
      <c r="E81" s="539"/>
      <c r="F81" s="539"/>
      <c r="G81" s="539"/>
      <c r="H81" s="539"/>
      <c r="I81" s="539"/>
      <c r="J81" s="786"/>
      <c r="K81" s="516"/>
      <c r="L81" s="689" t="s">
        <v>72</v>
      </c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4"/>
      <c r="Y81" s="786"/>
      <c r="Z81" s="539"/>
      <c r="AA81" s="689"/>
      <c r="AB81" s="539"/>
      <c r="AC81" s="539"/>
      <c r="AD81" s="539"/>
      <c r="AE81" s="539"/>
      <c r="AF81" s="539"/>
      <c r="AG81" s="539"/>
      <c r="AH81" s="539"/>
      <c r="AI81" s="539"/>
      <c r="AJ81" s="539"/>
      <c r="AK81" s="539"/>
      <c r="AL81" s="539"/>
      <c r="AM81" s="539"/>
      <c r="AN81" s="786"/>
      <c r="AO81" s="516"/>
    </row>
    <row r="82" spans="1:41" x14ac:dyDescent="0.25">
      <c r="A82" s="354"/>
      <c r="B82" s="689"/>
      <c r="C82" s="539"/>
      <c r="D82" s="539"/>
      <c r="E82" s="539"/>
      <c r="F82" s="539"/>
      <c r="G82" s="539"/>
      <c r="H82" s="539"/>
      <c r="I82" s="539"/>
      <c r="J82" s="786"/>
      <c r="K82" s="516"/>
      <c r="L82" s="689" t="s">
        <v>73</v>
      </c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4"/>
      <c r="Y82" s="786"/>
      <c r="Z82" s="539"/>
      <c r="AA82" s="689"/>
      <c r="AB82" s="539"/>
      <c r="AC82" s="539"/>
      <c r="AD82" s="539"/>
      <c r="AE82" s="539"/>
      <c r="AF82" s="539"/>
      <c r="AG82" s="539"/>
      <c r="AH82" s="539"/>
      <c r="AI82" s="539"/>
      <c r="AJ82" s="539"/>
      <c r="AK82" s="539"/>
      <c r="AL82" s="539"/>
      <c r="AM82" s="539"/>
      <c r="AN82" s="786"/>
      <c r="AO82" s="516"/>
    </row>
    <row r="83" spans="1:41" x14ac:dyDescent="0.25">
      <c r="A83" s="354"/>
      <c r="B83" s="689"/>
      <c r="C83" s="539"/>
      <c r="D83" s="539"/>
      <c r="E83" s="539"/>
      <c r="F83" s="539"/>
      <c r="G83" s="539"/>
      <c r="H83" s="539"/>
      <c r="I83" s="539"/>
      <c r="J83" s="786"/>
      <c r="K83" s="516"/>
      <c r="L83" s="689" t="s">
        <v>74</v>
      </c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786"/>
      <c r="Z83" s="539"/>
      <c r="AA83" s="689"/>
      <c r="AB83" s="539"/>
      <c r="AC83" s="539"/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786"/>
      <c r="AO83" s="516"/>
    </row>
    <row r="84" spans="1:41" x14ac:dyDescent="0.25">
      <c r="A84" s="354"/>
      <c r="B84" s="689"/>
      <c r="C84" s="539"/>
      <c r="D84" s="539"/>
      <c r="E84" s="539"/>
      <c r="F84" s="539"/>
      <c r="G84" s="539"/>
      <c r="H84" s="539"/>
      <c r="I84" s="539"/>
      <c r="J84" s="786"/>
      <c r="K84" s="516"/>
      <c r="L84" s="689"/>
      <c r="M84" s="354"/>
      <c r="N84" s="354"/>
      <c r="O84" s="354"/>
      <c r="P84" s="354"/>
      <c r="Q84" s="354"/>
      <c r="R84" s="354"/>
      <c r="S84" s="354"/>
      <c r="T84" s="424"/>
      <c r="U84" s="354"/>
      <c r="V84" s="354"/>
      <c r="W84" s="354"/>
      <c r="X84" s="354"/>
      <c r="Y84" s="786"/>
      <c r="Z84" s="539"/>
      <c r="AA84" s="689"/>
      <c r="AB84" s="539"/>
      <c r="AC84" s="539"/>
      <c r="AD84" s="539"/>
      <c r="AE84" s="539"/>
      <c r="AF84" s="539"/>
      <c r="AG84" s="539"/>
      <c r="AH84" s="539"/>
      <c r="AI84" s="516"/>
      <c r="AJ84" s="539"/>
      <c r="AK84" s="539"/>
      <c r="AL84" s="539"/>
      <c r="AM84" s="539"/>
      <c r="AN84" s="786"/>
      <c r="AO84" s="516"/>
    </row>
    <row r="85" spans="1:41" x14ac:dyDescent="0.25">
      <c r="A85" s="354"/>
      <c r="B85" s="689"/>
      <c r="C85" s="539"/>
      <c r="D85" s="539"/>
      <c r="E85" s="539"/>
      <c r="F85" s="539"/>
      <c r="G85" s="539"/>
      <c r="H85" s="539"/>
      <c r="I85" s="539"/>
      <c r="J85" s="786"/>
      <c r="K85" s="516"/>
      <c r="L85" s="689" t="s">
        <v>75</v>
      </c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786"/>
      <c r="Z85" s="539"/>
      <c r="AA85" s="689"/>
      <c r="AB85" s="539"/>
      <c r="AC85" s="539"/>
      <c r="AD85" s="539"/>
      <c r="AE85" s="539"/>
      <c r="AF85" s="539"/>
      <c r="AG85" s="539"/>
      <c r="AH85" s="539"/>
      <c r="AI85" s="539"/>
      <c r="AJ85" s="539"/>
      <c r="AK85" s="539"/>
      <c r="AL85" s="539"/>
      <c r="AM85" s="539"/>
      <c r="AN85" s="786"/>
      <c r="AO85" s="516"/>
    </row>
    <row r="86" spans="1:41" x14ac:dyDescent="0.25">
      <c r="A86" s="354"/>
      <c r="B86" s="689"/>
      <c r="C86" s="539"/>
      <c r="D86" s="539"/>
      <c r="E86" s="539"/>
      <c r="F86" s="539"/>
      <c r="G86" s="539"/>
      <c r="H86" s="539"/>
      <c r="I86" s="539"/>
      <c r="J86" s="786"/>
      <c r="K86" s="516"/>
      <c r="L86" s="689"/>
      <c r="M86" s="354"/>
      <c r="N86" s="354"/>
      <c r="O86" s="354"/>
      <c r="P86" s="354"/>
      <c r="Q86" s="354"/>
      <c r="R86" s="354"/>
      <c r="S86" s="354"/>
      <c r="T86" s="354"/>
      <c r="U86" s="354"/>
      <c r="V86" s="354"/>
      <c r="W86" s="354"/>
      <c r="X86" s="354"/>
      <c r="Y86" s="786"/>
      <c r="Z86" s="539"/>
      <c r="AA86" s="689"/>
      <c r="AB86" s="539"/>
      <c r="AC86" s="539"/>
      <c r="AD86" s="539"/>
      <c r="AE86" s="539"/>
      <c r="AF86" s="539"/>
      <c r="AG86" s="539"/>
      <c r="AH86" s="539"/>
      <c r="AI86" s="539"/>
      <c r="AJ86" s="539"/>
      <c r="AK86" s="539"/>
      <c r="AL86" s="539"/>
      <c r="AM86" s="539"/>
      <c r="AN86" s="786"/>
      <c r="AO86" s="516"/>
    </row>
    <row r="87" spans="1:41" x14ac:dyDescent="0.25">
      <c r="A87" s="354"/>
      <c r="B87" s="689"/>
      <c r="C87" s="539"/>
      <c r="D87" s="539"/>
      <c r="E87" s="539"/>
      <c r="F87" s="539"/>
      <c r="G87" s="539"/>
      <c r="H87" s="539"/>
      <c r="I87" s="539"/>
      <c r="J87" s="786"/>
      <c r="K87" s="516"/>
      <c r="L87" s="689"/>
      <c r="M87" s="354"/>
      <c r="N87" s="354"/>
      <c r="O87" s="354"/>
      <c r="P87" s="354"/>
      <c r="Q87" s="354"/>
      <c r="R87" s="354"/>
      <c r="S87" s="354"/>
      <c r="T87" s="354"/>
      <c r="U87" s="354"/>
      <c r="V87" s="354"/>
      <c r="W87" s="354"/>
      <c r="X87" s="354"/>
      <c r="Y87" s="786"/>
      <c r="Z87" s="539"/>
      <c r="AA87" s="689"/>
      <c r="AB87" s="539"/>
      <c r="AC87" s="539"/>
      <c r="AD87" s="539"/>
      <c r="AE87" s="539"/>
      <c r="AF87" s="539"/>
      <c r="AG87" s="539"/>
      <c r="AH87" s="539"/>
      <c r="AI87" s="539"/>
      <c r="AJ87" s="539"/>
      <c r="AK87" s="539"/>
      <c r="AL87" s="539"/>
      <c r="AM87" s="539"/>
      <c r="AN87" s="786"/>
      <c r="AO87" s="516"/>
    </row>
    <row r="88" spans="1:41" x14ac:dyDescent="0.25">
      <c r="A88" s="354"/>
      <c r="B88" s="689"/>
      <c r="C88" s="539"/>
      <c r="D88" s="539"/>
      <c r="E88" s="539"/>
      <c r="F88" s="539"/>
      <c r="G88" s="539"/>
      <c r="H88" s="539"/>
      <c r="I88" s="539"/>
      <c r="J88" s="786"/>
      <c r="K88" s="516"/>
      <c r="L88" s="689"/>
      <c r="M88" s="354"/>
      <c r="N88" s="354"/>
      <c r="O88" s="354"/>
      <c r="P88" s="354"/>
      <c r="Q88" s="354"/>
      <c r="R88" s="354"/>
      <c r="S88" s="354"/>
      <c r="T88" s="354"/>
      <c r="U88" s="354"/>
      <c r="V88" s="354"/>
      <c r="W88" s="354"/>
      <c r="X88" s="354"/>
      <c r="Y88" s="786"/>
      <c r="Z88" s="539"/>
      <c r="AA88" s="689"/>
      <c r="AB88" s="539"/>
      <c r="AC88" s="539"/>
      <c r="AD88" s="539"/>
      <c r="AE88" s="539"/>
      <c r="AF88" s="539"/>
      <c r="AG88" s="539"/>
      <c r="AH88" s="539"/>
      <c r="AI88" s="539"/>
      <c r="AJ88" s="539"/>
      <c r="AK88" s="539"/>
      <c r="AL88" s="539"/>
      <c r="AM88" s="539"/>
      <c r="AN88" s="786"/>
      <c r="AO88" s="516"/>
    </row>
    <row r="89" spans="1:41" x14ac:dyDescent="0.25">
      <c r="A89" s="354"/>
      <c r="B89" s="689"/>
      <c r="C89" s="539"/>
      <c r="D89" s="539"/>
      <c r="E89" s="539"/>
      <c r="F89" s="539"/>
      <c r="G89" s="539"/>
      <c r="H89" s="539"/>
      <c r="I89" s="539"/>
      <c r="J89" s="786"/>
      <c r="K89" s="516"/>
      <c r="L89" s="689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  <c r="X89" s="354"/>
      <c r="Y89" s="786"/>
      <c r="Z89" s="539"/>
      <c r="AA89" s="689" t="s">
        <v>76</v>
      </c>
      <c r="AB89" s="539"/>
      <c r="AC89" s="539"/>
      <c r="AD89" s="539"/>
      <c r="AE89" s="539"/>
      <c r="AF89" s="539"/>
      <c r="AG89" s="539"/>
      <c r="AH89" s="539"/>
      <c r="AI89" s="539"/>
      <c r="AJ89" s="539"/>
      <c r="AK89" s="539"/>
      <c r="AL89" s="539"/>
      <c r="AM89" s="539"/>
      <c r="AN89" s="786"/>
      <c r="AO89" s="516"/>
    </row>
    <row r="90" spans="1:41" x14ac:dyDescent="0.25">
      <c r="A90" s="354"/>
      <c r="B90" s="689"/>
      <c r="C90" s="539"/>
      <c r="D90" s="539"/>
      <c r="E90" s="539"/>
      <c r="F90" s="539"/>
      <c r="G90" s="539"/>
      <c r="H90" s="539"/>
      <c r="I90" s="539"/>
      <c r="J90" s="786"/>
      <c r="K90" s="516"/>
      <c r="L90" s="689"/>
      <c r="M90" s="354"/>
      <c r="N90" s="354"/>
      <c r="O90" s="354"/>
      <c r="P90" s="354"/>
      <c r="Q90" s="354"/>
      <c r="R90" s="354"/>
      <c r="S90" s="354"/>
      <c r="T90" s="354"/>
      <c r="U90" s="354"/>
      <c r="V90" s="354"/>
      <c r="W90" s="354"/>
      <c r="X90" s="354"/>
      <c r="Y90" s="786"/>
      <c r="Z90" s="539"/>
      <c r="AA90" s="1042" t="s">
        <v>77</v>
      </c>
      <c r="AB90" s="1043"/>
      <c r="AC90" s="1043"/>
      <c r="AD90" s="1043"/>
      <c r="AE90" s="1043"/>
      <c r="AF90" s="1043"/>
      <c r="AG90" s="1043"/>
      <c r="AH90" s="1043"/>
      <c r="AI90" s="1043"/>
      <c r="AJ90" s="1043"/>
      <c r="AK90" s="1043"/>
      <c r="AL90" s="1043"/>
      <c r="AM90" s="1043"/>
      <c r="AN90" s="1044"/>
      <c r="AO90" s="516"/>
    </row>
    <row r="91" spans="1:41" x14ac:dyDescent="0.25">
      <c r="A91" s="354"/>
      <c r="B91" s="689"/>
      <c r="C91" s="539"/>
      <c r="D91" s="539"/>
      <c r="E91" s="539"/>
      <c r="F91" s="539"/>
      <c r="G91" s="539"/>
      <c r="H91" s="539"/>
      <c r="I91" s="539"/>
      <c r="J91" s="786"/>
      <c r="K91" s="516"/>
      <c r="L91" s="689"/>
      <c r="M91" s="354"/>
      <c r="N91" s="354"/>
      <c r="O91" s="354"/>
      <c r="P91" s="354"/>
      <c r="Q91" s="354"/>
      <c r="R91" s="354"/>
      <c r="S91" s="354"/>
      <c r="T91" s="354"/>
      <c r="U91" s="354"/>
      <c r="V91" s="354"/>
      <c r="W91" s="354"/>
      <c r="X91" s="354"/>
      <c r="Y91" s="786"/>
      <c r="Z91" s="539"/>
      <c r="AA91" s="1042" t="s">
        <v>78</v>
      </c>
      <c r="AB91" s="1043"/>
      <c r="AC91" s="1043"/>
      <c r="AD91" s="1043"/>
      <c r="AE91" s="1043"/>
      <c r="AF91" s="1043"/>
      <c r="AG91" s="1043"/>
      <c r="AH91" s="1043"/>
      <c r="AI91" s="1043"/>
      <c r="AJ91" s="1043"/>
      <c r="AK91" s="1043"/>
      <c r="AL91" s="1043"/>
      <c r="AM91" s="1043"/>
      <c r="AN91" s="1044"/>
      <c r="AO91" s="516"/>
    </row>
    <row r="92" spans="1:41" x14ac:dyDescent="0.25">
      <c r="A92" s="354"/>
      <c r="B92" s="689"/>
      <c r="C92" s="539"/>
      <c r="D92" s="539"/>
      <c r="E92" s="539"/>
      <c r="F92" s="539"/>
      <c r="G92" s="539"/>
      <c r="H92" s="539"/>
      <c r="I92" s="539"/>
      <c r="J92" s="786"/>
      <c r="K92" s="516"/>
      <c r="L92" s="689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4"/>
      <c r="Y92" s="786"/>
      <c r="Z92" s="539"/>
      <c r="AA92" s="1045" t="s">
        <v>79</v>
      </c>
      <c r="AB92" s="1046"/>
      <c r="AC92" s="1046"/>
      <c r="AD92" s="1046"/>
      <c r="AE92" s="1046"/>
      <c r="AF92" s="1046"/>
      <c r="AG92" s="1046"/>
      <c r="AH92" s="1046"/>
      <c r="AI92" s="1046"/>
      <c r="AJ92" s="1046"/>
      <c r="AK92" s="1046"/>
      <c r="AL92" s="1046"/>
      <c r="AM92" s="1046"/>
      <c r="AN92" s="1047"/>
      <c r="AO92" s="516"/>
    </row>
    <row r="93" spans="1:41" x14ac:dyDescent="0.25">
      <c r="A93" s="354"/>
      <c r="B93" s="689"/>
      <c r="C93" s="539"/>
      <c r="D93" s="539"/>
      <c r="E93" s="539"/>
      <c r="F93" s="539"/>
      <c r="G93" s="539"/>
      <c r="H93" s="539"/>
      <c r="I93" s="539"/>
      <c r="J93" s="786"/>
      <c r="K93" s="516"/>
      <c r="L93" s="689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4"/>
      <c r="Y93" s="786"/>
      <c r="Z93" s="354"/>
      <c r="AA93" s="516"/>
      <c r="AB93" s="516"/>
      <c r="AC93" s="516"/>
      <c r="AD93" s="516"/>
      <c r="AE93" s="516"/>
      <c r="AF93" s="516"/>
      <c r="AG93" s="516"/>
      <c r="AH93" s="516"/>
      <c r="AI93" s="516"/>
      <c r="AJ93" s="516"/>
      <c r="AK93" s="516"/>
      <c r="AL93" s="516"/>
      <c r="AM93" s="516"/>
      <c r="AN93" s="516"/>
      <c r="AO93" s="424"/>
    </row>
    <row r="94" spans="1:41" x14ac:dyDescent="0.25">
      <c r="A94" s="354"/>
      <c r="B94" s="689"/>
      <c r="C94" s="539"/>
      <c r="D94" s="539"/>
      <c r="E94" s="539"/>
      <c r="F94" s="539"/>
      <c r="G94" s="539"/>
      <c r="H94" s="539"/>
      <c r="I94" s="539"/>
      <c r="J94" s="786"/>
      <c r="K94" s="516"/>
      <c r="L94" s="685" t="s">
        <v>80</v>
      </c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844"/>
      <c r="Z94" s="539"/>
      <c r="AA94" s="516"/>
      <c r="AB94" s="516"/>
      <c r="AC94" s="516"/>
      <c r="AD94" s="516"/>
      <c r="AE94" s="516"/>
      <c r="AF94" s="516"/>
      <c r="AG94" s="516"/>
      <c r="AH94" s="516"/>
      <c r="AI94" s="516"/>
      <c r="AJ94" s="516"/>
      <c r="AK94" s="516"/>
      <c r="AL94" s="516"/>
      <c r="AM94" s="516"/>
      <c r="AN94" s="516"/>
      <c r="AO94" s="516"/>
    </row>
    <row r="95" spans="1:41" x14ac:dyDescent="0.25">
      <c r="A95" s="354"/>
      <c r="B95" s="689"/>
      <c r="C95" s="539"/>
      <c r="D95" s="539"/>
      <c r="E95" s="539"/>
      <c r="F95" s="539"/>
      <c r="G95" s="539"/>
      <c r="H95" s="539"/>
      <c r="I95" s="539"/>
      <c r="J95" s="786"/>
      <c r="K95" s="354"/>
      <c r="L95" s="354"/>
      <c r="M95" s="354"/>
      <c r="N95" s="354"/>
      <c r="O95" s="354"/>
      <c r="P95" s="354"/>
      <c r="Q95" s="354"/>
      <c r="R95" s="539"/>
      <c r="S95" s="539"/>
      <c r="T95" s="539"/>
      <c r="U95" s="539"/>
      <c r="V95" s="539"/>
      <c r="W95" s="539"/>
      <c r="X95" s="539"/>
      <c r="Y95" s="539"/>
      <c r="Z95" s="539"/>
      <c r="AA95" s="516"/>
      <c r="AB95" s="516"/>
      <c r="AC95" s="516"/>
      <c r="AD95" s="516"/>
      <c r="AE95" s="516"/>
      <c r="AF95" s="516"/>
      <c r="AG95" s="516"/>
      <c r="AH95" s="516"/>
      <c r="AI95" s="516"/>
      <c r="AJ95" s="516"/>
      <c r="AK95" s="516"/>
      <c r="AL95" s="516"/>
      <c r="AM95" s="516"/>
      <c r="AN95" s="516"/>
      <c r="AO95" s="516"/>
    </row>
    <row r="96" spans="1:41" x14ac:dyDescent="0.25">
      <c r="A96" s="354"/>
      <c r="B96" s="689"/>
      <c r="C96" s="539"/>
      <c r="D96" s="539"/>
      <c r="E96" s="539"/>
      <c r="F96" s="539"/>
      <c r="G96" s="539"/>
      <c r="H96" s="539"/>
      <c r="I96" s="539"/>
      <c r="J96" s="786"/>
      <c r="K96" s="354"/>
      <c r="L96" s="354"/>
      <c r="M96" s="354"/>
      <c r="N96" s="354"/>
      <c r="O96" s="354"/>
      <c r="P96" s="354"/>
      <c r="Q96" s="354"/>
      <c r="R96" s="539"/>
      <c r="S96" s="539"/>
      <c r="T96" s="539"/>
      <c r="U96" s="539"/>
      <c r="V96" s="539"/>
      <c r="W96" s="539"/>
      <c r="X96" s="539"/>
      <c r="Y96" s="539"/>
      <c r="Z96" s="539"/>
      <c r="AA96" s="516"/>
      <c r="AB96" s="516"/>
      <c r="AC96" s="516"/>
      <c r="AD96" s="516"/>
      <c r="AE96" s="516"/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</row>
    <row r="97" spans="1:41" x14ac:dyDescent="0.25">
      <c r="A97" s="354"/>
      <c r="B97" s="689"/>
      <c r="C97" s="539"/>
      <c r="D97" s="539"/>
      <c r="E97" s="539"/>
      <c r="F97" s="539"/>
      <c r="G97" s="539"/>
      <c r="H97" s="539"/>
      <c r="I97" s="539"/>
      <c r="J97" s="786"/>
      <c r="K97" s="354"/>
      <c r="L97" s="354"/>
      <c r="M97" s="354"/>
      <c r="N97" s="354"/>
      <c r="O97" s="354"/>
      <c r="P97" s="354"/>
      <c r="Q97" s="354"/>
      <c r="R97" s="539"/>
      <c r="S97" s="539"/>
      <c r="T97" s="539"/>
      <c r="U97" s="539"/>
      <c r="V97" s="539"/>
      <c r="W97" s="539"/>
      <c r="X97" s="539"/>
      <c r="Y97" s="539"/>
      <c r="Z97" s="539"/>
      <c r="AA97" s="516"/>
      <c r="AB97" s="516"/>
      <c r="AC97" s="516"/>
      <c r="AD97" s="516"/>
      <c r="AE97" s="516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</row>
    <row r="98" spans="1:41" x14ac:dyDescent="0.25">
      <c r="A98" s="354"/>
      <c r="B98" s="689"/>
      <c r="C98" s="539"/>
      <c r="D98" s="539"/>
      <c r="E98" s="539"/>
      <c r="F98" s="539"/>
      <c r="G98" s="539"/>
      <c r="H98" s="539"/>
      <c r="I98" s="539"/>
      <c r="J98" s="786"/>
      <c r="K98" s="354"/>
      <c r="L98" s="354"/>
      <c r="M98" s="354"/>
      <c r="N98" s="354"/>
      <c r="O98" s="354"/>
      <c r="P98" s="354"/>
      <c r="Q98" s="354"/>
      <c r="R98" s="539"/>
      <c r="S98" s="539"/>
      <c r="T98" s="539"/>
      <c r="U98" s="539"/>
      <c r="V98" s="539"/>
      <c r="W98" s="539"/>
      <c r="X98" s="539"/>
      <c r="Y98" s="539"/>
      <c r="Z98" s="539"/>
      <c r="AA98" s="516"/>
      <c r="AB98" s="516"/>
      <c r="AC98" s="516"/>
      <c r="AD98" s="516"/>
      <c r="AE98" s="516"/>
      <c r="AF98" s="516"/>
      <c r="AG98" s="516"/>
      <c r="AH98" s="516"/>
      <c r="AI98" s="516"/>
      <c r="AJ98" s="516"/>
      <c r="AK98" s="516"/>
      <c r="AL98" s="516"/>
      <c r="AM98" s="516"/>
      <c r="AN98" s="516"/>
      <c r="AO98" s="516"/>
    </row>
    <row r="99" spans="1:41" x14ac:dyDescent="0.25">
      <c r="A99" s="354"/>
      <c r="B99" s="689"/>
      <c r="C99" s="539"/>
      <c r="D99" s="539"/>
      <c r="E99" s="539"/>
      <c r="F99" s="539"/>
      <c r="G99" s="539"/>
      <c r="H99" s="539"/>
      <c r="I99" s="539"/>
      <c r="J99" s="786"/>
      <c r="K99" s="516"/>
      <c r="L99" s="516"/>
      <c r="M99" s="516"/>
      <c r="N99" s="516"/>
      <c r="O99" s="424"/>
      <c r="P99" s="354"/>
      <c r="Q99" s="354"/>
      <c r="R99" s="539"/>
      <c r="S99" s="539"/>
      <c r="T99" s="539"/>
      <c r="U99" s="539"/>
      <c r="V99" s="539"/>
      <c r="W99" s="539"/>
      <c r="X99" s="539"/>
      <c r="Y99" s="539"/>
      <c r="Z99" s="539"/>
      <c r="AA99" s="516"/>
      <c r="AB99" s="516"/>
      <c r="AC99" s="516"/>
      <c r="AD99" s="516"/>
      <c r="AE99" s="516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</row>
    <row r="100" spans="1:41" x14ac:dyDescent="0.25">
      <c r="A100" s="354"/>
      <c r="B100" s="689"/>
      <c r="C100" s="539"/>
      <c r="D100" s="539"/>
      <c r="E100" s="539"/>
      <c r="F100" s="539"/>
      <c r="G100" s="539"/>
      <c r="H100" s="539"/>
      <c r="I100" s="539"/>
      <c r="J100" s="786"/>
      <c r="K100" s="354"/>
      <c r="L100" s="354"/>
      <c r="M100" s="354"/>
      <c r="N100" s="354"/>
      <c r="O100" s="354"/>
      <c r="P100" s="354"/>
      <c r="Q100" s="354"/>
      <c r="R100" s="539"/>
      <c r="S100" s="539"/>
      <c r="T100" s="539"/>
      <c r="U100" s="539"/>
      <c r="V100" s="539"/>
      <c r="W100" s="539"/>
      <c r="X100" s="539"/>
      <c r="Y100" s="539"/>
      <c r="Z100" s="539"/>
      <c r="AA100" s="516"/>
      <c r="AB100" s="516"/>
      <c r="AC100" s="516"/>
      <c r="AD100" s="516"/>
      <c r="AE100" s="516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</row>
    <row r="101" spans="1:41" x14ac:dyDescent="0.25">
      <c r="A101" s="516"/>
      <c r="B101" s="689"/>
      <c r="C101" s="539"/>
      <c r="D101" s="539"/>
      <c r="E101" s="539"/>
      <c r="F101" s="539"/>
      <c r="G101" s="539"/>
      <c r="H101" s="539"/>
      <c r="I101" s="539"/>
      <c r="J101" s="786"/>
      <c r="K101" s="516"/>
      <c r="L101" s="516"/>
      <c r="M101" s="516"/>
      <c r="N101" s="516"/>
      <c r="O101" s="516"/>
      <c r="P101" s="424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6"/>
      <c r="AC101" s="516"/>
      <c r="AD101" s="516"/>
      <c r="AE101" s="516"/>
      <c r="AF101" s="516"/>
      <c r="AG101" s="516"/>
      <c r="AH101" s="516"/>
      <c r="AI101" s="516"/>
      <c r="AJ101" s="516"/>
      <c r="AK101" s="516"/>
      <c r="AL101" s="516"/>
      <c r="AM101" s="516"/>
      <c r="AN101" s="516"/>
      <c r="AO101" s="516"/>
    </row>
    <row r="102" spans="1:41" x14ac:dyDescent="0.25">
      <c r="A102" s="516"/>
      <c r="B102" s="689"/>
      <c r="C102" s="539"/>
      <c r="D102" s="539"/>
      <c r="E102" s="539"/>
      <c r="F102" s="539"/>
      <c r="G102" s="539"/>
      <c r="H102" s="539"/>
      <c r="I102" s="539"/>
      <c r="J102" s="786"/>
      <c r="K102" s="516"/>
      <c r="L102" s="516"/>
      <c r="M102" s="516"/>
      <c r="N102" s="516"/>
      <c r="O102" s="516"/>
      <c r="P102" s="516"/>
      <c r="Q102" s="516"/>
      <c r="R102" s="516"/>
      <c r="S102" s="516"/>
      <c r="T102" s="516"/>
      <c r="U102" s="516"/>
      <c r="V102" s="516"/>
      <c r="W102" s="516"/>
      <c r="X102" s="516"/>
      <c r="Y102" s="516"/>
      <c r="Z102" s="516"/>
      <c r="AA102" s="516"/>
      <c r="AB102" s="516"/>
      <c r="AC102" s="516"/>
      <c r="AD102" s="516"/>
      <c r="AE102" s="516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</row>
    <row r="103" spans="1:41" x14ac:dyDescent="0.25">
      <c r="A103" s="516"/>
      <c r="B103" s="689"/>
      <c r="C103" s="539"/>
      <c r="D103" s="539"/>
      <c r="E103" s="539"/>
      <c r="F103" s="539"/>
      <c r="G103" s="539"/>
      <c r="H103" s="539"/>
      <c r="I103" s="539"/>
      <c r="J103" s="786"/>
      <c r="K103" s="424"/>
      <c r="L103" s="516"/>
      <c r="M103" s="516"/>
      <c r="N103" s="516"/>
      <c r="O103" s="516"/>
      <c r="P103" s="516"/>
      <c r="Q103" s="516"/>
      <c r="R103" s="516"/>
      <c r="S103" s="516"/>
      <c r="T103" s="516"/>
      <c r="U103" s="516"/>
      <c r="V103" s="516"/>
      <c r="W103" s="516"/>
      <c r="X103" s="516"/>
      <c r="Y103" s="516"/>
      <c r="Z103" s="516"/>
      <c r="AA103" s="516"/>
      <c r="AB103" s="516"/>
      <c r="AC103" s="516"/>
      <c r="AD103" s="516"/>
      <c r="AE103" s="516"/>
      <c r="AF103" s="516"/>
      <c r="AG103" s="516"/>
      <c r="AH103" s="516"/>
      <c r="AI103" s="516"/>
      <c r="AJ103" s="516"/>
      <c r="AK103" s="516"/>
      <c r="AL103" s="516"/>
      <c r="AM103" s="516"/>
      <c r="AN103" s="516"/>
      <c r="AO103" s="516"/>
    </row>
    <row r="104" spans="1:41" x14ac:dyDescent="0.25">
      <c r="A104" s="424"/>
      <c r="B104" s="390"/>
      <c r="C104" s="516"/>
      <c r="D104" s="516"/>
      <c r="E104" s="516"/>
      <c r="F104" s="516"/>
      <c r="G104" s="516"/>
      <c r="H104" s="516"/>
      <c r="I104" s="516"/>
      <c r="J104" s="425"/>
      <c r="K104" s="424"/>
      <c r="L104" s="516"/>
      <c r="M104" s="516"/>
      <c r="N104" s="51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  <c r="Y104" s="516"/>
      <c r="Z104" s="516"/>
      <c r="AA104" s="516"/>
      <c r="AB104" s="516"/>
      <c r="AC104" s="516"/>
      <c r="AD104" s="516"/>
      <c r="AE104" s="516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</row>
    <row r="105" spans="1:41" x14ac:dyDescent="0.25">
      <c r="A105" s="424"/>
      <c r="B105" s="390"/>
      <c r="C105" s="516"/>
      <c r="D105" s="516"/>
      <c r="E105" s="516"/>
      <c r="F105" s="516"/>
      <c r="G105" s="516"/>
      <c r="H105" s="516"/>
      <c r="I105" s="516"/>
      <c r="J105" s="425"/>
      <c r="K105" s="424"/>
      <c r="L105" s="516"/>
      <c r="M105" s="516"/>
      <c r="N105" s="516"/>
      <c r="O105" s="516"/>
      <c r="P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  <c r="AA105" s="516"/>
      <c r="AB105" s="516"/>
      <c r="AC105" s="516"/>
      <c r="AD105" s="516"/>
      <c r="AE105" s="516"/>
      <c r="AF105" s="516"/>
      <c r="AG105" s="516"/>
      <c r="AH105" s="516"/>
      <c r="AI105" s="516"/>
      <c r="AJ105" s="516"/>
      <c r="AK105" s="516"/>
      <c r="AL105" s="516"/>
      <c r="AM105" s="516"/>
      <c r="AN105" s="516"/>
      <c r="AO105" s="516"/>
    </row>
    <row r="106" spans="1:41" x14ac:dyDescent="0.25">
      <c r="A106" s="424"/>
      <c r="B106" s="390"/>
      <c r="C106" s="516"/>
      <c r="D106" s="516"/>
      <c r="E106" s="516"/>
      <c r="F106" s="516"/>
      <c r="G106" s="516"/>
      <c r="H106" s="516"/>
      <c r="I106" s="516"/>
      <c r="J106" s="425"/>
      <c r="K106" s="424"/>
      <c r="L106" s="516"/>
      <c r="M106" s="516"/>
      <c r="N106" s="516"/>
      <c r="O106" s="516"/>
      <c r="P106" s="516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  <c r="AA106" s="516"/>
      <c r="AB106" s="516"/>
      <c r="AC106" s="516"/>
      <c r="AD106" s="516"/>
      <c r="AE106" s="516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</row>
    <row r="107" spans="1:41" x14ac:dyDescent="0.25">
      <c r="A107" s="424"/>
      <c r="B107" s="390"/>
      <c r="C107" s="516"/>
      <c r="D107" s="516"/>
      <c r="E107" s="516"/>
      <c r="F107" s="516"/>
      <c r="G107" s="516"/>
      <c r="H107" s="516"/>
      <c r="I107" s="516"/>
      <c r="J107" s="425"/>
      <c r="K107" s="424"/>
      <c r="L107" s="516"/>
      <c r="M107" s="516"/>
      <c r="N107" s="516"/>
      <c r="O107" s="516"/>
      <c r="P107" s="516"/>
      <c r="Q107" s="516"/>
      <c r="R107" s="516"/>
      <c r="S107" s="516"/>
      <c r="T107" s="516"/>
      <c r="U107" s="516"/>
      <c r="V107" s="516"/>
      <c r="W107" s="516"/>
      <c r="X107" s="516"/>
      <c r="Y107" s="516"/>
      <c r="Z107" s="516"/>
      <c r="AA107" s="516"/>
      <c r="AB107" s="516"/>
      <c r="AC107" s="516"/>
      <c r="AD107" s="516"/>
      <c r="AE107" s="516"/>
      <c r="AF107" s="516"/>
      <c r="AG107" s="516"/>
      <c r="AH107" s="516"/>
      <c r="AI107" s="516"/>
      <c r="AJ107" s="516"/>
      <c r="AK107" s="516"/>
      <c r="AL107" s="516"/>
      <c r="AM107" s="516"/>
      <c r="AN107" s="516"/>
      <c r="AO107" s="516"/>
    </row>
    <row r="108" spans="1:41" x14ac:dyDescent="0.25">
      <c r="A108" s="424"/>
      <c r="B108" s="390"/>
      <c r="C108" s="516"/>
      <c r="D108" s="516"/>
      <c r="E108" s="516"/>
      <c r="F108" s="516"/>
      <c r="G108" s="516"/>
      <c r="H108" s="516"/>
      <c r="I108" s="516"/>
      <c r="J108" s="425"/>
      <c r="K108" s="424"/>
      <c r="L108" s="516"/>
      <c r="M108" s="516"/>
      <c r="N108" s="516"/>
      <c r="O108" s="516"/>
      <c r="P108" s="516"/>
      <c r="Q108" s="516"/>
      <c r="R108" s="516"/>
      <c r="S108" s="516"/>
      <c r="T108" s="516"/>
      <c r="U108" s="516"/>
      <c r="V108" s="516"/>
      <c r="W108" s="516"/>
      <c r="X108" s="516"/>
      <c r="Y108" s="516"/>
      <c r="Z108" s="516"/>
      <c r="AA108" s="516"/>
      <c r="AB108" s="516"/>
      <c r="AC108" s="516"/>
      <c r="AD108" s="516"/>
      <c r="AE108" s="516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</row>
    <row r="109" spans="1:41" x14ac:dyDescent="0.25">
      <c r="A109" s="424"/>
      <c r="B109" s="390"/>
      <c r="C109" s="516"/>
      <c r="D109" s="516"/>
      <c r="E109" s="516"/>
      <c r="F109" s="516"/>
      <c r="G109" s="516"/>
      <c r="H109" s="516"/>
      <c r="I109" s="516"/>
      <c r="J109" s="425"/>
      <c r="K109" s="424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  <c r="Z109" s="516"/>
      <c r="AA109" s="516"/>
      <c r="AB109" s="516"/>
      <c r="AC109" s="516"/>
      <c r="AD109" s="516"/>
      <c r="AE109" s="516"/>
      <c r="AF109" s="516"/>
      <c r="AG109" s="516"/>
      <c r="AH109" s="516"/>
      <c r="AI109" s="516"/>
      <c r="AJ109" s="516"/>
      <c r="AK109" s="516"/>
      <c r="AL109" s="516"/>
      <c r="AM109" s="516"/>
      <c r="AN109" s="516"/>
      <c r="AO109" s="516"/>
    </row>
    <row r="110" spans="1:41" x14ac:dyDescent="0.25">
      <c r="A110" s="424"/>
      <c r="B110" s="390"/>
      <c r="C110" s="516"/>
      <c r="D110" s="516"/>
      <c r="E110" s="516"/>
      <c r="F110" s="516"/>
      <c r="G110" s="516"/>
      <c r="H110" s="516"/>
      <c r="I110" s="516"/>
      <c r="J110" s="425"/>
      <c r="K110" s="424"/>
      <c r="L110" s="516"/>
      <c r="M110" s="516"/>
      <c r="N110" s="516" t="s">
        <v>81</v>
      </c>
      <c r="O110" s="516"/>
      <c r="P110" s="516"/>
      <c r="Q110" s="516"/>
      <c r="R110" s="516"/>
      <c r="S110" s="516"/>
      <c r="T110" s="516"/>
      <c r="U110" s="516"/>
      <c r="V110" s="516"/>
      <c r="W110" s="516"/>
      <c r="X110" s="516"/>
      <c r="Y110" s="516"/>
      <c r="Z110" s="516"/>
      <c r="AA110" s="516"/>
      <c r="AB110" s="516"/>
      <c r="AC110" s="516"/>
      <c r="AD110" s="516"/>
      <c r="AE110" s="516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</row>
    <row r="111" spans="1:41" x14ac:dyDescent="0.25">
      <c r="A111" s="424"/>
      <c r="B111" s="390"/>
      <c r="C111" s="516"/>
      <c r="D111" s="516"/>
      <c r="E111" s="516"/>
      <c r="F111" s="516"/>
      <c r="G111" s="516"/>
      <c r="H111" s="516"/>
      <c r="I111" s="516"/>
      <c r="J111" s="425"/>
      <c r="K111" s="424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  <c r="AA111" s="516"/>
      <c r="AB111" s="516"/>
      <c r="AC111" s="516"/>
      <c r="AD111" s="516"/>
      <c r="AE111" s="516"/>
      <c r="AF111" s="516"/>
      <c r="AG111" s="516"/>
      <c r="AH111" s="516"/>
      <c r="AI111" s="516"/>
      <c r="AJ111" s="516"/>
      <c r="AK111" s="516"/>
      <c r="AL111" s="516"/>
      <c r="AM111" s="516"/>
      <c r="AN111" s="516"/>
      <c r="AO111" s="516"/>
    </row>
    <row r="112" spans="1:41" x14ac:dyDescent="0.25">
      <c r="A112" s="424"/>
      <c r="B112" s="390"/>
      <c r="C112" s="516"/>
      <c r="D112" s="516"/>
      <c r="E112" s="516"/>
      <c r="F112" s="516"/>
      <c r="G112" s="516"/>
      <c r="H112" s="516"/>
      <c r="I112" s="516"/>
      <c r="J112" s="425"/>
      <c r="K112" s="424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  <c r="AA112" s="516"/>
      <c r="AB112" s="516"/>
      <c r="AC112" s="516"/>
      <c r="AD112" s="516"/>
      <c r="AE112" s="516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</row>
    <row r="113" spans="1:41" x14ac:dyDescent="0.25">
      <c r="A113" s="424"/>
      <c r="B113" s="390"/>
      <c r="C113" s="516"/>
      <c r="D113" s="516"/>
      <c r="E113" s="516"/>
      <c r="F113" s="516"/>
      <c r="G113" s="516"/>
      <c r="H113" s="516"/>
      <c r="I113" s="516"/>
      <c r="J113" s="425"/>
      <c r="K113" s="424"/>
      <c r="L113" s="516"/>
      <c r="M113" s="516"/>
      <c r="N113" s="516"/>
      <c r="O113" s="516"/>
      <c r="P113" s="516"/>
      <c r="Q113" s="516"/>
      <c r="R113" s="516"/>
      <c r="S113" s="516"/>
      <c r="T113" s="516"/>
      <c r="U113" s="516"/>
      <c r="V113" s="516"/>
      <c r="W113" s="516"/>
      <c r="X113" s="516"/>
      <c r="Y113" s="516"/>
      <c r="Z113" s="516"/>
      <c r="AA113" s="516"/>
      <c r="AB113" s="516"/>
      <c r="AC113" s="516"/>
      <c r="AD113" s="516"/>
      <c r="AE113" s="516"/>
      <c r="AF113" s="516"/>
      <c r="AG113" s="516"/>
      <c r="AH113" s="516"/>
      <c r="AI113" s="516"/>
      <c r="AJ113" s="516"/>
      <c r="AK113" s="516"/>
      <c r="AL113" s="516"/>
      <c r="AM113" s="516"/>
      <c r="AN113" s="516"/>
      <c r="AO113" s="516"/>
    </row>
    <row r="114" spans="1:41" x14ac:dyDescent="0.25">
      <c r="A114" s="424"/>
      <c r="B114" s="390"/>
      <c r="C114" s="516"/>
      <c r="D114" s="516"/>
      <c r="E114" s="516"/>
      <c r="F114" s="516"/>
      <c r="G114" s="516"/>
      <c r="H114" s="516"/>
      <c r="I114" s="516"/>
      <c r="J114" s="425"/>
      <c r="K114" s="424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  <c r="AA114" s="516"/>
      <c r="AB114" s="516"/>
      <c r="AC114" s="516"/>
      <c r="AD114" s="516"/>
      <c r="AE114" s="516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</row>
    <row r="115" spans="1:41" x14ac:dyDescent="0.25">
      <c r="A115" s="424"/>
      <c r="B115" s="390"/>
      <c r="C115" s="516"/>
      <c r="D115" s="516"/>
      <c r="E115" s="516"/>
      <c r="F115" s="516"/>
      <c r="G115" s="516"/>
      <c r="H115" s="516"/>
      <c r="I115" s="516"/>
      <c r="J115" s="425"/>
      <c r="K115" s="424"/>
      <c r="L115" s="516"/>
      <c r="M115" s="516"/>
      <c r="N115" s="516"/>
      <c r="O115" s="516"/>
      <c r="P115" s="516"/>
      <c r="Q115" s="516"/>
      <c r="R115" s="516"/>
      <c r="S115" s="516"/>
      <c r="T115" s="516"/>
      <c r="U115" s="516"/>
      <c r="V115" s="516"/>
      <c r="W115" s="516"/>
      <c r="X115" s="516"/>
      <c r="Y115" s="516"/>
      <c r="Z115" s="516"/>
      <c r="AA115" s="516"/>
      <c r="AB115" s="516"/>
      <c r="AC115" s="516"/>
      <c r="AD115" s="516"/>
      <c r="AE115" s="516"/>
      <c r="AF115" s="516"/>
      <c r="AG115" s="516"/>
      <c r="AH115" s="516"/>
      <c r="AI115" s="516"/>
      <c r="AJ115" s="516"/>
      <c r="AK115" s="516"/>
      <c r="AL115" s="516"/>
      <c r="AM115" s="516"/>
      <c r="AN115" s="516"/>
      <c r="AO115" s="516"/>
    </row>
    <row r="116" spans="1:41" x14ac:dyDescent="0.25">
      <c r="A116" s="424"/>
      <c r="B116" s="390"/>
      <c r="C116" s="516"/>
      <c r="D116" s="516"/>
      <c r="E116" s="516"/>
      <c r="F116" s="516"/>
      <c r="G116" s="516"/>
      <c r="H116" s="516"/>
      <c r="I116" s="516"/>
      <c r="J116" s="425"/>
      <c r="K116" s="424"/>
      <c r="L116" s="516"/>
      <c r="M116" s="516"/>
      <c r="N116" s="516"/>
      <c r="O116" s="516"/>
      <c r="P116" s="516"/>
      <c r="Q116" s="516"/>
      <c r="R116" s="516"/>
      <c r="S116" s="516"/>
      <c r="T116" s="516"/>
      <c r="U116" s="516"/>
      <c r="V116" s="516"/>
      <c r="W116" s="516"/>
      <c r="X116" s="516"/>
      <c r="Y116" s="516"/>
      <c r="Z116" s="516"/>
      <c r="AA116" s="516"/>
      <c r="AB116" s="516"/>
      <c r="AC116" s="516"/>
      <c r="AD116" s="516"/>
      <c r="AE116" s="516"/>
      <c r="AF116" s="516"/>
      <c r="AG116" s="516"/>
      <c r="AH116" s="516"/>
      <c r="AI116" s="516"/>
      <c r="AJ116" s="516"/>
      <c r="AK116" s="516"/>
      <c r="AL116" s="516"/>
      <c r="AM116" s="516"/>
      <c r="AN116" s="516"/>
      <c r="AO116" s="516"/>
    </row>
    <row r="117" spans="1:41" x14ac:dyDescent="0.25">
      <c r="A117" s="424"/>
      <c r="B117" s="390"/>
      <c r="C117" s="516"/>
      <c r="D117" s="516"/>
      <c r="E117" s="516"/>
      <c r="F117" s="516"/>
      <c r="G117" s="516"/>
      <c r="H117" s="516"/>
      <c r="I117" s="516"/>
      <c r="J117" s="425"/>
      <c r="K117" s="424"/>
      <c r="L117" s="516"/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  <c r="AA117" s="516"/>
      <c r="AB117" s="516"/>
      <c r="AC117" s="516"/>
      <c r="AD117" s="516"/>
      <c r="AE117" s="516"/>
      <c r="AF117" s="516"/>
      <c r="AG117" s="516"/>
      <c r="AH117" s="516"/>
      <c r="AI117" s="516"/>
      <c r="AJ117" s="516"/>
      <c r="AK117" s="516"/>
      <c r="AL117" s="516"/>
      <c r="AM117" s="516"/>
      <c r="AN117" s="516"/>
      <c r="AO117" s="516"/>
    </row>
    <row r="118" spans="1:41" x14ac:dyDescent="0.25">
      <c r="A118" s="424"/>
      <c r="B118" s="390"/>
      <c r="C118" s="516"/>
      <c r="D118" s="516"/>
      <c r="E118" s="516"/>
      <c r="F118" s="516"/>
      <c r="G118" s="516"/>
      <c r="H118" s="516"/>
      <c r="I118" s="516"/>
      <c r="J118" s="425"/>
      <c r="K118" s="424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</row>
    <row r="119" spans="1:41" x14ac:dyDescent="0.25">
      <c r="A119" s="424"/>
      <c r="B119" s="390"/>
      <c r="C119" s="516"/>
      <c r="D119" s="516"/>
      <c r="E119" s="516"/>
      <c r="F119" s="516"/>
      <c r="G119" s="516"/>
      <c r="H119" s="516"/>
      <c r="I119" s="516"/>
      <c r="J119" s="425"/>
      <c r="K119" s="424"/>
      <c r="L119" s="516"/>
      <c r="M119" s="516"/>
      <c r="N119" s="516"/>
      <c r="O119" s="516"/>
      <c r="P119" s="516"/>
      <c r="Q119" s="516"/>
      <c r="R119" s="516"/>
      <c r="S119" s="516"/>
      <c r="T119" s="516"/>
      <c r="U119" s="516"/>
      <c r="V119" s="516"/>
      <c r="W119" s="516"/>
      <c r="X119" s="516"/>
      <c r="Y119" s="516"/>
      <c r="Z119" s="516"/>
      <c r="AA119" s="516"/>
      <c r="AB119" s="516"/>
      <c r="AC119" s="516"/>
      <c r="AD119" s="516"/>
      <c r="AE119" s="516"/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</row>
    <row r="120" spans="1:41" x14ac:dyDescent="0.25">
      <c r="A120" s="424"/>
      <c r="B120" s="390"/>
      <c r="C120" s="516"/>
      <c r="D120" s="516"/>
      <c r="E120" s="516"/>
      <c r="F120" s="516"/>
      <c r="G120" s="516"/>
      <c r="H120" s="516"/>
      <c r="I120" s="516"/>
      <c r="J120" s="425"/>
      <c r="K120" s="424"/>
      <c r="L120" s="516"/>
      <c r="M120" s="516"/>
      <c r="N120" s="516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  <c r="Y120" s="516"/>
      <c r="Z120" s="516"/>
      <c r="AA120" s="516"/>
      <c r="AB120" s="516"/>
      <c r="AC120" s="516"/>
      <c r="AD120" s="516"/>
      <c r="AE120" s="516"/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</row>
    <row r="121" spans="1:41" x14ac:dyDescent="0.25">
      <c r="A121" s="424"/>
      <c r="B121" s="390"/>
      <c r="C121" s="516"/>
      <c r="D121" s="516"/>
      <c r="E121" s="516"/>
      <c r="F121" s="516"/>
      <c r="G121" s="516"/>
      <c r="H121" s="516"/>
      <c r="I121" s="516"/>
      <c r="J121" s="425"/>
      <c r="K121" s="424"/>
      <c r="L121" s="516"/>
      <c r="M121" s="516"/>
      <c r="N121" s="516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  <c r="Y121" s="516"/>
      <c r="Z121" s="516"/>
      <c r="AA121" s="516"/>
      <c r="AB121" s="516"/>
      <c r="AC121" s="516"/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</row>
    <row r="122" spans="1:41" x14ac:dyDescent="0.25">
      <c r="A122" s="424"/>
      <c r="B122" s="390"/>
      <c r="C122" s="516"/>
      <c r="D122" s="516"/>
      <c r="E122" s="516"/>
      <c r="F122" s="516"/>
      <c r="G122" s="516"/>
      <c r="H122" s="516"/>
      <c r="I122" s="516"/>
      <c r="J122" s="425"/>
      <c r="K122" s="424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  <c r="Z122" s="516"/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</row>
    <row r="123" spans="1:41" x14ac:dyDescent="0.25">
      <c r="A123" s="424"/>
      <c r="B123" s="390"/>
      <c r="C123" s="516"/>
      <c r="D123" s="516"/>
      <c r="E123" s="516"/>
      <c r="F123" s="516"/>
      <c r="G123" s="516"/>
      <c r="H123" s="516"/>
      <c r="I123" s="516"/>
      <c r="J123" s="425"/>
      <c r="K123" s="424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</row>
    <row r="124" spans="1:41" x14ac:dyDescent="0.25">
      <c r="A124" s="424"/>
      <c r="B124" s="390"/>
      <c r="C124" s="516"/>
      <c r="D124" s="516"/>
      <c r="E124" s="516"/>
      <c r="F124" s="516"/>
      <c r="G124" s="516"/>
      <c r="H124" s="516"/>
      <c r="I124" s="516"/>
      <c r="J124" s="425"/>
      <c r="K124" s="424"/>
      <c r="L124" s="516"/>
      <c r="M124" s="516"/>
      <c r="N124" s="516"/>
      <c r="O124" s="516"/>
      <c r="P124" s="516"/>
      <c r="Q124" s="516"/>
      <c r="R124" s="516"/>
      <c r="S124" s="516"/>
      <c r="T124" s="516"/>
      <c r="U124" s="516"/>
      <c r="V124" s="516"/>
      <c r="W124" s="516"/>
      <c r="X124" s="516"/>
      <c r="Y124" s="516"/>
      <c r="Z124" s="516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</row>
    <row r="125" spans="1:41" x14ac:dyDescent="0.25">
      <c r="A125" s="424"/>
      <c r="B125" s="390"/>
      <c r="C125" s="516"/>
      <c r="D125" s="516"/>
      <c r="E125" s="516"/>
      <c r="F125" s="516"/>
      <c r="G125" s="516"/>
      <c r="H125" s="516"/>
      <c r="I125" s="516"/>
      <c r="J125" s="425"/>
      <c r="K125" s="424"/>
      <c r="L125" s="516"/>
      <c r="M125" s="516"/>
      <c r="N125" s="516"/>
      <c r="O125" s="516"/>
      <c r="P125" s="516"/>
      <c r="Q125" s="516"/>
      <c r="R125" s="516"/>
      <c r="S125" s="516"/>
      <c r="T125" s="516"/>
      <c r="U125" s="516"/>
      <c r="V125" s="516"/>
      <c r="W125" s="516"/>
      <c r="X125" s="516"/>
      <c r="Y125" s="516"/>
      <c r="Z125" s="516"/>
      <c r="AA125" s="516"/>
      <c r="AB125" s="516"/>
      <c r="AC125" s="516"/>
      <c r="AD125" s="516"/>
      <c r="AE125" s="516"/>
      <c r="AF125" s="516"/>
      <c r="AG125" s="516"/>
      <c r="AH125" s="516"/>
      <c r="AI125" s="516"/>
      <c r="AJ125" s="516"/>
      <c r="AK125" s="516"/>
      <c r="AL125" s="516"/>
      <c r="AM125" s="516"/>
      <c r="AN125" s="516"/>
      <c r="AO125" s="516"/>
    </row>
    <row r="126" spans="1:41" x14ac:dyDescent="0.25">
      <c r="A126" s="424"/>
      <c r="B126" s="390"/>
      <c r="C126" s="516"/>
      <c r="D126" s="516"/>
      <c r="E126" s="516"/>
      <c r="F126" s="516"/>
      <c r="G126" s="516"/>
      <c r="H126" s="516"/>
      <c r="I126" s="516"/>
      <c r="J126" s="425"/>
      <c r="K126" s="424"/>
      <c r="L126" s="516"/>
      <c r="M126" s="516"/>
      <c r="N126" s="516"/>
      <c r="O126" s="516"/>
      <c r="P126" s="516"/>
      <c r="Q126" s="516"/>
      <c r="R126" s="516"/>
      <c r="S126" s="516"/>
      <c r="T126" s="516"/>
      <c r="U126" s="516"/>
      <c r="V126" s="516"/>
      <c r="W126" s="516"/>
      <c r="X126" s="516"/>
      <c r="Y126" s="516"/>
      <c r="Z126" s="516"/>
      <c r="AA126" s="516"/>
      <c r="AB126" s="516"/>
      <c r="AC126" s="516"/>
      <c r="AD126" s="516"/>
      <c r="AE126" s="516"/>
      <c r="AF126" s="516"/>
      <c r="AG126" s="516"/>
      <c r="AH126" s="516"/>
      <c r="AI126" s="516"/>
      <c r="AJ126" s="516"/>
      <c r="AK126" s="516"/>
      <c r="AL126" s="516"/>
      <c r="AM126" s="516"/>
      <c r="AN126" s="516"/>
      <c r="AO126" s="516"/>
    </row>
    <row r="127" spans="1:41" x14ac:dyDescent="0.25">
      <c r="A127" s="516"/>
      <c r="B127" s="390"/>
      <c r="C127" s="516"/>
      <c r="D127" s="516"/>
      <c r="E127" s="516"/>
      <c r="F127" s="516"/>
      <c r="G127" s="516"/>
      <c r="H127" s="516"/>
      <c r="I127" s="516"/>
      <c r="J127" s="425"/>
      <c r="K127" s="424"/>
      <c r="L127" s="516"/>
      <c r="M127" s="516"/>
      <c r="N127" s="516"/>
      <c r="O127" s="516"/>
      <c r="P127" s="516"/>
      <c r="Q127" s="516"/>
      <c r="R127" s="516"/>
      <c r="S127" s="516"/>
      <c r="T127" s="516"/>
      <c r="U127" s="516"/>
      <c r="V127" s="516"/>
      <c r="W127" s="516"/>
      <c r="X127" s="516"/>
      <c r="Y127" s="516"/>
      <c r="Z127" s="516"/>
      <c r="AA127" s="516"/>
      <c r="AB127" s="516"/>
      <c r="AC127" s="516"/>
      <c r="AD127" s="516"/>
      <c r="AE127" s="516"/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</row>
    <row r="128" spans="1:41" x14ac:dyDescent="0.25">
      <c r="A128" s="516"/>
      <c r="B128" s="689" t="s">
        <v>82</v>
      </c>
      <c r="C128" s="539"/>
      <c r="D128" s="539"/>
      <c r="E128" s="539"/>
      <c r="F128" s="539"/>
      <c r="G128" s="539"/>
      <c r="H128" s="539"/>
      <c r="I128" s="539"/>
      <c r="J128" s="786"/>
      <c r="K128" s="516"/>
      <c r="L128" s="516"/>
      <c r="M128" s="516"/>
      <c r="N128" s="516"/>
      <c r="O128" s="516"/>
      <c r="P128" s="516"/>
      <c r="Q128" s="516"/>
      <c r="R128" s="516"/>
      <c r="S128" s="516"/>
      <c r="T128" s="516"/>
      <c r="U128" s="516"/>
      <c r="V128" s="516"/>
      <c r="W128" s="516"/>
      <c r="X128" s="516"/>
      <c r="Y128" s="516"/>
      <c r="Z128" s="516"/>
      <c r="AA128" s="516"/>
      <c r="AB128" s="516"/>
      <c r="AC128" s="516"/>
      <c r="AD128" s="516"/>
      <c r="AE128" s="516"/>
      <c r="AF128" s="516"/>
      <c r="AG128" s="516"/>
      <c r="AH128" s="516"/>
      <c r="AI128" s="516"/>
      <c r="AJ128" s="516"/>
      <c r="AK128" s="516"/>
      <c r="AL128" s="516"/>
      <c r="AM128" s="516"/>
      <c r="AN128" s="516"/>
      <c r="AO128" s="516"/>
    </row>
    <row r="129" spans="1:41" x14ac:dyDescent="0.25">
      <c r="A129" s="516"/>
      <c r="B129" s="689" t="s">
        <v>83</v>
      </c>
      <c r="C129" s="539"/>
      <c r="D129" s="539"/>
      <c r="E129" s="539"/>
      <c r="F129" s="539"/>
      <c r="G129" s="539"/>
      <c r="H129" s="539"/>
      <c r="I129" s="539"/>
      <c r="J129" s="786"/>
      <c r="K129" s="516"/>
      <c r="L129" s="516"/>
      <c r="M129" s="516"/>
      <c r="N129" s="516"/>
      <c r="O129" s="516"/>
      <c r="P129" s="516"/>
      <c r="Q129" s="516"/>
      <c r="R129" s="516"/>
      <c r="S129" s="516"/>
      <c r="T129" s="516"/>
      <c r="U129" s="516"/>
      <c r="V129" s="516"/>
      <c r="W129" s="516"/>
      <c r="X129" s="516"/>
      <c r="Y129" s="516"/>
      <c r="Z129" s="516"/>
      <c r="AA129" s="516"/>
      <c r="AB129" s="516"/>
      <c r="AC129" s="516"/>
      <c r="AD129" s="516"/>
      <c r="AE129" s="516"/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</row>
    <row r="130" spans="1:41" x14ac:dyDescent="0.25">
      <c r="A130" s="516"/>
      <c r="B130" s="689" t="s">
        <v>84</v>
      </c>
      <c r="C130" s="539"/>
      <c r="D130" s="539"/>
      <c r="E130" s="539"/>
      <c r="F130" s="539"/>
      <c r="G130" s="539"/>
      <c r="H130" s="539"/>
      <c r="I130" s="539"/>
      <c r="J130" s="786"/>
      <c r="K130" s="516"/>
      <c r="L130" s="516"/>
      <c r="M130" s="516"/>
      <c r="N130" s="516"/>
      <c r="O130" s="516"/>
      <c r="P130" s="516"/>
      <c r="Q130" s="516"/>
      <c r="R130" s="516"/>
      <c r="S130" s="516"/>
      <c r="T130" s="516"/>
      <c r="U130" s="516"/>
      <c r="V130" s="516"/>
      <c r="W130" s="516"/>
      <c r="X130" s="516"/>
      <c r="Y130" s="516"/>
      <c r="Z130" s="516"/>
      <c r="AA130" s="516"/>
      <c r="AB130" s="516"/>
      <c r="AC130" s="516"/>
      <c r="AD130" s="516"/>
      <c r="AE130" s="516"/>
      <c r="AF130" s="516"/>
      <c r="AG130" s="516"/>
      <c r="AH130" s="516"/>
      <c r="AI130" s="516"/>
      <c r="AJ130" s="516"/>
      <c r="AK130" s="516"/>
      <c r="AL130" s="516"/>
      <c r="AM130" s="516"/>
      <c r="AN130" s="516"/>
      <c r="AO130" s="516"/>
    </row>
    <row r="131" spans="1:41" x14ac:dyDescent="0.25">
      <c r="A131" s="516"/>
      <c r="B131" s="689" t="s">
        <v>85</v>
      </c>
      <c r="C131" s="539"/>
      <c r="D131" s="539"/>
      <c r="E131" s="539"/>
      <c r="F131" s="539"/>
      <c r="G131" s="539"/>
      <c r="H131" s="539"/>
      <c r="I131" s="539"/>
      <c r="J131" s="786"/>
      <c r="K131" s="516"/>
      <c r="L131" s="516"/>
      <c r="M131" s="516"/>
      <c r="N131" s="516"/>
      <c r="O131" s="516"/>
      <c r="P131" s="516"/>
      <c r="Q131" s="516"/>
      <c r="R131" s="516"/>
      <c r="S131" s="516"/>
      <c r="T131" s="516"/>
      <c r="U131" s="516"/>
      <c r="V131" s="516"/>
      <c r="W131" s="516"/>
      <c r="X131" s="516"/>
      <c r="Y131" s="516"/>
      <c r="Z131" s="516"/>
      <c r="AA131" s="516"/>
      <c r="AB131" s="516"/>
      <c r="AC131" s="516"/>
      <c r="AD131" s="516"/>
      <c r="AE131" s="516"/>
      <c r="AF131" s="516"/>
      <c r="AG131" s="516"/>
      <c r="AH131" s="516"/>
      <c r="AI131" s="516"/>
      <c r="AJ131" s="516"/>
      <c r="AK131" s="516"/>
      <c r="AL131" s="516"/>
      <c r="AM131" s="516"/>
      <c r="AN131" s="516"/>
      <c r="AO131" s="516"/>
    </row>
    <row r="132" spans="1:41" x14ac:dyDescent="0.25">
      <c r="A132" s="516"/>
      <c r="B132" s="390"/>
      <c r="C132" s="516"/>
      <c r="D132" s="516"/>
      <c r="E132" s="516"/>
      <c r="F132" s="516"/>
      <c r="G132" s="516"/>
      <c r="H132" s="516"/>
      <c r="I132" s="516"/>
      <c r="J132" s="425"/>
      <c r="K132" s="516"/>
      <c r="L132" s="516"/>
      <c r="M132" s="516"/>
      <c r="N132" s="516"/>
      <c r="O132" s="516"/>
      <c r="P132" s="516"/>
      <c r="Q132" s="516"/>
      <c r="R132" s="516"/>
      <c r="S132" s="516"/>
      <c r="T132" s="516"/>
      <c r="U132" s="516"/>
      <c r="V132" s="516"/>
      <c r="W132" s="516"/>
      <c r="X132" s="516"/>
      <c r="Y132" s="516"/>
      <c r="Z132" s="516"/>
      <c r="AA132" s="516"/>
      <c r="AB132" s="516"/>
      <c r="AC132" s="516"/>
      <c r="AD132" s="516"/>
      <c r="AE132" s="516"/>
      <c r="AF132" s="516"/>
      <c r="AG132" s="516"/>
      <c r="AH132" s="516"/>
      <c r="AI132" s="516"/>
      <c r="AJ132" s="516"/>
      <c r="AK132" s="516"/>
      <c r="AL132" s="516"/>
      <c r="AM132" s="516"/>
      <c r="AN132" s="516"/>
      <c r="AO132" s="516"/>
    </row>
    <row r="133" spans="1:41" x14ac:dyDescent="0.25">
      <c r="A133" s="516"/>
      <c r="B133" s="390"/>
      <c r="C133" s="516"/>
      <c r="D133" s="516"/>
      <c r="E133" s="516"/>
      <c r="F133" s="516"/>
      <c r="G133" s="516"/>
      <c r="H133" s="516"/>
      <c r="I133" s="516"/>
      <c r="J133" s="425"/>
      <c r="K133" s="516"/>
      <c r="L133" s="516"/>
      <c r="M133" s="516"/>
      <c r="N133" s="516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  <c r="Y133" s="516"/>
      <c r="Z133" s="516"/>
      <c r="AA133" s="516"/>
      <c r="AB133" s="516"/>
      <c r="AC133" s="516"/>
      <c r="AD133" s="516"/>
      <c r="AE133" s="516"/>
      <c r="AF133" s="516"/>
      <c r="AG133" s="516"/>
      <c r="AH133" s="516"/>
      <c r="AI133" s="516"/>
      <c r="AJ133" s="516"/>
      <c r="AK133" s="516"/>
      <c r="AL133" s="516"/>
      <c r="AM133" s="516"/>
      <c r="AN133" s="516"/>
      <c r="AO133" s="516"/>
    </row>
    <row r="134" spans="1:41" x14ac:dyDescent="0.25">
      <c r="A134" s="516"/>
      <c r="B134" s="390"/>
      <c r="C134" s="516"/>
      <c r="D134" s="516"/>
      <c r="E134" s="516"/>
      <c r="F134" s="516"/>
      <c r="G134" s="516"/>
      <c r="H134" s="516"/>
      <c r="I134" s="516"/>
      <c r="J134" s="425"/>
      <c r="K134" s="516"/>
      <c r="L134" s="516"/>
      <c r="M134" s="516"/>
      <c r="N134" s="516"/>
      <c r="O134" s="516"/>
      <c r="P134" s="516"/>
      <c r="Q134" s="516"/>
      <c r="R134" s="516"/>
      <c r="S134" s="516"/>
      <c r="T134" s="516"/>
      <c r="U134" s="516"/>
      <c r="V134" s="516"/>
      <c r="W134" s="516"/>
      <c r="X134" s="516"/>
      <c r="Y134" s="516"/>
      <c r="Z134" s="516"/>
      <c r="AA134" s="516"/>
      <c r="AB134" s="516"/>
      <c r="AC134" s="516"/>
      <c r="AD134" s="516"/>
      <c r="AE134" s="516"/>
      <c r="AF134" s="516"/>
      <c r="AG134" s="516"/>
      <c r="AH134" s="516"/>
      <c r="AI134" s="516"/>
      <c r="AJ134" s="516"/>
      <c r="AK134" s="516"/>
      <c r="AL134" s="516"/>
      <c r="AM134" s="516"/>
      <c r="AN134" s="516"/>
      <c r="AO134" s="516"/>
    </row>
    <row r="135" spans="1:41" x14ac:dyDescent="0.25">
      <c r="A135" s="516"/>
      <c r="B135" s="390"/>
      <c r="C135" s="516"/>
      <c r="D135" s="516"/>
      <c r="E135" s="516"/>
      <c r="F135" s="516"/>
      <c r="G135" s="516"/>
      <c r="H135" s="516"/>
      <c r="I135" s="516"/>
      <c r="J135" s="425"/>
      <c r="K135" s="516"/>
      <c r="L135" s="516"/>
      <c r="M135" s="516"/>
      <c r="N135" s="516"/>
      <c r="O135" s="516"/>
      <c r="P135" s="516"/>
      <c r="Q135" s="516"/>
      <c r="R135" s="516"/>
      <c r="S135" s="516"/>
      <c r="T135" s="516"/>
      <c r="U135" s="516"/>
      <c r="V135" s="516"/>
      <c r="W135" s="516"/>
      <c r="X135" s="516"/>
      <c r="Y135" s="516"/>
      <c r="Z135" s="516"/>
      <c r="AA135" s="516"/>
      <c r="AB135" s="516"/>
      <c r="AC135" s="516"/>
      <c r="AD135" s="516"/>
      <c r="AE135" s="516"/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</row>
    <row r="136" spans="1:41" x14ac:dyDescent="0.25">
      <c r="A136" s="516"/>
      <c r="B136" s="390"/>
      <c r="C136" s="516"/>
      <c r="D136" s="516"/>
      <c r="E136" s="516"/>
      <c r="F136" s="516"/>
      <c r="G136" s="516"/>
      <c r="H136" s="516"/>
      <c r="I136" s="516"/>
      <c r="J136" s="425"/>
      <c r="K136" s="516"/>
      <c r="L136" s="516"/>
      <c r="M136" s="516"/>
      <c r="N136" s="516"/>
      <c r="O136" s="516"/>
      <c r="P136" s="516"/>
      <c r="Q136" s="516"/>
      <c r="R136" s="516"/>
      <c r="S136" s="516"/>
      <c r="T136" s="516"/>
      <c r="U136" s="516"/>
      <c r="V136" s="516"/>
      <c r="W136" s="516"/>
      <c r="X136" s="516"/>
      <c r="Y136" s="516"/>
      <c r="Z136" s="516"/>
      <c r="AA136" s="516"/>
      <c r="AB136" s="516"/>
      <c r="AC136" s="516"/>
      <c r="AD136" s="516"/>
      <c r="AE136" s="516"/>
      <c r="AF136" s="516"/>
      <c r="AG136" s="516"/>
      <c r="AH136" s="516"/>
      <c r="AI136" s="516"/>
      <c r="AJ136" s="516"/>
      <c r="AK136" s="516"/>
      <c r="AL136" s="516"/>
      <c r="AM136" s="516"/>
      <c r="AN136" s="516"/>
      <c r="AO136" s="516"/>
    </row>
    <row r="137" spans="1:41" x14ac:dyDescent="0.25">
      <c r="A137" s="516"/>
      <c r="B137" s="390"/>
      <c r="C137" s="516"/>
      <c r="D137" s="516"/>
      <c r="E137" s="516"/>
      <c r="F137" s="516"/>
      <c r="G137" s="516"/>
      <c r="H137" s="516"/>
      <c r="I137" s="516"/>
      <c r="J137" s="425"/>
      <c r="K137" s="516"/>
      <c r="L137" s="516"/>
      <c r="M137" s="516"/>
      <c r="N137" s="516"/>
      <c r="O137" s="516"/>
      <c r="P137" s="516"/>
      <c r="Q137" s="516"/>
      <c r="R137" s="516"/>
      <c r="S137" s="516"/>
      <c r="T137" s="516"/>
      <c r="U137" s="516"/>
      <c r="V137" s="516"/>
      <c r="W137" s="516"/>
      <c r="X137" s="516"/>
      <c r="Y137" s="516"/>
      <c r="Z137" s="516"/>
      <c r="AA137" s="516"/>
      <c r="AB137" s="516"/>
      <c r="AC137" s="516"/>
      <c r="AD137" s="516"/>
      <c r="AE137" s="516"/>
      <c r="AF137" s="516"/>
      <c r="AG137" s="516"/>
      <c r="AH137" s="516"/>
      <c r="AI137" s="516"/>
      <c r="AJ137" s="516"/>
      <c r="AK137" s="516"/>
      <c r="AL137" s="516"/>
      <c r="AM137" s="516"/>
      <c r="AN137" s="516"/>
      <c r="AO137" s="516"/>
    </row>
    <row r="138" spans="1:41" x14ac:dyDescent="0.25">
      <c r="A138" s="516"/>
      <c r="B138" s="390"/>
      <c r="C138" s="516"/>
      <c r="D138" s="516"/>
      <c r="E138" s="516"/>
      <c r="F138" s="516"/>
      <c r="G138" s="516"/>
      <c r="H138" s="516"/>
      <c r="I138" s="516"/>
      <c r="J138" s="425"/>
      <c r="K138" s="516"/>
      <c r="L138" s="516"/>
      <c r="M138" s="516"/>
      <c r="N138" s="516"/>
      <c r="O138" s="516"/>
      <c r="P138" s="516"/>
      <c r="Q138" s="516"/>
      <c r="R138" s="516"/>
      <c r="S138" s="516"/>
      <c r="T138" s="516"/>
      <c r="U138" s="516"/>
      <c r="V138" s="516"/>
      <c r="W138" s="516"/>
      <c r="X138" s="516"/>
      <c r="Y138" s="516"/>
      <c r="Z138" s="516"/>
      <c r="AA138" s="516"/>
      <c r="AB138" s="516"/>
      <c r="AC138" s="516"/>
      <c r="AD138" s="516"/>
      <c r="AE138" s="516"/>
      <c r="AF138" s="516"/>
      <c r="AG138" s="516"/>
      <c r="AH138" s="516"/>
      <c r="AI138" s="516"/>
      <c r="AJ138" s="516"/>
      <c r="AK138" s="516"/>
      <c r="AL138" s="516"/>
      <c r="AM138" s="516"/>
      <c r="AN138" s="516"/>
      <c r="AO138" s="516"/>
    </row>
    <row r="139" spans="1:41" x14ac:dyDescent="0.25">
      <c r="A139" s="516"/>
      <c r="B139" s="390"/>
      <c r="C139" s="516"/>
      <c r="D139" s="516"/>
      <c r="E139" s="516"/>
      <c r="F139" s="516"/>
      <c r="G139" s="516"/>
      <c r="H139" s="516"/>
      <c r="I139" s="516"/>
      <c r="J139" s="425"/>
      <c r="K139" s="516"/>
      <c r="L139" s="516"/>
      <c r="M139" s="516"/>
      <c r="N139" s="516"/>
      <c r="O139" s="516"/>
      <c r="P139" s="516"/>
      <c r="Q139" s="516"/>
      <c r="R139" s="516"/>
      <c r="S139" s="516"/>
      <c r="T139" s="516"/>
      <c r="U139" s="516"/>
      <c r="V139" s="516"/>
      <c r="W139" s="516"/>
      <c r="X139" s="516"/>
      <c r="Y139" s="516"/>
      <c r="Z139" s="516"/>
      <c r="AA139" s="516"/>
      <c r="AB139" s="516"/>
      <c r="AC139" s="516"/>
      <c r="AD139" s="516"/>
      <c r="AE139" s="516"/>
      <c r="AF139" s="516"/>
      <c r="AG139" s="516"/>
      <c r="AH139" s="516"/>
      <c r="AI139" s="516"/>
      <c r="AJ139" s="516"/>
      <c r="AK139" s="516"/>
      <c r="AL139" s="516"/>
      <c r="AM139" s="516"/>
      <c r="AN139" s="516"/>
      <c r="AO139" s="516"/>
    </row>
    <row r="140" spans="1:41" x14ac:dyDescent="0.25">
      <c r="A140" s="516"/>
      <c r="B140" s="390"/>
      <c r="C140" s="516"/>
      <c r="D140" s="516"/>
      <c r="E140" s="516"/>
      <c r="F140" s="516"/>
      <c r="G140" s="516"/>
      <c r="H140" s="516"/>
      <c r="I140" s="516"/>
      <c r="J140" s="425"/>
      <c r="K140" s="516"/>
      <c r="L140" s="516"/>
      <c r="M140" s="516"/>
      <c r="N140" s="516"/>
      <c r="O140" s="516"/>
      <c r="P140" s="516"/>
      <c r="Q140" s="516"/>
      <c r="R140" s="516"/>
      <c r="S140" s="516"/>
      <c r="T140" s="516"/>
      <c r="U140" s="516"/>
      <c r="V140" s="516"/>
      <c r="W140" s="516"/>
      <c r="X140" s="516"/>
      <c r="Y140" s="516"/>
      <c r="Z140" s="516"/>
      <c r="AA140" s="516"/>
      <c r="AB140" s="516"/>
      <c r="AC140" s="516"/>
      <c r="AD140" s="516"/>
      <c r="AE140" s="516"/>
      <c r="AF140" s="516"/>
      <c r="AG140" s="516"/>
      <c r="AH140" s="516"/>
      <c r="AI140" s="516"/>
      <c r="AJ140" s="516"/>
      <c r="AK140" s="516"/>
      <c r="AL140" s="516"/>
      <c r="AM140" s="516"/>
      <c r="AN140" s="516"/>
      <c r="AO140" s="516"/>
    </row>
    <row r="141" spans="1:41" x14ac:dyDescent="0.25">
      <c r="A141" s="516"/>
      <c r="B141" s="689"/>
      <c r="C141" s="539"/>
      <c r="D141" s="539"/>
      <c r="E141" s="539"/>
      <c r="F141" s="539"/>
      <c r="G141" s="539"/>
      <c r="H141" s="539"/>
      <c r="I141" s="539"/>
      <c r="J141" s="786"/>
      <c r="K141" s="516"/>
      <c r="L141" s="516"/>
      <c r="M141" s="516"/>
      <c r="N141" s="516"/>
      <c r="O141" s="516"/>
      <c r="P141" s="516"/>
      <c r="Q141" s="516"/>
      <c r="R141" s="516"/>
      <c r="S141" s="516"/>
      <c r="T141" s="516"/>
      <c r="U141" s="516"/>
      <c r="V141" s="516"/>
      <c r="W141" s="516"/>
      <c r="X141" s="516"/>
      <c r="Y141" s="516"/>
      <c r="Z141" s="516"/>
      <c r="AA141" s="516"/>
      <c r="AB141" s="516"/>
      <c r="AC141" s="516"/>
      <c r="AD141" s="516"/>
      <c r="AE141" s="516"/>
      <c r="AF141" s="516"/>
      <c r="AG141" s="516"/>
      <c r="AH141" s="516"/>
      <c r="AI141" s="516"/>
      <c r="AJ141" s="516"/>
      <c r="AK141" s="516"/>
      <c r="AL141" s="516"/>
      <c r="AM141" s="516"/>
      <c r="AN141" s="516"/>
      <c r="AO141" s="516"/>
    </row>
    <row r="142" spans="1:41" x14ac:dyDescent="0.25">
      <c r="A142" s="516"/>
      <c r="B142" s="689"/>
      <c r="C142" s="539"/>
      <c r="D142" s="539"/>
      <c r="E142" s="539"/>
      <c r="F142" s="539"/>
      <c r="G142" s="539"/>
      <c r="H142" s="539"/>
      <c r="I142" s="539"/>
      <c r="J142" s="786"/>
      <c r="K142" s="516"/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6"/>
      <c r="Y142" s="516"/>
      <c r="Z142" s="516"/>
      <c r="AA142" s="516"/>
      <c r="AB142" s="516"/>
      <c r="AC142" s="516"/>
      <c r="AD142" s="516"/>
      <c r="AE142" s="516"/>
      <c r="AF142" s="516"/>
      <c r="AG142" s="516"/>
      <c r="AH142" s="516"/>
      <c r="AI142" s="516"/>
      <c r="AJ142" s="516"/>
      <c r="AK142" s="516"/>
      <c r="AL142" s="516"/>
      <c r="AM142" s="516"/>
      <c r="AN142" s="516"/>
      <c r="AO142" s="516"/>
    </row>
    <row r="143" spans="1:41" x14ac:dyDescent="0.25">
      <c r="A143" s="516"/>
      <c r="B143" s="689"/>
      <c r="C143" s="539"/>
      <c r="D143" s="539"/>
      <c r="E143" s="539"/>
      <c r="F143" s="539"/>
      <c r="G143" s="539"/>
      <c r="H143" s="539"/>
      <c r="I143" s="539"/>
      <c r="J143" s="786"/>
      <c r="K143" s="516"/>
      <c r="L143" s="516"/>
      <c r="M143" s="516"/>
      <c r="N143" s="516"/>
      <c r="O143" s="516"/>
      <c r="P143" s="516"/>
      <c r="Q143" s="516"/>
      <c r="R143" s="516"/>
      <c r="S143" s="516"/>
      <c r="T143" s="516"/>
      <c r="U143" s="516"/>
      <c r="V143" s="516"/>
      <c r="W143" s="516"/>
      <c r="X143" s="516"/>
      <c r="Y143" s="516"/>
      <c r="Z143" s="516"/>
      <c r="AA143" s="516"/>
      <c r="AB143" s="516"/>
      <c r="AC143" s="516"/>
      <c r="AD143" s="516"/>
      <c r="AE143" s="516"/>
      <c r="AF143" s="516"/>
      <c r="AG143" s="516"/>
      <c r="AH143" s="516"/>
      <c r="AI143" s="516"/>
      <c r="AJ143" s="516"/>
      <c r="AK143" s="516"/>
      <c r="AL143" s="516"/>
      <c r="AM143" s="516"/>
      <c r="AN143" s="516"/>
      <c r="AO143" s="516"/>
    </row>
    <row r="144" spans="1:41" x14ac:dyDescent="0.25">
      <c r="A144" s="516"/>
      <c r="B144" s="689"/>
      <c r="C144" s="539"/>
      <c r="D144" s="539"/>
      <c r="E144" s="539"/>
      <c r="F144" s="539"/>
      <c r="G144" s="539"/>
      <c r="H144" s="539"/>
      <c r="I144" s="539"/>
      <c r="J144" s="786"/>
      <c r="K144" s="516"/>
      <c r="L144" s="516"/>
      <c r="M144" s="516"/>
      <c r="N144" s="516"/>
      <c r="O144" s="516"/>
      <c r="P144" s="516"/>
      <c r="Q144" s="516"/>
      <c r="R144" s="516"/>
      <c r="S144" s="516"/>
      <c r="T144" s="516"/>
      <c r="U144" s="516"/>
      <c r="V144" s="516"/>
      <c r="W144" s="516"/>
      <c r="X144" s="516"/>
      <c r="Y144" s="516"/>
      <c r="Z144" s="516"/>
      <c r="AA144" s="516"/>
      <c r="AB144" s="516"/>
      <c r="AC144" s="516"/>
      <c r="AD144" s="516"/>
      <c r="AE144" s="516"/>
      <c r="AF144" s="516"/>
      <c r="AG144" s="516"/>
      <c r="AH144" s="516"/>
      <c r="AI144" s="516"/>
      <c r="AJ144" s="516"/>
      <c r="AK144" s="516"/>
      <c r="AL144" s="516"/>
      <c r="AM144" s="516"/>
      <c r="AN144" s="516"/>
      <c r="AO144" s="516"/>
    </row>
    <row r="145" spans="1:41" x14ac:dyDescent="0.25">
      <c r="A145" s="516"/>
      <c r="B145" s="689"/>
      <c r="C145" s="539"/>
      <c r="D145" s="539"/>
      <c r="E145" s="539"/>
      <c r="F145" s="539"/>
      <c r="G145" s="539"/>
      <c r="H145" s="539"/>
      <c r="I145" s="539"/>
      <c r="J145" s="786"/>
      <c r="K145" s="516"/>
      <c r="L145" s="516"/>
      <c r="M145" s="516"/>
      <c r="N145" s="516"/>
      <c r="O145" s="516"/>
      <c r="P145" s="516"/>
      <c r="Q145" s="516"/>
      <c r="R145" s="516"/>
      <c r="S145" s="516"/>
      <c r="T145" s="516"/>
      <c r="U145" s="516"/>
      <c r="V145" s="516"/>
      <c r="W145" s="516"/>
      <c r="X145" s="516"/>
      <c r="Y145" s="516"/>
      <c r="Z145" s="516"/>
      <c r="AA145" s="516"/>
      <c r="AB145" s="516"/>
      <c r="AC145" s="516"/>
      <c r="AD145" s="516"/>
      <c r="AE145" s="516"/>
      <c r="AF145" s="516"/>
      <c r="AG145" s="516"/>
      <c r="AH145" s="516"/>
      <c r="AI145" s="516"/>
      <c r="AJ145" s="516"/>
      <c r="AK145" s="516"/>
      <c r="AL145" s="516"/>
      <c r="AM145" s="516"/>
      <c r="AN145" s="516"/>
      <c r="AO145" s="516"/>
    </row>
    <row r="146" spans="1:41" x14ac:dyDescent="0.25">
      <c r="A146" s="516"/>
      <c r="B146" s="689"/>
      <c r="C146" s="539"/>
      <c r="D146" s="539"/>
      <c r="E146" s="539"/>
      <c r="F146" s="539"/>
      <c r="G146" s="539"/>
      <c r="H146" s="539"/>
      <c r="I146" s="539"/>
      <c r="J146" s="786"/>
      <c r="K146" s="516"/>
      <c r="L146" s="516"/>
      <c r="M146" s="516"/>
      <c r="N146" s="516"/>
      <c r="O146" s="516"/>
      <c r="P146" s="516"/>
      <c r="Q146" s="516"/>
      <c r="R146" s="516"/>
      <c r="S146" s="516"/>
      <c r="T146" s="516"/>
      <c r="U146" s="516"/>
      <c r="V146" s="516"/>
      <c r="W146" s="516"/>
      <c r="X146" s="516"/>
      <c r="Y146" s="516"/>
      <c r="Z146" s="516"/>
      <c r="AA146" s="516"/>
      <c r="AB146" s="516"/>
      <c r="AC146" s="516"/>
      <c r="AD146" s="516"/>
      <c r="AE146" s="516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</row>
    <row r="147" spans="1:41" x14ac:dyDescent="0.25">
      <c r="A147" s="516"/>
      <c r="B147" s="689"/>
      <c r="C147" s="539"/>
      <c r="D147" s="539"/>
      <c r="E147" s="539"/>
      <c r="F147" s="539"/>
      <c r="G147" s="539"/>
      <c r="H147" s="539"/>
      <c r="I147" s="539"/>
      <c r="J147" s="786"/>
      <c r="K147" s="516"/>
      <c r="L147" s="516"/>
      <c r="M147" s="516"/>
      <c r="N147" s="516"/>
      <c r="O147" s="516"/>
      <c r="P147" s="516"/>
      <c r="Q147" s="516"/>
      <c r="R147" s="516"/>
      <c r="S147" s="516"/>
      <c r="T147" s="516"/>
      <c r="U147" s="516"/>
      <c r="V147" s="516"/>
      <c r="W147" s="516"/>
      <c r="X147" s="516"/>
      <c r="Y147" s="516"/>
      <c r="Z147" s="516"/>
      <c r="AA147" s="516"/>
      <c r="AB147" s="516"/>
      <c r="AC147" s="516"/>
      <c r="AD147" s="516"/>
      <c r="AE147" s="516"/>
      <c r="AF147" s="516"/>
      <c r="AG147" s="516"/>
      <c r="AH147" s="516"/>
      <c r="AI147" s="516"/>
      <c r="AJ147" s="516"/>
      <c r="AK147" s="516"/>
      <c r="AL147" s="516"/>
      <c r="AM147" s="516"/>
      <c r="AN147" s="516"/>
      <c r="AO147" s="516"/>
    </row>
    <row r="148" spans="1:41" x14ac:dyDescent="0.25">
      <c r="A148" s="516"/>
      <c r="B148" s="689"/>
      <c r="C148" s="539"/>
      <c r="D148" s="539"/>
      <c r="E148" s="539"/>
      <c r="F148" s="539"/>
      <c r="G148" s="539"/>
      <c r="H148" s="539"/>
      <c r="I148" s="539"/>
      <c r="J148" s="786"/>
      <c r="K148" s="516"/>
      <c r="L148" s="516"/>
      <c r="M148" s="516"/>
      <c r="N148" s="516"/>
      <c r="O148" s="516"/>
      <c r="P148" s="516"/>
      <c r="Q148" s="516"/>
      <c r="R148" s="516"/>
      <c r="S148" s="516"/>
      <c r="T148" s="516"/>
      <c r="U148" s="516"/>
      <c r="V148" s="516"/>
      <c r="W148" s="516"/>
      <c r="X148" s="516"/>
      <c r="Y148" s="516"/>
      <c r="Z148" s="516"/>
      <c r="AA148" s="516"/>
      <c r="AB148" s="516"/>
      <c r="AC148" s="516"/>
      <c r="AD148" s="516"/>
      <c r="AE148" s="516"/>
      <c r="AF148" s="516"/>
      <c r="AG148" s="516"/>
      <c r="AH148" s="516"/>
      <c r="AI148" s="516"/>
      <c r="AJ148" s="516"/>
      <c r="AK148" s="516"/>
      <c r="AL148" s="516"/>
      <c r="AM148" s="516"/>
      <c r="AN148" s="516"/>
      <c r="AO148" s="516"/>
    </row>
    <row r="149" spans="1:41" x14ac:dyDescent="0.25">
      <c r="A149" s="516"/>
      <c r="B149" s="689"/>
      <c r="C149" s="539"/>
      <c r="D149" s="539"/>
      <c r="E149" s="539"/>
      <c r="F149" s="539"/>
      <c r="G149" s="539"/>
      <c r="H149" s="539"/>
      <c r="I149" s="539"/>
      <c r="J149" s="786"/>
      <c r="K149" s="424"/>
      <c r="L149" s="516"/>
      <c r="M149" s="516"/>
      <c r="N149" s="516"/>
      <c r="O149" s="516"/>
      <c r="P149" s="516"/>
      <c r="Q149" s="516"/>
      <c r="R149" s="516"/>
      <c r="S149" s="516"/>
      <c r="T149" s="516"/>
      <c r="U149" s="516"/>
      <c r="V149" s="516"/>
      <c r="W149" s="516"/>
      <c r="X149" s="516"/>
      <c r="Y149" s="516"/>
      <c r="Z149" s="516"/>
      <c r="AA149" s="516"/>
      <c r="AB149" s="516"/>
      <c r="AC149" s="516"/>
      <c r="AD149" s="516"/>
      <c r="AE149" s="516"/>
      <c r="AF149" s="516"/>
      <c r="AG149" s="516"/>
      <c r="AH149" s="516"/>
      <c r="AI149" s="516"/>
      <c r="AJ149" s="516"/>
      <c r="AK149" s="516"/>
      <c r="AL149" s="516"/>
      <c r="AM149" s="516"/>
      <c r="AN149" s="516"/>
      <c r="AO149" s="516"/>
    </row>
    <row r="150" spans="1:41" x14ac:dyDescent="0.25">
      <c r="A150" s="424"/>
      <c r="B150" s="390"/>
      <c r="C150" s="516"/>
      <c r="D150" s="516"/>
      <c r="E150" s="516"/>
      <c r="F150" s="516"/>
      <c r="G150" s="516"/>
      <c r="H150" s="516"/>
      <c r="I150" s="516"/>
      <c r="J150" s="425"/>
      <c r="K150" s="424"/>
      <c r="L150" s="516"/>
      <c r="M150" s="516"/>
      <c r="N150" s="516"/>
      <c r="O150" s="516"/>
      <c r="P150" s="516"/>
      <c r="Q150" s="516"/>
      <c r="R150" s="516"/>
      <c r="S150" s="516"/>
      <c r="T150" s="516"/>
      <c r="U150" s="516"/>
      <c r="V150" s="516"/>
      <c r="W150" s="516"/>
      <c r="X150" s="516"/>
      <c r="Y150" s="516"/>
      <c r="Z150" s="516"/>
      <c r="AA150" s="516"/>
      <c r="AB150" s="516"/>
      <c r="AC150" s="516"/>
      <c r="AD150" s="516"/>
      <c r="AE150" s="516"/>
      <c r="AF150" s="516"/>
      <c r="AG150" s="516"/>
      <c r="AH150" s="516"/>
      <c r="AI150" s="516"/>
      <c r="AJ150" s="516"/>
      <c r="AK150" s="516"/>
      <c r="AL150" s="516"/>
      <c r="AM150" s="516"/>
      <c r="AN150" s="516"/>
      <c r="AO150" s="516"/>
    </row>
    <row r="151" spans="1:41" x14ac:dyDescent="0.25">
      <c r="A151" s="424"/>
      <c r="B151" s="390"/>
      <c r="C151" s="516"/>
      <c r="D151" s="516"/>
      <c r="E151" s="516"/>
      <c r="F151" s="516"/>
      <c r="G151" s="516"/>
      <c r="H151" s="516"/>
      <c r="I151" s="516"/>
      <c r="J151" s="425"/>
      <c r="K151" s="424"/>
      <c r="L151" s="516"/>
      <c r="M151" s="516"/>
      <c r="N151" s="516"/>
      <c r="O151" s="516"/>
      <c r="P151" s="516"/>
      <c r="Q151" s="516"/>
      <c r="R151" s="516"/>
      <c r="S151" s="516"/>
      <c r="T151" s="516"/>
      <c r="U151" s="516"/>
      <c r="V151" s="516"/>
      <c r="W151" s="516"/>
      <c r="X151" s="516"/>
      <c r="Y151" s="516"/>
      <c r="Z151" s="516"/>
      <c r="AA151" s="516"/>
      <c r="AB151" s="516"/>
      <c r="AC151" s="516"/>
      <c r="AD151" s="516"/>
      <c r="AE151" s="516"/>
      <c r="AF151" s="516"/>
      <c r="AG151" s="516"/>
      <c r="AH151" s="516"/>
      <c r="AI151" s="516"/>
      <c r="AJ151" s="516"/>
      <c r="AK151" s="516"/>
      <c r="AL151" s="516"/>
      <c r="AM151" s="516"/>
      <c r="AN151" s="516"/>
      <c r="AO151" s="516"/>
    </row>
    <row r="152" spans="1:41" x14ac:dyDescent="0.25">
      <c r="A152" s="424"/>
      <c r="B152" s="390"/>
      <c r="C152" s="516"/>
      <c r="D152" s="516"/>
      <c r="E152" s="516"/>
      <c r="F152" s="516"/>
      <c r="G152" s="516"/>
      <c r="H152" s="516"/>
      <c r="I152" s="516"/>
      <c r="J152" s="425"/>
      <c r="K152" s="424"/>
      <c r="L152" s="516"/>
      <c r="M152" s="516"/>
      <c r="N152" s="516"/>
      <c r="O152" s="516"/>
      <c r="P152" s="516"/>
      <c r="Q152" s="516"/>
      <c r="R152" s="516"/>
      <c r="S152" s="516"/>
      <c r="T152" s="516"/>
      <c r="U152" s="516"/>
      <c r="V152" s="516"/>
      <c r="W152" s="516"/>
      <c r="X152" s="516"/>
      <c r="Y152" s="516"/>
      <c r="Z152" s="516"/>
      <c r="AA152" s="516"/>
      <c r="AB152" s="516"/>
      <c r="AC152" s="516"/>
      <c r="AD152" s="516"/>
      <c r="AE152" s="516"/>
      <c r="AF152" s="516"/>
      <c r="AG152" s="516"/>
      <c r="AH152" s="516"/>
      <c r="AI152" s="516"/>
      <c r="AJ152" s="516"/>
      <c r="AK152" s="516"/>
      <c r="AL152" s="516"/>
      <c r="AM152" s="516"/>
      <c r="AN152" s="516"/>
      <c r="AO152" s="516"/>
    </row>
    <row r="153" spans="1:41" x14ac:dyDescent="0.25">
      <c r="A153" s="424"/>
      <c r="B153" s="390"/>
      <c r="C153" s="516"/>
      <c r="D153" s="516"/>
      <c r="E153" s="516"/>
      <c r="F153" s="516"/>
      <c r="G153" s="516"/>
      <c r="H153" s="516"/>
      <c r="I153" s="516"/>
      <c r="J153" s="425"/>
      <c r="K153" s="424"/>
      <c r="L153" s="516"/>
      <c r="M153" s="516"/>
      <c r="N153" s="516"/>
      <c r="O153" s="516"/>
      <c r="P153" s="516"/>
      <c r="Q153" s="516"/>
      <c r="R153" s="516"/>
      <c r="S153" s="516"/>
      <c r="T153" s="516"/>
      <c r="U153" s="516"/>
      <c r="V153" s="516"/>
      <c r="W153" s="516"/>
      <c r="X153" s="516"/>
      <c r="Y153" s="516"/>
      <c r="Z153" s="516"/>
      <c r="AA153" s="516"/>
      <c r="AB153" s="516"/>
      <c r="AC153" s="516"/>
      <c r="AD153" s="516"/>
      <c r="AE153" s="516"/>
      <c r="AF153" s="516"/>
      <c r="AG153" s="516"/>
      <c r="AH153" s="516"/>
      <c r="AI153" s="516"/>
      <c r="AJ153" s="516"/>
      <c r="AK153" s="516"/>
      <c r="AL153" s="516"/>
      <c r="AM153" s="516"/>
      <c r="AN153" s="516"/>
      <c r="AO153" s="516"/>
    </row>
    <row r="154" spans="1:41" x14ac:dyDescent="0.25">
      <c r="A154" s="516"/>
      <c r="B154" s="689" t="s">
        <v>86</v>
      </c>
      <c r="C154" s="539"/>
      <c r="D154" s="539"/>
      <c r="E154" s="539"/>
      <c r="F154" s="539"/>
      <c r="G154" s="539"/>
      <c r="H154" s="539"/>
      <c r="I154" s="539"/>
      <c r="J154" s="786"/>
      <c r="K154" s="424"/>
      <c r="L154" s="516"/>
      <c r="M154" s="516"/>
      <c r="N154" s="516"/>
      <c r="O154" s="516"/>
      <c r="P154" s="516"/>
      <c r="Q154" s="516"/>
      <c r="R154" s="516"/>
      <c r="S154" s="516"/>
      <c r="T154" s="516"/>
      <c r="U154" s="516"/>
      <c r="V154" s="516"/>
      <c r="W154" s="516"/>
      <c r="X154" s="516"/>
      <c r="Y154" s="516"/>
      <c r="Z154" s="516"/>
      <c r="AA154" s="516"/>
      <c r="AB154" s="516"/>
      <c r="AC154" s="516"/>
      <c r="AD154" s="516"/>
      <c r="AE154" s="516"/>
      <c r="AF154" s="516"/>
      <c r="AG154" s="516"/>
      <c r="AH154" s="516"/>
      <c r="AI154" s="516"/>
      <c r="AJ154" s="516"/>
      <c r="AK154" s="516"/>
      <c r="AL154" s="516"/>
      <c r="AM154" s="516"/>
      <c r="AN154" s="516"/>
      <c r="AO154" s="516"/>
    </row>
    <row r="155" spans="1:41" x14ac:dyDescent="0.25">
      <c r="A155" s="516"/>
      <c r="B155" s="689" t="s">
        <v>523</v>
      </c>
      <c r="C155" s="539"/>
      <c r="D155" s="539"/>
      <c r="E155" s="539"/>
      <c r="F155" s="539"/>
      <c r="G155" s="539"/>
      <c r="H155" s="539"/>
      <c r="I155" s="539"/>
      <c r="J155" s="786"/>
      <c r="K155" s="516"/>
      <c r="L155" s="516"/>
      <c r="M155" s="516"/>
      <c r="N155" s="516"/>
      <c r="O155" s="516"/>
      <c r="P155" s="516"/>
      <c r="Q155" s="516"/>
      <c r="R155" s="516"/>
      <c r="S155" s="516"/>
      <c r="T155" s="516"/>
      <c r="U155" s="516"/>
      <c r="V155" s="516"/>
      <c r="W155" s="516"/>
      <c r="X155" s="516"/>
      <c r="Y155" s="516"/>
      <c r="Z155" s="516"/>
      <c r="AA155" s="516"/>
      <c r="AB155" s="516"/>
      <c r="AC155" s="516"/>
      <c r="AD155" s="516"/>
      <c r="AE155" s="516"/>
      <c r="AF155" s="516"/>
      <c r="AG155" s="516"/>
      <c r="AH155" s="516"/>
      <c r="AI155" s="516"/>
      <c r="AJ155" s="516"/>
      <c r="AK155" s="516"/>
      <c r="AL155" s="516"/>
      <c r="AM155" s="516"/>
      <c r="AN155" s="516"/>
      <c r="AO155" s="516"/>
    </row>
    <row r="156" spans="1:41" x14ac:dyDescent="0.25">
      <c r="A156" s="516"/>
      <c r="B156" s="689" t="s">
        <v>87</v>
      </c>
      <c r="C156" s="539"/>
      <c r="D156" s="539"/>
      <c r="E156" s="539"/>
      <c r="F156" s="539"/>
      <c r="G156" s="539"/>
      <c r="H156" s="539"/>
      <c r="I156" s="539"/>
      <c r="J156" s="786"/>
      <c r="K156" s="516"/>
      <c r="L156" s="516"/>
      <c r="M156" s="516"/>
      <c r="N156" s="516"/>
      <c r="O156" s="516"/>
      <c r="P156" s="516"/>
      <c r="Q156" s="516"/>
      <c r="R156" s="516"/>
      <c r="S156" s="516"/>
      <c r="T156" s="516"/>
      <c r="U156" s="516"/>
      <c r="V156" s="516"/>
      <c r="W156" s="516"/>
      <c r="X156" s="516"/>
      <c r="Y156" s="516"/>
      <c r="Z156" s="516"/>
      <c r="AA156" s="516"/>
      <c r="AB156" s="516"/>
      <c r="AC156" s="516"/>
      <c r="AD156" s="516"/>
      <c r="AE156" s="516"/>
      <c r="AF156" s="516"/>
      <c r="AG156" s="516"/>
      <c r="AH156" s="516"/>
      <c r="AI156" s="516"/>
      <c r="AJ156" s="516"/>
      <c r="AK156" s="516"/>
      <c r="AL156" s="516"/>
      <c r="AM156" s="516"/>
      <c r="AN156" s="516"/>
      <c r="AO156" s="516"/>
    </row>
    <row r="157" spans="1:41" x14ac:dyDescent="0.25">
      <c r="A157" s="516"/>
      <c r="B157" s="689" t="s">
        <v>88</v>
      </c>
      <c r="C157" s="354"/>
      <c r="D157" s="539"/>
      <c r="E157" s="539"/>
      <c r="F157" s="539"/>
      <c r="G157" s="539"/>
      <c r="H157" s="539"/>
      <c r="I157" s="539"/>
      <c r="J157" s="786"/>
      <c r="K157" s="516"/>
      <c r="L157" s="516"/>
      <c r="M157" s="516"/>
      <c r="N157" s="516"/>
      <c r="O157" s="516"/>
      <c r="P157" s="516"/>
      <c r="Q157" s="516"/>
      <c r="R157" s="516"/>
      <c r="S157" s="516"/>
      <c r="T157" s="516"/>
      <c r="U157" s="516"/>
      <c r="V157" s="516"/>
      <c r="W157" s="516"/>
      <c r="X157" s="516"/>
      <c r="Y157" s="516"/>
      <c r="Z157" s="516"/>
      <c r="AA157" s="516"/>
      <c r="AB157" s="516"/>
      <c r="AC157" s="516"/>
      <c r="AD157" s="516"/>
      <c r="AE157" s="516"/>
      <c r="AF157" s="516"/>
      <c r="AG157" s="516"/>
      <c r="AH157" s="516"/>
      <c r="AI157" s="516"/>
      <c r="AJ157" s="516"/>
      <c r="AK157" s="516"/>
      <c r="AL157" s="516"/>
      <c r="AM157" s="516"/>
      <c r="AN157" s="516"/>
      <c r="AO157" s="516"/>
    </row>
    <row r="158" spans="1:41" x14ac:dyDescent="0.25">
      <c r="A158" s="516"/>
      <c r="B158" s="685" t="s">
        <v>89</v>
      </c>
      <c r="C158" s="777"/>
      <c r="D158" s="777"/>
      <c r="E158" s="777"/>
      <c r="F158" s="777"/>
      <c r="G158" s="777"/>
      <c r="H158" s="777"/>
      <c r="I158" s="777"/>
      <c r="J158" s="844"/>
      <c r="K158" s="516"/>
      <c r="L158" s="516"/>
      <c r="M158" s="516"/>
      <c r="N158" s="516"/>
      <c r="O158" s="516"/>
      <c r="P158" s="516"/>
      <c r="Q158" s="516"/>
      <c r="R158" s="516"/>
      <c r="S158" s="516"/>
      <c r="T158" s="516"/>
      <c r="U158" s="516"/>
      <c r="V158" s="516"/>
      <c r="W158" s="516"/>
      <c r="X158" s="516"/>
      <c r="Y158" s="516"/>
      <c r="Z158" s="516"/>
      <c r="AA158" s="516"/>
      <c r="AB158" s="516"/>
      <c r="AC158" s="516"/>
      <c r="AD158" s="516"/>
      <c r="AE158" s="516"/>
      <c r="AF158" s="516"/>
      <c r="AG158" s="516"/>
      <c r="AH158" s="516"/>
      <c r="AI158" s="516"/>
      <c r="AJ158" s="516"/>
      <c r="AK158" s="516"/>
      <c r="AL158" s="516"/>
      <c r="AM158" s="516"/>
      <c r="AN158" s="516"/>
      <c r="AO158" s="516"/>
    </row>
    <row r="159" spans="1:41" x14ac:dyDescent="0.25">
      <c r="A159" s="516"/>
      <c r="B159" s="516"/>
      <c r="C159" s="516"/>
      <c r="D159" s="516"/>
      <c r="E159" s="516"/>
      <c r="F159" s="516"/>
      <c r="G159" s="516"/>
      <c r="H159" s="516"/>
      <c r="I159" s="516"/>
      <c r="J159" s="516"/>
      <c r="K159" s="516"/>
      <c r="L159" s="516"/>
      <c r="M159" s="516"/>
      <c r="N159" s="516"/>
      <c r="O159" s="516"/>
      <c r="P159" s="516"/>
      <c r="Q159" s="516"/>
      <c r="R159" s="516"/>
      <c r="S159" s="516"/>
      <c r="T159" s="516"/>
      <c r="U159" s="516"/>
      <c r="V159" s="516"/>
      <c r="W159" s="516"/>
      <c r="X159" s="516"/>
      <c r="Y159" s="516"/>
      <c r="Z159" s="516"/>
      <c r="AA159" s="516"/>
      <c r="AB159" s="516"/>
      <c r="AC159" s="516"/>
      <c r="AD159" s="516"/>
      <c r="AE159" s="516"/>
      <c r="AF159" s="516"/>
      <c r="AG159" s="516"/>
      <c r="AH159" s="516"/>
      <c r="AI159" s="516"/>
      <c r="AJ159" s="516"/>
      <c r="AK159" s="516"/>
      <c r="AL159" s="516"/>
      <c r="AM159" s="516"/>
      <c r="AN159" s="516"/>
      <c r="AO159" s="516"/>
    </row>
    <row r="160" spans="1:41" x14ac:dyDescent="0.25">
      <c r="A160" s="516"/>
      <c r="B160" s="516"/>
      <c r="C160" s="516"/>
      <c r="D160" s="516"/>
      <c r="E160" s="516"/>
      <c r="F160" s="516"/>
      <c r="G160" s="516"/>
      <c r="H160" s="516"/>
      <c r="I160" s="516"/>
      <c r="J160" s="516"/>
      <c r="K160" s="516"/>
      <c r="L160" s="516"/>
      <c r="M160" s="516"/>
      <c r="N160" s="516"/>
      <c r="O160" s="516"/>
      <c r="P160" s="516"/>
      <c r="Q160" s="516"/>
      <c r="R160" s="516"/>
      <c r="S160" s="516"/>
      <c r="T160" s="516"/>
      <c r="U160" s="516"/>
      <c r="V160" s="516"/>
      <c r="W160" s="516"/>
      <c r="X160" s="516"/>
      <c r="Y160" s="516"/>
      <c r="Z160" s="516"/>
      <c r="AA160" s="516"/>
      <c r="AB160" s="516"/>
      <c r="AC160" s="516"/>
      <c r="AD160" s="516"/>
      <c r="AE160" s="516"/>
      <c r="AF160" s="516"/>
      <c r="AG160" s="516"/>
      <c r="AH160" s="516"/>
      <c r="AI160" s="516"/>
      <c r="AJ160" s="516"/>
      <c r="AK160" s="516"/>
      <c r="AL160" s="516"/>
      <c r="AM160" s="516"/>
      <c r="AN160" s="516"/>
      <c r="AO160" s="516"/>
    </row>
  </sheetData>
  <mergeCells count="11">
    <mergeCell ref="AA91:AN91"/>
    <mergeCell ref="AA92:AN92"/>
    <mergeCell ref="AA90:AN90"/>
    <mergeCell ref="B5:J5"/>
    <mergeCell ref="L5:T5"/>
    <mergeCell ref="B31:T31"/>
    <mergeCell ref="V5:AD5"/>
    <mergeCell ref="B78:J78"/>
    <mergeCell ref="L57:Y57"/>
    <mergeCell ref="B57:J57"/>
    <mergeCell ref="AA57:AN5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0209D-33CB-44EF-B20D-AF74F4E492A6}">
  <sheetPr>
    <tabColor rgb="FFFFFF00"/>
  </sheetPr>
  <dimension ref="A1:Z100"/>
  <sheetViews>
    <sheetView workbookViewId="0">
      <selection activeCell="O20" sqref="O20"/>
    </sheetView>
  </sheetViews>
  <sheetFormatPr defaultRowHeight="15" x14ac:dyDescent="0.25"/>
  <cols>
    <col min="1" max="1" width="4" customWidth="1"/>
    <col min="2" max="2" width="34.28515625" customWidth="1"/>
    <col min="3" max="3" width="16.7109375" bestFit="1" customWidth="1"/>
    <col min="4" max="4" width="9.42578125" bestFit="1" customWidth="1"/>
    <col min="5" max="5" width="18.85546875" customWidth="1"/>
    <col min="6" max="6" width="19.140625" customWidth="1"/>
    <col min="7" max="7" width="12.7109375" customWidth="1"/>
    <col min="8" max="8" width="4" hidden="1" customWidth="1"/>
    <col min="9" max="9" width="2.5703125" hidden="1" customWidth="1"/>
    <col min="10" max="10" width="2.28515625" hidden="1" customWidth="1"/>
    <col min="11" max="11" width="2" hidden="1" customWidth="1"/>
    <col min="12" max="12" width="25.7109375" customWidth="1"/>
    <col min="13" max="13" width="9.7109375" customWidth="1"/>
    <col min="14" max="14" width="11.7109375" customWidth="1"/>
    <col min="15" max="15" width="17.7109375" customWidth="1"/>
    <col min="16" max="16" width="15.5703125" customWidth="1"/>
    <col min="17" max="17" width="15.7109375" customWidth="1"/>
    <col min="18" max="18" width="14.140625" customWidth="1"/>
  </cols>
  <sheetData>
    <row r="1" spans="1:26" x14ac:dyDescent="0.25">
      <c r="A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16"/>
      <c r="S1" s="538"/>
      <c r="T1" s="538"/>
      <c r="U1" s="538"/>
      <c r="V1" s="538"/>
      <c r="W1" s="538"/>
      <c r="X1" s="538"/>
      <c r="Y1" s="538"/>
      <c r="Z1" s="538"/>
    </row>
    <row r="2" spans="1:26" x14ac:dyDescent="0.25">
      <c r="A2" s="539"/>
      <c r="B2" s="540" t="s">
        <v>0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16"/>
      <c r="S2" s="538"/>
      <c r="T2" s="538"/>
      <c r="U2" s="538"/>
      <c r="V2" s="538"/>
      <c r="W2" s="538"/>
      <c r="X2" s="538"/>
      <c r="Y2" s="538"/>
      <c r="Z2" s="538"/>
    </row>
    <row r="3" spans="1:26" x14ac:dyDescent="0.25">
      <c r="A3" s="539"/>
      <c r="B3" s="354"/>
      <c r="C3" s="354"/>
      <c r="D3" s="354"/>
      <c r="E3" s="354"/>
      <c r="F3" s="354"/>
      <c r="G3" s="539"/>
      <c r="H3" s="539"/>
      <c r="I3" s="539"/>
      <c r="J3" s="539"/>
      <c r="K3" s="539"/>
      <c r="L3" s="354"/>
      <c r="M3" s="354"/>
      <c r="N3" s="354"/>
      <c r="O3" s="354"/>
      <c r="P3" s="354"/>
      <c r="Q3" s="354"/>
      <c r="R3" s="516"/>
      <c r="S3" s="538"/>
      <c r="T3" s="538"/>
      <c r="U3" s="538"/>
      <c r="V3" s="538"/>
      <c r="W3" s="538"/>
      <c r="X3" s="538"/>
      <c r="Y3" s="538"/>
      <c r="Z3" s="538"/>
    </row>
    <row r="4" spans="1:26" x14ac:dyDescent="0.25">
      <c r="A4" s="354"/>
      <c r="B4" s="541" t="s">
        <v>90</v>
      </c>
      <c r="C4" s="542"/>
      <c r="D4" s="542"/>
      <c r="E4" s="542"/>
      <c r="F4" s="543" t="s">
        <v>91</v>
      </c>
      <c r="G4" s="544"/>
      <c r="H4" s="2"/>
      <c r="I4" s="2"/>
      <c r="J4" s="2"/>
      <c r="K4" s="215"/>
      <c r="L4" s="541" t="s">
        <v>92</v>
      </c>
      <c r="M4" s="542"/>
      <c r="N4" s="542"/>
      <c r="O4" s="542"/>
      <c r="P4" s="1051" t="s">
        <v>91</v>
      </c>
      <c r="Q4" s="1052"/>
      <c r="R4" s="531"/>
      <c r="S4" s="538"/>
      <c r="T4" s="538"/>
      <c r="U4" s="538"/>
      <c r="V4" s="538"/>
      <c r="W4" s="538"/>
      <c r="X4" s="538"/>
      <c r="Y4" s="538"/>
      <c r="Z4" s="538"/>
    </row>
    <row r="5" spans="1:26" x14ac:dyDescent="0.25">
      <c r="A5" s="354"/>
      <c r="B5" s="547"/>
      <c r="C5" s="548"/>
      <c r="D5" s="548"/>
      <c r="E5" s="549" t="s">
        <v>93</v>
      </c>
      <c r="F5" s="550" t="s">
        <v>94</v>
      </c>
      <c r="G5" s="544"/>
      <c r="H5" s="2"/>
      <c r="I5" s="2"/>
      <c r="J5" s="2"/>
      <c r="K5" s="215"/>
      <c r="L5" s="551"/>
      <c r="M5" s="552"/>
      <c r="N5" s="552"/>
      <c r="O5" s="552" t="s">
        <v>95</v>
      </c>
      <c r="P5" s="553" t="s">
        <v>93</v>
      </c>
      <c r="Q5" s="554" t="s">
        <v>94</v>
      </c>
      <c r="R5" s="531"/>
      <c r="S5" s="538"/>
      <c r="T5" s="538"/>
      <c r="U5" s="538"/>
      <c r="V5" s="538"/>
      <c r="W5" s="538"/>
      <c r="X5" s="538"/>
      <c r="Y5" s="538"/>
      <c r="Z5" s="538"/>
    </row>
    <row r="6" spans="1:26" x14ac:dyDescent="0.25">
      <c r="A6" s="354"/>
      <c r="B6" s="555" t="s">
        <v>96</v>
      </c>
      <c r="C6" s="556"/>
      <c r="D6" s="556"/>
      <c r="E6" s="557" t="str">
        <f>Assumptions!H86</f>
        <v>1/1/24 to 12/31/25</v>
      </c>
      <c r="F6" s="558" t="str">
        <f>Assumptions!I86</f>
        <v>1/1/24 to 12/31/27</v>
      </c>
      <c r="G6" s="354"/>
      <c r="H6" s="2"/>
      <c r="I6" s="2"/>
      <c r="J6" s="2"/>
      <c r="K6" s="215"/>
      <c r="L6" s="559" t="s">
        <v>97</v>
      </c>
      <c r="M6" s="560"/>
      <c r="N6" s="560"/>
      <c r="O6" s="560"/>
      <c r="P6" s="560"/>
      <c r="Q6" s="561"/>
      <c r="R6" s="424"/>
      <c r="S6" s="538"/>
      <c r="T6" s="538"/>
      <c r="U6" s="538"/>
      <c r="V6" s="538"/>
      <c r="W6" s="538"/>
      <c r="X6" s="538"/>
      <c r="Y6" s="538"/>
      <c r="Z6" s="538"/>
    </row>
    <row r="7" spans="1:26" x14ac:dyDescent="0.25">
      <c r="A7" s="354"/>
      <c r="B7" s="562" t="s">
        <v>98</v>
      </c>
      <c r="C7" s="563"/>
      <c r="D7" s="563"/>
      <c r="E7" s="564" t="str">
        <f>Assumptions!H87</f>
        <v>1/1/26 to 6/30/26</v>
      </c>
      <c r="F7" s="565" t="str">
        <f>Assumptions!I87</f>
        <v>1/1/28 to 6/30/28</v>
      </c>
      <c r="G7" s="354"/>
      <c r="H7" s="2"/>
      <c r="I7" s="2"/>
      <c r="J7" s="2"/>
      <c r="K7" s="215"/>
      <c r="L7" s="1060" t="s">
        <v>99</v>
      </c>
      <c r="M7" s="1061"/>
      <c r="N7" s="1062"/>
      <c r="O7" s="566">
        <f>SUM(P7:R7)</f>
        <v>492463938.81080234</v>
      </c>
      <c r="P7" s="566">
        <f>'Phase I Financial'!C77</f>
        <v>314699711.75322872</v>
      </c>
      <c r="Q7" s="567">
        <f>'Phase II Financial'!C86</f>
        <v>177764227.05757365</v>
      </c>
      <c r="R7" s="532"/>
      <c r="S7" s="538"/>
      <c r="T7" s="538"/>
      <c r="U7" s="538"/>
      <c r="V7" s="538"/>
      <c r="W7" s="538"/>
      <c r="X7" s="538"/>
      <c r="Y7" s="538"/>
      <c r="Z7" s="538"/>
    </row>
    <row r="8" spans="1:26" x14ac:dyDescent="0.25">
      <c r="A8" s="354"/>
      <c r="B8" s="562" t="s">
        <v>100</v>
      </c>
      <c r="C8" s="563"/>
      <c r="D8" s="563"/>
      <c r="E8" s="564" t="str">
        <f>Assumptions!H88</f>
        <v>7/1/26 to 6/30/29</v>
      </c>
      <c r="F8" s="565" t="str">
        <f>Assumptions!I88</f>
        <v>7/1/28 to 6/30/31</v>
      </c>
      <c r="G8" s="354"/>
      <c r="H8" s="2"/>
      <c r="I8" s="2"/>
      <c r="J8" s="2"/>
      <c r="K8" s="215"/>
      <c r="L8" s="1063" t="s">
        <v>101</v>
      </c>
      <c r="M8" s="1064"/>
      <c r="N8" s="1065"/>
      <c r="O8" s="568">
        <f>SUM(P8:R8)</f>
        <v>664126395.85183477</v>
      </c>
      <c r="P8" s="568">
        <f>'Phase I Financial'!D47</f>
        <v>424716435.29407489</v>
      </c>
      <c r="Q8" s="569">
        <f>'Phase II Financial'!D55</f>
        <v>239409960.55775985</v>
      </c>
      <c r="R8" s="533"/>
      <c r="S8" s="538"/>
      <c r="T8" s="538"/>
      <c r="U8" s="538"/>
      <c r="V8" s="538"/>
      <c r="W8" s="538"/>
      <c r="X8" s="538"/>
      <c r="Y8" s="538"/>
      <c r="Z8" s="538"/>
    </row>
    <row r="9" spans="1:26" x14ac:dyDescent="0.25">
      <c r="A9" s="354"/>
      <c r="B9" s="570" t="s">
        <v>102</v>
      </c>
      <c r="C9" s="571"/>
      <c r="D9" s="571"/>
      <c r="E9" s="572" t="str">
        <f>Assumptions!H89</f>
        <v>7/1/29 to 12/31/29</v>
      </c>
      <c r="F9" s="573" t="str">
        <f>Assumptions!I89</f>
        <v>7/1/31 to 12/31/31</v>
      </c>
      <c r="G9" s="354"/>
      <c r="H9" s="2"/>
      <c r="I9" s="2"/>
      <c r="J9" s="2"/>
      <c r="K9" s="215"/>
      <c r="L9" s="1063" t="s">
        <v>103</v>
      </c>
      <c r="M9" s="1064"/>
      <c r="N9" s="1065"/>
      <c r="O9" s="574">
        <f>AVERAGE(P9:Q9)</f>
        <v>6.0668468750463458E-2</v>
      </c>
      <c r="P9" s="574">
        <f>'Phase I Financial'!B78</f>
        <v>6.0731671731622694E-2</v>
      </c>
      <c r="Q9" s="575">
        <f>'Phase II Financial'!B87</f>
        <v>6.060526576930423E-2</v>
      </c>
      <c r="R9" s="534"/>
      <c r="S9" s="538"/>
      <c r="T9" s="538"/>
      <c r="U9" s="538"/>
      <c r="V9" s="538"/>
      <c r="W9" s="538"/>
      <c r="X9" s="538"/>
      <c r="Y9" s="538"/>
      <c r="Z9" s="538"/>
    </row>
    <row r="10" spans="1:26" x14ac:dyDescent="0.25">
      <c r="A10" s="539"/>
      <c r="B10" s="354"/>
      <c r="C10" s="354"/>
      <c r="D10" s="354"/>
      <c r="E10" s="354"/>
      <c r="F10" s="354"/>
      <c r="G10" s="539"/>
      <c r="H10" s="2"/>
      <c r="I10" s="2"/>
      <c r="J10" s="2"/>
      <c r="K10" s="215"/>
      <c r="L10" s="1057" t="s">
        <v>104</v>
      </c>
      <c r="M10" s="1058"/>
      <c r="N10" s="1059"/>
      <c r="O10" s="576">
        <f>AVERAGE(P10:Q10)</f>
        <v>4.4999999999999998E-2</v>
      </c>
      <c r="P10" s="576">
        <f>'Phase I Financial'!B113</f>
        <v>4.4999999999999998E-2</v>
      </c>
      <c r="Q10" s="577">
        <f>'Phase II Financial'!B122</f>
        <v>4.4999999999999998E-2</v>
      </c>
      <c r="R10" s="534"/>
      <c r="S10" s="538"/>
      <c r="T10" s="538"/>
      <c r="U10" s="538"/>
      <c r="V10" s="538"/>
      <c r="W10" s="538"/>
      <c r="X10" s="538"/>
      <c r="Y10" s="538"/>
      <c r="Z10" s="538"/>
    </row>
    <row r="11" spans="1:26" x14ac:dyDescent="0.25">
      <c r="A11" s="539"/>
      <c r="B11" s="354"/>
      <c r="C11" s="354"/>
      <c r="D11" s="354"/>
      <c r="E11" s="354"/>
      <c r="F11" s="354"/>
      <c r="G11" s="539"/>
      <c r="H11" s="2"/>
      <c r="I11" s="2"/>
      <c r="J11" s="2"/>
      <c r="K11" s="215"/>
      <c r="L11" s="559" t="s">
        <v>105</v>
      </c>
      <c r="M11" s="560"/>
      <c r="N11" s="560"/>
      <c r="O11" s="560"/>
      <c r="P11" s="560"/>
      <c r="Q11" s="561"/>
      <c r="R11" s="424"/>
      <c r="S11" s="538"/>
      <c r="T11" s="538"/>
      <c r="U11" s="538"/>
      <c r="V11" s="538"/>
      <c r="W11" s="538"/>
      <c r="X11" s="538"/>
      <c r="Y11" s="538"/>
      <c r="Z11" s="538"/>
    </row>
    <row r="12" spans="1:26" x14ac:dyDescent="0.25">
      <c r="A12" s="354"/>
      <c r="B12" s="541" t="s">
        <v>106</v>
      </c>
      <c r="C12" s="542" t="s">
        <v>107</v>
      </c>
      <c r="D12" s="542"/>
      <c r="E12" s="1051" t="s">
        <v>91</v>
      </c>
      <c r="F12" s="1052"/>
      <c r="G12" s="544"/>
      <c r="H12" s="2"/>
      <c r="I12" s="2"/>
      <c r="J12" s="2"/>
      <c r="K12" s="215"/>
      <c r="L12" s="1060" t="s">
        <v>108</v>
      </c>
      <c r="M12" s="1061"/>
      <c r="N12" s="1062"/>
      <c r="O12" s="578">
        <f>'All Components Draw'!B10</f>
        <v>0.12766980777316128</v>
      </c>
      <c r="P12" s="578">
        <f>'Phase I Financial'!B111</f>
        <v>0.13311013290714868</v>
      </c>
      <c r="Q12" s="579">
        <f>'Phase II Financial'!B120</f>
        <v>0.11707089096451395</v>
      </c>
      <c r="R12" s="535"/>
      <c r="S12" s="538"/>
      <c r="T12" s="538"/>
      <c r="U12" s="538"/>
      <c r="V12" s="538"/>
      <c r="W12" s="538"/>
      <c r="X12" s="538"/>
      <c r="Y12" s="538"/>
      <c r="Z12" s="538"/>
    </row>
    <row r="13" spans="1:26" x14ac:dyDescent="0.25">
      <c r="A13" s="354"/>
      <c r="B13" s="551"/>
      <c r="C13" s="552"/>
      <c r="D13" s="552" t="s">
        <v>95</v>
      </c>
      <c r="E13" s="553" t="s">
        <v>93</v>
      </c>
      <c r="F13" s="554" t="s">
        <v>94</v>
      </c>
      <c r="G13" s="544"/>
      <c r="H13" s="2"/>
      <c r="I13" s="2"/>
      <c r="J13" s="2"/>
      <c r="K13" s="215"/>
      <c r="L13" s="1063" t="s">
        <v>109</v>
      </c>
      <c r="M13" s="1064"/>
      <c r="N13" s="1065"/>
      <c r="O13" s="574">
        <f>'All Components Draw'!B6</f>
        <v>0.21732566280346899</v>
      </c>
      <c r="P13" s="574">
        <f>'Phase I Financial'!B110</f>
        <v>0.20634718503427307</v>
      </c>
      <c r="Q13" s="575">
        <f>'Phase II Financial'!B119</f>
        <v>0.24316862143317586</v>
      </c>
      <c r="R13" s="535"/>
      <c r="S13" s="538"/>
      <c r="T13" s="538"/>
      <c r="U13" s="538"/>
      <c r="V13" s="538"/>
      <c r="W13" s="538"/>
      <c r="X13" s="538"/>
      <c r="Y13" s="538"/>
      <c r="Z13" s="538"/>
    </row>
    <row r="14" spans="1:26" x14ac:dyDescent="0.25">
      <c r="A14" s="354"/>
      <c r="B14" s="559" t="s">
        <v>110</v>
      </c>
      <c r="C14" s="560"/>
      <c r="D14" s="560"/>
      <c r="E14" s="560"/>
      <c r="F14" s="561"/>
      <c r="G14" s="354"/>
      <c r="H14" s="2"/>
      <c r="I14" s="2"/>
      <c r="J14" s="2"/>
      <c r="K14" s="215"/>
      <c r="L14" s="1066" t="s">
        <v>111</v>
      </c>
      <c r="M14" s="1067"/>
      <c r="N14" s="1068"/>
      <c r="O14" s="580">
        <f>('Phase I Financial'!B102+'Phase I Financial'!B92+'Phase II Financial'!B111+'Phase II Financial'!B101)/('Phase II Financial'!B101+'Phase I Financial'!B92)</f>
        <v>2.0101572723772421</v>
      </c>
      <c r="P14" s="581">
        <f>'Phase I Financial'!B109</f>
        <v>1.8667781474141212</v>
      </c>
      <c r="Q14" s="582">
        <f>'Phase II Financial'!B118</f>
        <v>2.3278926757653928</v>
      </c>
      <c r="R14" s="536"/>
      <c r="S14" s="538"/>
      <c r="T14" s="538"/>
      <c r="U14" s="538"/>
      <c r="V14" s="538"/>
      <c r="W14" s="538"/>
      <c r="X14" s="538"/>
      <c r="Y14" s="538"/>
      <c r="Z14" s="538"/>
    </row>
    <row r="15" spans="1:26" x14ac:dyDescent="0.25">
      <c r="A15" s="354"/>
      <c r="B15" s="583" t="s">
        <v>112</v>
      </c>
      <c r="C15" s="584">
        <f>Assumptions!D7</f>
        <v>500</v>
      </c>
      <c r="D15" s="585">
        <f>SUM(E15:G15)</f>
        <v>197.06400000000002</v>
      </c>
      <c r="E15" s="584">
        <f>Assumptions!D6</f>
        <v>148.92000000000002</v>
      </c>
      <c r="F15" s="586">
        <f>Assumptions!E6</f>
        <v>48.144000000000005</v>
      </c>
      <c r="G15" s="587"/>
      <c r="H15" s="539"/>
      <c r="I15" s="539"/>
      <c r="J15" s="539"/>
      <c r="K15" s="539"/>
      <c r="L15" s="354"/>
      <c r="M15" s="354"/>
      <c r="N15" s="354"/>
      <c r="O15" s="354"/>
      <c r="P15" s="354"/>
      <c r="Q15" s="354"/>
      <c r="R15" s="516"/>
      <c r="S15" s="538"/>
      <c r="T15" s="538"/>
      <c r="U15" s="538"/>
      <c r="V15" s="538"/>
      <c r="W15" s="538"/>
      <c r="X15" s="538"/>
      <c r="Y15" s="538"/>
      <c r="Z15" s="538"/>
    </row>
    <row r="16" spans="1:26" x14ac:dyDescent="0.25">
      <c r="A16" s="354"/>
      <c r="B16" s="588" t="s">
        <v>113</v>
      </c>
      <c r="C16" s="589">
        <f>Assumptions!D12</f>
        <v>750</v>
      </c>
      <c r="D16" s="590">
        <f t="shared" ref="D16:D18" si="0">SUM(E16:G16)</f>
        <v>197.06400000000002</v>
      </c>
      <c r="E16" s="589">
        <f>Assumptions!D11</f>
        <v>148.92000000000002</v>
      </c>
      <c r="F16" s="591">
        <f>Assumptions!E11</f>
        <v>48.144000000000005</v>
      </c>
      <c r="G16" s="587"/>
      <c r="H16" s="539"/>
      <c r="I16" s="539"/>
      <c r="J16" s="539"/>
      <c r="K16" s="539"/>
      <c r="L16" s="354"/>
      <c r="M16" s="354"/>
      <c r="N16" s="354"/>
      <c r="O16" s="354"/>
      <c r="P16" s="354"/>
      <c r="Q16" s="354"/>
      <c r="R16" s="516"/>
      <c r="S16" s="538"/>
      <c r="T16" s="538"/>
      <c r="U16" s="538"/>
      <c r="V16" s="538"/>
      <c r="W16" s="538"/>
      <c r="X16" s="538"/>
      <c r="Y16" s="538"/>
      <c r="Z16" s="538"/>
    </row>
    <row r="17" spans="1:26" x14ac:dyDescent="0.25">
      <c r="A17" s="354"/>
      <c r="B17" s="588" t="s">
        <v>114</v>
      </c>
      <c r="C17" s="589">
        <f>Assumptions!D17</f>
        <v>1050</v>
      </c>
      <c r="D17" s="590">
        <f t="shared" si="0"/>
        <v>161.874</v>
      </c>
      <c r="E17" s="589">
        <f>Assumptions!D16</f>
        <v>122.32714285714286</v>
      </c>
      <c r="F17" s="591">
        <f>Assumptions!E16</f>
        <v>39.546857142857135</v>
      </c>
      <c r="G17" s="587"/>
      <c r="H17" s="2"/>
      <c r="I17" s="2"/>
      <c r="J17" s="2"/>
      <c r="K17" s="215"/>
      <c r="L17" s="541" t="s">
        <v>115</v>
      </c>
      <c r="M17" s="542"/>
      <c r="N17" s="542"/>
      <c r="O17" s="542"/>
      <c r="P17" s="1051" t="s">
        <v>91</v>
      </c>
      <c r="Q17" s="1052"/>
      <c r="R17" s="424"/>
      <c r="S17" s="538"/>
      <c r="T17" s="538"/>
      <c r="U17" s="538"/>
      <c r="V17" s="538"/>
      <c r="W17" s="538"/>
      <c r="X17" s="538"/>
      <c r="Y17" s="538"/>
      <c r="Z17" s="538"/>
    </row>
    <row r="18" spans="1:26" ht="15.75" thickBot="1" x14ac:dyDescent="0.3">
      <c r="A18" s="354"/>
      <c r="B18" s="588" t="s">
        <v>116</v>
      </c>
      <c r="C18" s="589">
        <f>Assumptions!D22</f>
        <v>1300</v>
      </c>
      <c r="D18" s="590">
        <f t="shared" si="0"/>
        <v>58.740230769230763</v>
      </c>
      <c r="E18" s="589">
        <f>Assumptions!D21</f>
        <v>44.389615384615382</v>
      </c>
      <c r="F18" s="591">
        <f>Assumptions!E21</f>
        <v>14.350615384615384</v>
      </c>
      <c r="G18" s="587"/>
      <c r="H18" s="2"/>
      <c r="I18" s="2"/>
      <c r="J18" s="2"/>
      <c r="K18" s="215"/>
      <c r="L18" s="551"/>
      <c r="M18" s="552"/>
      <c r="N18" s="552"/>
      <c r="O18" s="552" t="s">
        <v>95</v>
      </c>
      <c r="P18" s="553" t="s">
        <v>93</v>
      </c>
      <c r="Q18" s="554" t="s">
        <v>94</v>
      </c>
      <c r="R18" s="424"/>
      <c r="S18" s="538"/>
      <c r="T18" s="538"/>
      <c r="U18" s="538"/>
      <c r="V18" s="538"/>
      <c r="W18" s="538"/>
      <c r="X18" s="538"/>
      <c r="Y18" s="538"/>
      <c r="Z18" s="538"/>
    </row>
    <row r="19" spans="1:26" ht="15.75" thickBot="1" x14ac:dyDescent="0.3">
      <c r="A19" s="354"/>
      <c r="B19" s="592" t="s">
        <v>117</v>
      </c>
      <c r="C19" s="593"/>
      <c r="D19" s="594">
        <f>SUM(D15:D18)</f>
        <v>614.74223076923079</v>
      </c>
      <c r="E19" s="593">
        <f t="shared" ref="E19:F19" si="1">SUM(E15:E18)</f>
        <v>464.5567582417583</v>
      </c>
      <c r="F19" s="595">
        <f t="shared" si="1"/>
        <v>150.18547252747254</v>
      </c>
      <c r="G19" s="587"/>
      <c r="H19" s="2"/>
      <c r="I19" s="2"/>
      <c r="J19" s="2"/>
      <c r="K19" s="215"/>
      <c r="L19" s="541" t="s">
        <v>118</v>
      </c>
      <c r="M19" s="596"/>
      <c r="N19" s="596"/>
      <c r="O19" s="596"/>
      <c r="P19" s="596"/>
      <c r="Q19" s="970"/>
      <c r="R19" s="424"/>
      <c r="S19" s="538"/>
      <c r="T19" s="538"/>
      <c r="U19" s="538"/>
      <c r="V19" s="538"/>
      <c r="W19" s="538"/>
      <c r="X19" s="538"/>
      <c r="Y19" s="538"/>
      <c r="Z19" s="538"/>
    </row>
    <row r="20" spans="1:26" ht="15.75" thickBot="1" x14ac:dyDescent="0.3">
      <c r="A20" s="354"/>
      <c r="B20" s="559" t="s">
        <v>119</v>
      </c>
      <c r="C20" s="560"/>
      <c r="D20" s="560"/>
      <c r="E20" s="560"/>
      <c r="F20" s="561"/>
      <c r="G20" s="354"/>
      <c r="H20" s="2"/>
      <c r="I20" s="2"/>
      <c r="J20" s="2"/>
      <c r="K20" s="215"/>
      <c r="L20" s="1053" t="s">
        <v>120</v>
      </c>
      <c r="M20" s="1054"/>
      <c r="N20" s="574">
        <f t="shared" ref="N20:N27" si="2">O20/$O$28</f>
        <v>0.6</v>
      </c>
      <c r="O20" s="972">
        <f>SUM(P20:Q20)</f>
        <v>295478363.28648138</v>
      </c>
      <c r="P20" s="973">
        <f>'Phase I Financial'!B87</f>
        <v>188819827.05193722</v>
      </c>
      <c r="Q20" s="974">
        <f>'Phase II Financial'!B96</f>
        <v>106658536.23454419</v>
      </c>
      <c r="R20" s="424"/>
      <c r="S20" s="538"/>
      <c r="T20" s="538"/>
      <c r="U20" s="538"/>
      <c r="V20" s="538"/>
      <c r="W20" s="538"/>
      <c r="X20" s="538"/>
      <c r="Y20" s="538"/>
      <c r="Z20" s="538"/>
    </row>
    <row r="21" spans="1:26" x14ac:dyDescent="0.25">
      <c r="A21" s="354"/>
      <c r="B21" s="583" t="s">
        <v>112</v>
      </c>
      <c r="C21" s="584">
        <f>Assumptions!D29</f>
        <v>500</v>
      </c>
      <c r="D21" s="585">
        <f>SUM(E21:G21)</f>
        <v>49.266000000000005</v>
      </c>
      <c r="E21" s="584">
        <f>Assumptions!D28</f>
        <v>37.230000000000004</v>
      </c>
      <c r="F21" s="586">
        <f>Assumptions!E28</f>
        <v>12.036000000000001</v>
      </c>
      <c r="G21" s="587"/>
      <c r="H21" s="2"/>
      <c r="I21" s="2"/>
      <c r="J21" s="2"/>
      <c r="K21" s="215"/>
      <c r="L21" s="1053" t="s">
        <v>121</v>
      </c>
      <c r="M21" s="1054"/>
      <c r="N21" s="574">
        <f t="shared" si="2"/>
        <v>7.4897938588604687E-3</v>
      </c>
      <c r="O21" s="972">
        <f>SUM(P21:Q21)</f>
        <v>3688453.384615385</v>
      </c>
      <c r="P21" s="973">
        <f>'Phase I Financial'!B88</f>
        <v>2787340.5494505498</v>
      </c>
      <c r="Q21" s="974">
        <f>'Phase II Financial'!B97</f>
        <v>901112.83516483521</v>
      </c>
      <c r="R21" s="424"/>
      <c r="S21" s="538"/>
      <c r="T21" s="538"/>
      <c r="U21" s="538"/>
      <c r="V21" s="538"/>
      <c r="W21" s="538"/>
      <c r="X21" s="538"/>
      <c r="Y21" s="538"/>
      <c r="Z21" s="538"/>
    </row>
    <row r="22" spans="1:26" x14ac:dyDescent="0.25">
      <c r="A22" s="354"/>
      <c r="B22" s="588" t="s">
        <v>113</v>
      </c>
      <c r="C22" s="589">
        <f>Assumptions!D34</f>
        <v>750</v>
      </c>
      <c r="D22" s="590">
        <f t="shared" ref="D22:D24" si="3">SUM(E22:G22)</f>
        <v>49.266000000000005</v>
      </c>
      <c r="E22" s="589">
        <f>Assumptions!D33</f>
        <v>37.230000000000004</v>
      </c>
      <c r="F22" s="591">
        <f>Assumptions!E33</f>
        <v>12.036000000000001</v>
      </c>
      <c r="G22" s="587"/>
      <c r="H22" s="2"/>
      <c r="I22" s="2"/>
      <c r="J22" s="2"/>
      <c r="K22" s="215"/>
      <c r="L22" s="1053" t="s">
        <v>122</v>
      </c>
      <c r="M22" s="1054"/>
      <c r="N22" s="574">
        <f t="shared" si="2"/>
        <v>3.1677446347991986E-3</v>
      </c>
      <c r="O22" s="972">
        <f t="shared" ref="O22" si="4">SUM(P22:Q22)</f>
        <v>1560000</v>
      </c>
      <c r="P22" s="973">
        <f>'Phase I Financial'!B89</f>
        <v>780000</v>
      </c>
      <c r="Q22" s="974">
        <f>'Phase II Financial'!B98</f>
        <v>780000</v>
      </c>
      <c r="R22" s="424"/>
      <c r="S22" s="538"/>
      <c r="T22" s="538"/>
      <c r="U22" s="538"/>
      <c r="V22" s="538"/>
      <c r="W22" s="538"/>
      <c r="X22" s="538"/>
      <c r="Y22" s="538"/>
      <c r="Z22" s="538"/>
    </row>
    <row r="23" spans="1:26" x14ac:dyDescent="0.25">
      <c r="A23" s="354"/>
      <c r="B23" s="588" t="s">
        <v>114</v>
      </c>
      <c r="C23" s="589">
        <f>Assumptions!D39</f>
        <v>1050</v>
      </c>
      <c r="D23" s="590">
        <f t="shared" si="3"/>
        <v>40.468499999999999</v>
      </c>
      <c r="E23" s="589">
        <f>Assumptions!D38</f>
        <v>30.581785714285715</v>
      </c>
      <c r="F23" s="591">
        <f>Assumptions!E38</f>
        <v>9.8867142857142838</v>
      </c>
      <c r="G23" s="587"/>
      <c r="H23" s="2"/>
      <c r="I23" s="2"/>
      <c r="J23" s="2"/>
      <c r="K23" s="215"/>
      <c r="L23" s="703" t="s">
        <v>66</v>
      </c>
      <c r="M23" s="424"/>
      <c r="N23" s="975">
        <f t="shared" si="2"/>
        <v>6.586776704570449E-4</v>
      </c>
      <c r="O23" s="976">
        <f>SUM(P23:Q23)</f>
        <v>324375</v>
      </c>
      <c r="P23" s="977">
        <f>'Phase I Financial'!B90</f>
        <v>324375</v>
      </c>
      <c r="Q23" s="978">
        <v>0</v>
      </c>
      <c r="R23" s="424"/>
      <c r="S23" s="538"/>
      <c r="T23" s="538"/>
      <c r="U23" s="538"/>
      <c r="V23" s="538"/>
      <c r="W23" s="538"/>
      <c r="X23" s="538"/>
      <c r="Y23" s="538"/>
      <c r="Z23" s="538"/>
    </row>
    <row r="24" spans="1:26" x14ac:dyDescent="0.25">
      <c r="A24" s="354"/>
      <c r="B24" s="588" t="s">
        <v>116</v>
      </c>
      <c r="C24" s="589">
        <f>Assumptions!D44</f>
        <v>1300</v>
      </c>
      <c r="D24" s="590">
        <f t="shared" si="3"/>
        <v>14.685057692307691</v>
      </c>
      <c r="E24" s="589">
        <f>Assumptions!D43</f>
        <v>11.097403846153846</v>
      </c>
      <c r="F24" s="591">
        <f>Assumptions!E43</f>
        <v>3.5876538461538461</v>
      </c>
      <c r="G24" s="587"/>
      <c r="H24" s="2"/>
      <c r="I24" s="2"/>
      <c r="J24" s="2"/>
      <c r="K24" s="215"/>
      <c r="L24" s="708" t="s">
        <v>123</v>
      </c>
      <c r="M24" s="979"/>
      <c r="N24" s="980">
        <f t="shared" si="2"/>
        <v>3.5088863647006507E-4</v>
      </c>
      <c r="O24" s="981">
        <f>SUM(P24:Q24)</f>
        <v>172800</v>
      </c>
      <c r="P24" s="982">
        <f>'Phase I Financial'!B91</f>
        <v>172800</v>
      </c>
      <c r="Q24" s="983">
        <v>0</v>
      </c>
      <c r="R24" s="424"/>
      <c r="S24" s="538"/>
      <c r="T24" s="538"/>
      <c r="U24" s="538"/>
      <c r="V24" s="538"/>
      <c r="W24" s="538"/>
      <c r="X24" s="538"/>
      <c r="Y24" s="538"/>
      <c r="Z24" s="538"/>
    </row>
    <row r="25" spans="1:26" ht="15.75" thickBot="1" x14ac:dyDescent="0.3">
      <c r="A25" s="354"/>
      <c r="B25" s="570" t="s">
        <v>117</v>
      </c>
      <c r="C25" s="571"/>
      <c r="D25" s="599">
        <f>SUM(D21:D24)</f>
        <v>153.6855576923077</v>
      </c>
      <c r="E25" s="600">
        <f>SUM(E21:E24)</f>
        <v>116.13918956043958</v>
      </c>
      <c r="F25" s="601">
        <f t="shared" ref="F25" si="5">SUM(F21:F24)</f>
        <v>37.546368131868135</v>
      </c>
      <c r="G25" s="587"/>
      <c r="H25" s="2"/>
      <c r="I25" s="2"/>
      <c r="J25" s="2"/>
      <c r="K25" s="215"/>
      <c r="L25" s="1055" t="s">
        <v>124</v>
      </c>
      <c r="M25" s="1056"/>
      <c r="N25" s="984">
        <f t="shared" si="2"/>
        <v>2.3034173887720968E-2</v>
      </c>
      <c r="O25" s="985">
        <f>SUM(P25:Q25)</f>
        <v>11343500</v>
      </c>
      <c r="P25" s="722">
        <v>0</v>
      </c>
      <c r="Q25" s="986">
        <f>'Phase II Financial'!B99</f>
        <v>11343500</v>
      </c>
      <c r="R25" s="424"/>
      <c r="S25" s="538"/>
      <c r="T25" s="538"/>
      <c r="U25" s="538"/>
      <c r="V25" s="538"/>
      <c r="W25" s="538"/>
      <c r="X25" s="538"/>
      <c r="Y25" s="538"/>
      <c r="Z25" s="538"/>
    </row>
    <row r="26" spans="1:26" ht="15.75" thickBot="1" x14ac:dyDescent="0.3">
      <c r="A26" s="539"/>
      <c r="B26" s="215"/>
      <c r="C26" s="215"/>
      <c r="D26" s="215"/>
      <c r="E26" s="215"/>
      <c r="F26" s="215"/>
      <c r="G26" s="539"/>
      <c r="H26" s="2"/>
      <c r="I26" s="2"/>
      <c r="J26" s="2"/>
      <c r="K26" s="215"/>
      <c r="L26" s="588" t="s">
        <v>125</v>
      </c>
      <c r="M26" s="971"/>
      <c r="N26" s="574">
        <f t="shared" si="2"/>
        <v>6.3182291225498122E-3</v>
      </c>
      <c r="O26" s="972">
        <f>SUM(P26:Q26)</f>
        <v>3111500</v>
      </c>
      <c r="P26" s="715">
        <v>0</v>
      </c>
      <c r="Q26" s="974">
        <f>'Phase II Financial'!B100</f>
        <v>3111500</v>
      </c>
      <c r="R26" s="424"/>
      <c r="S26" s="538"/>
      <c r="T26" s="538"/>
      <c r="U26" s="538"/>
      <c r="V26" s="538"/>
      <c r="W26" s="538"/>
      <c r="X26" s="538"/>
      <c r="Y26" s="538"/>
      <c r="Z26" s="538"/>
    </row>
    <row r="27" spans="1:26" ht="15.75" thickBot="1" x14ac:dyDescent="0.3">
      <c r="A27" s="354"/>
      <c r="B27" s="541" t="s">
        <v>126</v>
      </c>
      <c r="C27" s="542"/>
      <c r="D27" s="542"/>
      <c r="E27" s="1051" t="s">
        <v>91</v>
      </c>
      <c r="F27" s="1052"/>
      <c r="G27" s="544"/>
      <c r="H27" s="2"/>
      <c r="I27" s="2"/>
      <c r="J27" s="2"/>
      <c r="K27" s="215"/>
      <c r="L27" s="987" t="s">
        <v>127</v>
      </c>
      <c r="M27" s="988"/>
      <c r="N27" s="989">
        <f t="shared" si="2"/>
        <v>0.35898049218914252</v>
      </c>
      <c r="O27" s="990">
        <f>SUM(P27:Q27)</f>
        <v>176784947.1397056</v>
      </c>
      <c r="P27" s="991">
        <f>'Phase I Financial'!B92</f>
        <v>121815369.15184096</v>
      </c>
      <c r="Q27" s="992">
        <f>'Phase II Financial'!B101</f>
        <v>54969577.987864628</v>
      </c>
      <c r="R27" s="424"/>
      <c r="S27" s="538"/>
      <c r="T27" s="538"/>
      <c r="U27" s="538"/>
      <c r="V27" s="538"/>
      <c r="W27" s="538"/>
      <c r="X27" s="538"/>
      <c r="Y27" s="538"/>
      <c r="Z27" s="538"/>
    </row>
    <row r="28" spans="1:26" ht="16.5" thickTop="1" thickBot="1" x14ac:dyDescent="0.3">
      <c r="A28" s="354"/>
      <c r="B28" s="551"/>
      <c r="C28" s="552"/>
      <c r="D28" s="552" t="s">
        <v>95</v>
      </c>
      <c r="E28" s="553" t="s">
        <v>93</v>
      </c>
      <c r="F28" s="554" t="s">
        <v>94</v>
      </c>
      <c r="G28" s="544"/>
      <c r="H28" s="2"/>
      <c r="I28" s="2"/>
      <c r="J28" s="2"/>
      <c r="K28" s="215"/>
      <c r="L28" s="993" t="s">
        <v>117</v>
      </c>
      <c r="M28" s="994"/>
      <c r="N28" s="768"/>
      <c r="O28" s="1001">
        <f>SUM(O20:O27)</f>
        <v>492463938.81080234</v>
      </c>
      <c r="P28" s="1003">
        <f>SUM(P20:P27)</f>
        <v>314699711.75322872</v>
      </c>
      <c r="Q28" s="1005">
        <f>SUM(Q20:Q27)</f>
        <v>177764227.05757365</v>
      </c>
      <c r="R28" s="424"/>
      <c r="S28" s="538"/>
      <c r="T28" s="538"/>
      <c r="U28" s="538"/>
      <c r="V28" s="538"/>
      <c r="W28" s="538"/>
      <c r="X28" s="538"/>
      <c r="Y28" s="538"/>
      <c r="Z28" s="538"/>
    </row>
    <row r="29" spans="1:26" ht="15.75" thickBot="1" x14ac:dyDescent="0.3">
      <c r="A29" s="354"/>
      <c r="B29" s="603" t="s">
        <v>128</v>
      </c>
      <c r="C29" s="604"/>
      <c r="D29" s="604"/>
      <c r="E29" s="604"/>
      <c r="F29" s="605"/>
      <c r="G29" s="354"/>
      <c r="H29" s="2"/>
      <c r="I29" s="2"/>
      <c r="J29" s="2"/>
      <c r="K29" s="215"/>
      <c r="L29" s="541" t="s">
        <v>129</v>
      </c>
      <c r="M29" s="596"/>
      <c r="N29" s="596"/>
      <c r="O29" s="596"/>
      <c r="P29" s="545" t="s">
        <v>93</v>
      </c>
      <c r="Q29" s="546" t="s">
        <v>94</v>
      </c>
      <c r="R29" s="424"/>
      <c r="S29" s="538"/>
      <c r="T29" s="538"/>
      <c r="U29" s="538"/>
      <c r="V29" s="538"/>
      <c r="W29" s="538"/>
      <c r="X29" s="538"/>
      <c r="Y29" s="538"/>
      <c r="Z29" s="538"/>
    </row>
    <row r="30" spans="1:26" x14ac:dyDescent="0.25">
      <c r="A30" s="354"/>
      <c r="B30" s="606" t="s">
        <v>128</v>
      </c>
      <c r="C30" s="275"/>
      <c r="D30" s="607">
        <f>SUM(E30:G30)</f>
        <v>120425</v>
      </c>
      <c r="E30" s="608">
        <f>Assumptions!D50</f>
        <v>78600</v>
      </c>
      <c r="F30" s="609">
        <f>Assumptions!E50</f>
        <v>41825</v>
      </c>
      <c r="G30" s="587"/>
      <c r="H30" s="2"/>
      <c r="I30" s="2"/>
      <c r="J30" s="2"/>
      <c r="K30" s="215"/>
      <c r="L30" s="708" t="s">
        <v>130</v>
      </c>
      <c r="M30" s="1007"/>
      <c r="N30" s="574">
        <f t="shared" ref="N30:N35" si="6">O30/$O$36</f>
        <v>7.4602795148971682E-2</v>
      </c>
      <c r="O30" s="972">
        <f>SUM(P30:Q30)</f>
        <v>36739186.345358014</v>
      </c>
      <c r="P30" s="995">
        <f>'Phase I Financial'!C54+'Phase I Financial'!C64</f>
        <v>16838617.813882433</v>
      </c>
      <c r="Q30" s="996">
        <f>'Phase II Financial'!C63+'Phase II Financial'!C73</f>
        <v>19900568.531475585</v>
      </c>
      <c r="R30" s="424"/>
      <c r="S30" s="538"/>
      <c r="T30" s="538"/>
      <c r="U30" s="538"/>
      <c r="V30" s="538"/>
      <c r="W30" s="538"/>
      <c r="X30" s="538"/>
      <c r="Y30" s="538"/>
      <c r="Z30" s="538"/>
    </row>
    <row r="31" spans="1:26" ht="15.75" thickBot="1" x14ac:dyDescent="0.3">
      <c r="A31" s="354"/>
      <c r="B31" s="610" t="s">
        <v>117</v>
      </c>
      <c r="C31" s="611"/>
      <c r="D31" s="612">
        <f>D30</f>
        <v>120425</v>
      </c>
      <c r="E31" s="613">
        <f t="shared" ref="E31:F31" si="7">E30</f>
        <v>78600</v>
      </c>
      <c r="F31" s="614">
        <f t="shared" si="7"/>
        <v>41825</v>
      </c>
      <c r="G31" s="587"/>
      <c r="H31" s="2"/>
      <c r="I31" s="2"/>
      <c r="J31" s="2"/>
      <c r="K31" s="215"/>
      <c r="L31" s="708" t="s">
        <v>131</v>
      </c>
      <c r="M31" s="1007"/>
      <c r="N31" s="574">
        <f t="shared" si="6"/>
        <v>0.69786359554292243</v>
      </c>
      <c r="O31" s="972">
        <f t="shared" ref="O31:O36" si="8">SUM(P31:Q31)</f>
        <v>343672655.01373625</v>
      </c>
      <c r="P31" s="995">
        <f>'Phase I Financial'!C50+'Phase I Financial'!C51+'Phase I Financial'!C53+'Phase I Financial'!C56+'Phase I Financial'!C57+'Phase I Financial'!C58+'Phase I Financial'!C59+'Phase I Financial'!C60+'Phase I Financial'!C61+'Phase I Financial'!C62</f>
        <v>222291254.68406594</v>
      </c>
      <c r="Q31" s="996">
        <f>'Phase II Financial'!C58+'Phase II Financial'!C59+'Phase II Financial'!C62+'Phase II Financial'!C65+'Phase II Financial'!C66+'Phase II Financial'!C67+'Phase II Financial'!C68+'Phase II Financial'!C69+'Phase II Financial'!C70+'Phase II Financial'!C71</f>
        <v>121381400.32967032</v>
      </c>
      <c r="R31" s="424"/>
      <c r="S31" s="538"/>
      <c r="T31" s="538"/>
      <c r="U31" s="538"/>
      <c r="V31" s="538"/>
      <c r="W31" s="538"/>
      <c r="X31" s="538"/>
      <c r="Y31" s="538"/>
      <c r="Z31" s="538"/>
    </row>
    <row r="32" spans="1:26" ht="15.75" thickBot="1" x14ac:dyDescent="0.3">
      <c r="A32" s="354"/>
      <c r="B32" s="603" t="s">
        <v>65</v>
      </c>
      <c r="C32" s="604"/>
      <c r="D32" s="604"/>
      <c r="E32" s="604"/>
      <c r="F32" s="605"/>
      <c r="G32" s="354"/>
      <c r="H32" s="2"/>
      <c r="I32" s="2"/>
      <c r="J32" s="2"/>
      <c r="K32" s="215"/>
      <c r="L32" s="708" t="s">
        <v>132</v>
      </c>
      <c r="M32" s="1007"/>
      <c r="N32" s="574">
        <f t="shared" si="6"/>
        <v>0.10821032275048559</v>
      </c>
      <c r="O32" s="972">
        <f t="shared" si="8"/>
        <v>53289681.761692308</v>
      </c>
      <c r="P32" s="995">
        <f>'Phase I Financial'!C55+'Phase I Financial'!C63+'Phase I Financial'!C65+'Phase I Financial'!C67+'Phase I Financial'!C68+'Phase I Financial'!C69+'Phase I Financial'!C70+'Phase I Financial'!C72+'Phase I Financial'!C73</f>
        <v>40443974.769917585</v>
      </c>
      <c r="Q32" s="996">
        <f>'Phase II Financial'!C64+'Phase II Financial'!C72+'Phase II Financial'!C74+'Phase II Financial'!C76+'Phase II Financial'!C77+'Phase II Financial'!C78+'Phase II Financial'!C79+'Phase II Financial'!C81+'Phase II Financial'!C82</f>
        <v>12845706.991774725</v>
      </c>
      <c r="R32" s="424"/>
      <c r="S32" s="538"/>
      <c r="T32" s="538"/>
      <c r="U32" s="538"/>
      <c r="V32" s="538"/>
      <c r="W32" s="538"/>
      <c r="X32" s="538"/>
      <c r="Y32" s="538"/>
      <c r="Z32" s="538"/>
    </row>
    <row r="33" spans="1:26" x14ac:dyDescent="0.25">
      <c r="A33" s="354"/>
      <c r="B33" s="606" t="s">
        <v>65</v>
      </c>
      <c r="C33" s="275"/>
      <c r="D33" s="607">
        <f>SUM(E33:G33)</f>
        <v>106200</v>
      </c>
      <c r="E33" s="608">
        <f>Assumptions!D56</f>
        <v>106200</v>
      </c>
      <c r="F33" s="609">
        <f>Assumptions!E56</f>
        <v>0</v>
      </c>
      <c r="G33" s="587"/>
      <c r="H33" s="2"/>
      <c r="I33" s="2"/>
      <c r="J33" s="2"/>
      <c r="K33" s="215"/>
      <c r="L33" s="708" t="s">
        <v>133</v>
      </c>
      <c r="M33" s="1007"/>
      <c r="N33" s="574">
        <f t="shared" si="6"/>
        <v>3.8983727511824232E-2</v>
      </c>
      <c r="O33" s="972">
        <f t="shared" si="8"/>
        <v>19198080</v>
      </c>
      <c r="P33" s="995">
        <f>'Phase I Financial'!C75+'Phase I Financial'!C74</f>
        <v>12262938</v>
      </c>
      <c r="Q33" s="996">
        <f>'Phase II Financial'!C83+'Phase II Financial'!C84</f>
        <v>6935142</v>
      </c>
      <c r="R33" s="424"/>
      <c r="S33" s="538"/>
      <c r="T33" s="538"/>
      <c r="U33" s="538"/>
      <c r="V33" s="538"/>
      <c r="W33" s="538"/>
      <c r="X33" s="538"/>
      <c r="Y33" s="538"/>
      <c r="Z33" s="538"/>
    </row>
    <row r="34" spans="1:26" ht="15.75" thickBot="1" x14ac:dyDescent="0.3">
      <c r="A34" s="354"/>
      <c r="B34" s="147" t="s">
        <v>117</v>
      </c>
      <c r="C34" s="615"/>
      <c r="D34" s="616">
        <f>D33</f>
        <v>106200</v>
      </c>
      <c r="E34" s="617">
        <f>E33</f>
        <v>106200</v>
      </c>
      <c r="F34" s="618">
        <f t="shared" ref="F34" si="9">F33</f>
        <v>0</v>
      </c>
      <c r="G34" s="587"/>
      <c r="H34" s="2"/>
      <c r="I34" s="2"/>
      <c r="J34" s="2"/>
      <c r="K34" s="215"/>
      <c r="L34" s="708" t="s">
        <v>134</v>
      </c>
      <c r="M34" s="1007"/>
      <c r="N34" s="574">
        <f t="shared" si="6"/>
        <v>5.5119270252285114E-2</v>
      </c>
      <c r="O34" s="972">
        <f t="shared" si="8"/>
        <v>27144252.932817414</v>
      </c>
      <c r="P34" s="995">
        <f>'Phase I Financial'!C76+'Phase I Financial'!C71+'Phase I Financial'!C52</f>
        <v>15094041.893253915</v>
      </c>
      <c r="Q34" s="996">
        <f>'Phase II Financial'!C85+'Phase II Financial'!C80+'Phase II Financial'!C60+'Phase II Financial'!C61</f>
        <v>12050211.039563499</v>
      </c>
      <c r="R34" s="424"/>
      <c r="S34" s="538"/>
      <c r="T34" s="538"/>
      <c r="U34" s="538"/>
      <c r="V34" s="538"/>
      <c r="W34" s="538"/>
      <c r="X34" s="538"/>
      <c r="Y34" s="538"/>
      <c r="Z34" s="538"/>
    </row>
    <row r="35" spans="1:26" ht="15.75" thickBot="1" x14ac:dyDescent="0.3">
      <c r="A35" s="539"/>
      <c r="B35" s="215"/>
      <c r="C35" s="215"/>
      <c r="D35" s="215"/>
      <c r="E35" s="215"/>
      <c r="F35" s="215"/>
      <c r="G35" s="539"/>
      <c r="H35" s="2"/>
      <c r="I35" s="2"/>
      <c r="J35" s="2"/>
      <c r="K35" s="215"/>
      <c r="L35" s="987" t="s">
        <v>135</v>
      </c>
      <c r="M35" s="1008"/>
      <c r="N35" s="989">
        <f t="shared" si="6"/>
        <v>2.5220288793510882E-2</v>
      </c>
      <c r="O35" s="990">
        <f t="shared" si="8"/>
        <v>12420082.757198308</v>
      </c>
      <c r="P35" s="997">
        <f>'Phase I Financial'!C66</f>
        <v>7768884.5921087805</v>
      </c>
      <c r="Q35" s="998">
        <f>'Phase II Financial'!C75</f>
        <v>4651198.1650895281</v>
      </c>
      <c r="R35" s="424"/>
      <c r="S35" s="538"/>
      <c r="T35" s="538"/>
      <c r="U35" s="538"/>
      <c r="V35" s="538"/>
      <c r="W35" s="538"/>
      <c r="X35" s="538"/>
      <c r="Y35" s="538"/>
      <c r="Z35" s="538"/>
    </row>
    <row r="36" spans="1:26" ht="16.5" thickTop="1" thickBot="1" x14ac:dyDescent="0.3">
      <c r="A36" s="354"/>
      <c r="B36" s="541" t="s">
        <v>136</v>
      </c>
      <c r="C36" s="596"/>
      <c r="D36" s="542"/>
      <c r="E36" s="1051" t="s">
        <v>91</v>
      </c>
      <c r="F36" s="1052"/>
      <c r="G36" s="544"/>
      <c r="H36" s="539"/>
      <c r="I36" s="539"/>
      <c r="J36" s="539"/>
      <c r="K36" s="354"/>
      <c r="L36" s="999" t="s">
        <v>117</v>
      </c>
      <c r="M36" s="1000"/>
      <c r="N36" s="777"/>
      <c r="O36" s="1002">
        <f t="shared" si="8"/>
        <v>492463938.81080234</v>
      </c>
      <c r="P36" s="1004">
        <f>SUM(P30:P35)</f>
        <v>314699711.75322866</v>
      </c>
      <c r="Q36" s="1006">
        <f>SUM(Q30:Q35)</f>
        <v>177764227.05757368</v>
      </c>
      <c r="R36" s="516"/>
      <c r="S36" s="538"/>
      <c r="T36" s="538"/>
      <c r="U36" s="538"/>
      <c r="V36" s="538"/>
      <c r="W36" s="538"/>
      <c r="X36" s="538"/>
      <c r="Y36" s="538"/>
      <c r="Z36" s="538"/>
    </row>
    <row r="37" spans="1:26" ht="15.75" thickBot="1" x14ac:dyDescent="0.3">
      <c r="A37" s="354"/>
      <c r="B37" s="619"/>
      <c r="C37" s="620"/>
      <c r="D37" s="552" t="s">
        <v>95</v>
      </c>
      <c r="E37" s="553" t="s">
        <v>93</v>
      </c>
      <c r="F37" s="554" t="s">
        <v>94</v>
      </c>
      <c r="G37" s="544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16"/>
      <c r="S37" s="538"/>
      <c r="T37" s="538"/>
      <c r="U37" s="538"/>
      <c r="V37" s="538"/>
      <c r="W37" s="538"/>
      <c r="X37" s="538"/>
      <c r="Y37" s="538"/>
      <c r="Z37" s="538"/>
    </row>
    <row r="38" spans="1:26" x14ac:dyDescent="0.25">
      <c r="A38" s="354"/>
      <c r="B38" s="603" t="s">
        <v>137</v>
      </c>
      <c r="C38" s="604"/>
      <c r="D38" s="621"/>
      <c r="E38" s="621"/>
      <c r="F38" s="622"/>
      <c r="G38" s="354"/>
      <c r="H38" s="539"/>
      <c r="I38" s="539"/>
      <c r="J38" s="539"/>
      <c r="K38" s="539"/>
      <c r="L38" s="961"/>
      <c r="M38" s="539"/>
      <c r="N38" s="539"/>
      <c r="O38" s="539"/>
      <c r="P38" s="539"/>
      <c r="Q38" s="539"/>
      <c r="R38" s="516"/>
      <c r="S38" s="538"/>
      <c r="T38" s="538"/>
      <c r="U38" s="538"/>
      <c r="V38" s="538"/>
      <c r="W38" s="538"/>
      <c r="X38" s="538"/>
      <c r="Y38" s="538"/>
      <c r="Z38" s="538"/>
    </row>
    <row r="39" spans="1:26" x14ac:dyDescent="0.25">
      <c r="A39" s="354"/>
      <c r="B39" s="583" t="s">
        <v>138</v>
      </c>
      <c r="C39" s="556"/>
      <c r="D39" s="623">
        <f>SUM(E39:F39)</f>
        <v>1105.7780769230769</v>
      </c>
      <c r="E39" s="624">
        <f>Assumptions!B93</f>
        <v>835.62939560439565</v>
      </c>
      <c r="F39" s="625">
        <f>Assumptions!C93</f>
        <v>270.14868131868133</v>
      </c>
      <c r="G39" s="354"/>
      <c r="H39" s="539"/>
      <c r="I39" s="539"/>
      <c r="J39" s="539"/>
      <c r="K39" s="539"/>
      <c r="L39" s="961"/>
      <c r="M39" s="539"/>
      <c r="N39" s="539"/>
      <c r="O39" s="539"/>
      <c r="P39" s="539"/>
      <c r="Q39" s="539"/>
      <c r="R39" s="516"/>
      <c r="S39" s="538"/>
      <c r="T39" s="538"/>
      <c r="U39" s="538"/>
      <c r="V39" s="538"/>
      <c r="W39" s="538"/>
      <c r="X39" s="538"/>
      <c r="Y39" s="538"/>
      <c r="Z39" s="538"/>
    </row>
    <row r="40" spans="1:26" x14ac:dyDescent="0.25">
      <c r="A40" s="354"/>
      <c r="B40" s="588" t="s">
        <v>139</v>
      </c>
      <c r="C40" s="563"/>
      <c r="D40" s="626">
        <f>SUM(E40:F40)</f>
        <v>1456.55</v>
      </c>
      <c r="E40" s="627">
        <f>Assumptions!B94</f>
        <v>1205.5999999999999</v>
      </c>
      <c r="F40" s="628">
        <f>Assumptions!C94</f>
        <v>250.95000000000002</v>
      </c>
      <c r="G40" s="354"/>
      <c r="H40" s="539"/>
      <c r="I40" s="539"/>
      <c r="J40" s="539"/>
      <c r="K40" s="539"/>
      <c r="L40" s="961"/>
      <c r="M40" s="539"/>
      <c r="N40" s="539"/>
      <c r="O40" s="539"/>
      <c r="P40" s="539"/>
      <c r="Q40" s="539"/>
      <c r="R40" s="516"/>
      <c r="S40" s="538"/>
      <c r="T40" s="538"/>
      <c r="U40" s="538"/>
      <c r="V40" s="538"/>
      <c r="W40" s="538"/>
      <c r="X40" s="538"/>
      <c r="Y40" s="538"/>
      <c r="Z40" s="538"/>
    </row>
    <row r="41" spans="1:26" x14ac:dyDescent="0.25">
      <c r="A41" s="354"/>
      <c r="B41" s="252" t="s">
        <v>95</v>
      </c>
      <c r="C41" s="629"/>
      <c r="D41" s="630">
        <f>SUM(D39:D40)</f>
        <v>2562.3280769230769</v>
      </c>
      <c r="E41" s="630"/>
      <c r="F41" s="631"/>
      <c r="G41" s="354"/>
      <c r="H41" s="539"/>
      <c r="I41" s="539"/>
      <c r="J41" s="539"/>
      <c r="K41" s="539"/>
      <c r="L41" s="961"/>
      <c r="M41" s="539"/>
      <c r="N41" s="539"/>
      <c r="O41" s="539"/>
      <c r="P41" s="539"/>
      <c r="Q41" s="539"/>
      <c r="R41" s="516"/>
      <c r="S41" s="538"/>
      <c r="T41" s="538"/>
      <c r="U41" s="538"/>
      <c r="V41" s="538"/>
      <c r="W41" s="538"/>
      <c r="X41" s="538"/>
      <c r="Y41" s="538"/>
      <c r="Z41" s="538"/>
    </row>
    <row r="42" spans="1:26" x14ac:dyDescent="0.25">
      <c r="A42" s="539"/>
      <c r="B42" s="215"/>
      <c r="C42" s="215"/>
      <c r="D42" s="215"/>
      <c r="E42" s="215"/>
      <c r="F42" s="215"/>
      <c r="G42" s="539"/>
      <c r="H42" s="539"/>
      <c r="I42" s="539"/>
      <c r="J42" s="539"/>
      <c r="K42" s="539"/>
      <c r="L42" s="961"/>
      <c r="M42" s="539"/>
      <c r="N42" s="961"/>
      <c r="O42" s="539"/>
      <c r="P42" s="539"/>
      <c r="Q42" s="539"/>
      <c r="R42" s="516"/>
      <c r="S42" s="538"/>
      <c r="T42" s="538"/>
      <c r="U42" s="538"/>
      <c r="V42" s="538"/>
      <c r="W42" s="538"/>
      <c r="X42" s="538"/>
      <c r="Y42" s="538"/>
      <c r="Z42" s="538"/>
    </row>
    <row r="43" spans="1:26" x14ac:dyDescent="0.25">
      <c r="A43" s="354"/>
      <c r="B43" s="541" t="s">
        <v>140</v>
      </c>
      <c r="C43" s="542"/>
      <c r="D43" s="542"/>
      <c r="E43" s="1051" t="s">
        <v>141</v>
      </c>
      <c r="F43" s="1052"/>
      <c r="G43" s="354"/>
      <c r="H43" s="539"/>
      <c r="I43" s="539"/>
      <c r="J43" s="539"/>
      <c r="K43" s="539"/>
      <c r="L43" s="961"/>
      <c r="M43" s="539"/>
      <c r="N43" s="961"/>
      <c r="O43" s="539"/>
      <c r="P43" s="539"/>
      <c r="Q43" s="539"/>
      <c r="R43" s="516"/>
      <c r="S43" s="538"/>
      <c r="T43" s="538"/>
      <c r="U43" s="538"/>
      <c r="V43" s="538"/>
      <c r="W43" s="538"/>
      <c r="X43" s="538"/>
      <c r="Y43" s="538"/>
      <c r="Z43" s="538"/>
    </row>
    <row r="44" spans="1:26" ht="15.75" thickBot="1" x14ac:dyDescent="0.3">
      <c r="A44" s="354"/>
      <c r="B44" s="551"/>
      <c r="C44" s="552"/>
      <c r="D44" s="552"/>
      <c r="E44" s="553" t="s">
        <v>93</v>
      </c>
      <c r="F44" s="554" t="s">
        <v>94</v>
      </c>
      <c r="G44" s="354"/>
      <c r="H44" s="539"/>
      <c r="I44" s="539"/>
      <c r="J44" s="539"/>
      <c r="K44" s="539"/>
      <c r="L44" s="961"/>
      <c r="M44" s="539"/>
      <c r="N44" s="961"/>
      <c r="O44" s="539"/>
      <c r="P44" s="539"/>
      <c r="Q44" s="539"/>
      <c r="R44" s="516"/>
      <c r="S44" s="538"/>
      <c r="T44" s="538"/>
      <c r="U44" s="538"/>
      <c r="V44" s="538"/>
      <c r="W44" s="538"/>
      <c r="X44" s="538"/>
      <c r="Y44" s="538"/>
      <c r="Z44" s="538"/>
    </row>
    <row r="45" spans="1:26" ht="15.75" thickBot="1" x14ac:dyDescent="0.3">
      <c r="A45" s="354"/>
      <c r="B45" s="603" t="s">
        <v>142</v>
      </c>
      <c r="C45" s="604"/>
      <c r="D45" s="604"/>
      <c r="E45" s="604"/>
      <c r="F45" s="605"/>
      <c r="G45" s="354"/>
      <c r="H45" s="539"/>
      <c r="I45" s="539"/>
      <c r="J45" s="539"/>
      <c r="K45" s="539"/>
      <c r="M45" s="539"/>
      <c r="N45" s="961"/>
      <c r="O45" s="539"/>
      <c r="P45" s="539"/>
      <c r="Q45" s="539"/>
      <c r="R45" s="516"/>
      <c r="S45" s="538"/>
      <c r="T45" s="538"/>
      <c r="U45" s="538"/>
      <c r="V45" s="538"/>
      <c r="W45" s="538"/>
      <c r="X45" s="538"/>
      <c r="Y45" s="538"/>
      <c r="Z45" s="538"/>
    </row>
    <row r="46" spans="1:26" ht="15.75" thickBot="1" x14ac:dyDescent="0.3">
      <c r="A46" s="354"/>
      <c r="B46" s="606" t="s">
        <v>143</v>
      </c>
      <c r="C46" s="275"/>
      <c r="D46" s="275"/>
      <c r="E46" s="236">
        <f>Assumptions!D9</f>
        <v>1450</v>
      </c>
      <c r="F46" s="417">
        <f>Assumptions!E9</f>
        <v>1523.4062499999998</v>
      </c>
      <c r="G46" s="354"/>
      <c r="H46" s="539"/>
      <c r="I46" s="539"/>
      <c r="J46" s="539"/>
      <c r="K46" s="539"/>
      <c r="L46" s="961"/>
      <c r="M46" s="539"/>
      <c r="N46" s="961"/>
      <c r="O46" s="539"/>
      <c r="P46" s="539"/>
      <c r="Q46" s="539"/>
      <c r="R46" s="516"/>
      <c r="S46" s="538"/>
      <c r="T46" s="538"/>
      <c r="U46" s="538"/>
      <c r="V46" s="538"/>
      <c r="W46" s="538"/>
      <c r="X46" s="538"/>
      <c r="Y46" s="538"/>
      <c r="Z46" s="538"/>
    </row>
    <row r="47" spans="1:26" ht="15.75" thickBot="1" x14ac:dyDescent="0.3">
      <c r="A47" s="354"/>
      <c r="B47" s="597" t="s">
        <v>144</v>
      </c>
      <c r="C47" s="137"/>
      <c r="D47" s="137"/>
      <c r="E47" s="632">
        <f>Assumptions!D14</f>
        <v>2175</v>
      </c>
      <c r="F47" s="633">
        <f>Assumptions!E14</f>
        <v>2285.109375</v>
      </c>
      <c r="G47" s="354"/>
      <c r="H47" s="539"/>
      <c r="I47" s="539"/>
      <c r="J47" s="539"/>
      <c r="K47" s="539"/>
      <c r="L47" s="539"/>
      <c r="M47" s="539"/>
      <c r="N47" s="961"/>
      <c r="O47" s="539"/>
      <c r="P47" s="539"/>
      <c r="Q47" s="539"/>
      <c r="R47" s="516"/>
      <c r="S47" s="538"/>
      <c r="T47" s="538"/>
      <c r="U47" s="538"/>
      <c r="V47" s="538"/>
      <c r="W47" s="538"/>
      <c r="X47" s="538"/>
      <c r="Y47" s="538"/>
      <c r="Z47" s="538"/>
    </row>
    <row r="48" spans="1:26" x14ac:dyDescent="0.25">
      <c r="A48" s="354"/>
      <c r="B48" s="597" t="s">
        <v>145</v>
      </c>
      <c r="C48" s="137"/>
      <c r="D48" s="137"/>
      <c r="E48" s="40">
        <f>Assumptions!D19</f>
        <v>2992.5</v>
      </c>
      <c r="F48" s="416">
        <f>Assumptions!E19</f>
        <v>3143.9953124999997</v>
      </c>
      <c r="G48" s="354"/>
      <c r="H48" s="539"/>
      <c r="I48" s="539"/>
      <c r="J48" s="539"/>
      <c r="K48" s="539"/>
      <c r="L48" s="539"/>
      <c r="M48" s="539"/>
      <c r="N48" s="961"/>
      <c r="O48" s="539"/>
      <c r="P48" s="539"/>
      <c r="Q48" s="539"/>
      <c r="R48" s="516"/>
      <c r="S48" s="538"/>
      <c r="T48" s="538"/>
      <c r="U48" s="538"/>
      <c r="V48" s="538"/>
      <c r="W48" s="538"/>
      <c r="X48" s="538"/>
      <c r="Y48" s="538"/>
      <c r="Z48" s="538"/>
    </row>
    <row r="49" spans="1:26" x14ac:dyDescent="0.25">
      <c r="A49" s="354"/>
      <c r="B49" s="634" t="s">
        <v>146</v>
      </c>
      <c r="C49" s="611"/>
      <c r="D49" s="611"/>
      <c r="E49" s="635">
        <f>Assumptions!D24</f>
        <v>3900</v>
      </c>
      <c r="F49" s="418">
        <f>Assumptions!E24</f>
        <v>4057.56</v>
      </c>
      <c r="G49" s="354"/>
      <c r="H49" s="539"/>
      <c r="I49" s="539"/>
      <c r="J49" s="539"/>
      <c r="K49" s="539"/>
      <c r="L49" s="539"/>
      <c r="M49" s="539"/>
      <c r="N49" s="539"/>
      <c r="O49" s="539"/>
      <c r="P49" s="539"/>
      <c r="Q49" s="539"/>
      <c r="R49" s="516"/>
      <c r="S49" s="538"/>
      <c r="T49" s="538"/>
      <c r="U49" s="538"/>
      <c r="V49" s="538"/>
      <c r="W49" s="538"/>
      <c r="X49" s="538"/>
      <c r="Y49" s="538"/>
      <c r="Z49" s="538"/>
    </row>
    <row r="50" spans="1:26" x14ac:dyDescent="0.25">
      <c r="A50" s="354"/>
      <c r="B50" s="603" t="s">
        <v>147</v>
      </c>
      <c r="C50" s="604"/>
      <c r="D50" s="604"/>
      <c r="E50" s="636"/>
      <c r="F50" s="637"/>
      <c r="G50" s="354"/>
      <c r="H50" s="539"/>
      <c r="I50" s="539"/>
      <c r="J50" s="539"/>
      <c r="K50" s="539"/>
      <c r="L50" s="539"/>
      <c r="M50" s="539"/>
      <c r="N50" s="539"/>
      <c r="O50" s="539"/>
      <c r="P50" s="539"/>
      <c r="Q50" s="539"/>
      <c r="R50" s="516"/>
      <c r="S50" s="538"/>
      <c r="T50" s="538"/>
      <c r="U50" s="538"/>
      <c r="V50" s="538"/>
      <c r="W50" s="538"/>
      <c r="X50" s="538"/>
      <c r="Y50" s="538"/>
      <c r="Z50" s="538"/>
    </row>
    <row r="51" spans="1:26" x14ac:dyDescent="0.25">
      <c r="A51" s="354"/>
      <c r="B51" s="606" t="s">
        <v>143</v>
      </c>
      <c r="C51" s="275"/>
      <c r="D51" s="275"/>
      <c r="E51" s="236">
        <f>Assumptions!D31</f>
        <v>373.21250000000003</v>
      </c>
      <c r="F51" s="416">
        <f>Assumptions!E31</f>
        <v>388.29028500000004</v>
      </c>
      <c r="G51" s="354"/>
      <c r="H51" s="539"/>
      <c r="I51" s="539"/>
      <c r="J51" s="539"/>
      <c r="K51" s="539"/>
      <c r="L51" s="539"/>
      <c r="M51" s="539"/>
      <c r="N51" s="539"/>
      <c r="O51" s="539"/>
      <c r="P51" s="539"/>
      <c r="Q51" s="539"/>
      <c r="R51" s="516"/>
      <c r="S51" s="538"/>
      <c r="T51" s="538"/>
      <c r="U51" s="538"/>
      <c r="V51" s="538"/>
      <c r="W51" s="538"/>
      <c r="X51" s="538"/>
      <c r="Y51" s="538"/>
      <c r="Z51" s="538"/>
    </row>
    <row r="52" spans="1:26" x14ac:dyDescent="0.25">
      <c r="A52" s="354"/>
      <c r="B52" s="597" t="s">
        <v>144</v>
      </c>
      <c r="C52" s="137"/>
      <c r="D52" s="137"/>
      <c r="E52" s="40">
        <f>Assumptions!D36</f>
        <v>513.25625000000002</v>
      </c>
      <c r="F52" s="598">
        <f>Assumptions!E36</f>
        <v>533.99180250000006</v>
      </c>
      <c r="G52" s="354"/>
      <c r="H52" s="539"/>
      <c r="I52" s="539"/>
      <c r="J52" s="539"/>
      <c r="K52" s="539"/>
      <c r="L52" s="539"/>
      <c r="M52" s="539"/>
      <c r="N52" s="539"/>
      <c r="O52" s="539"/>
      <c r="P52" s="539"/>
      <c r="Q52" s="539"/>
      <c r="R52" s="516"/>
      <c r="S52" s="538"/>
      <c r="T52" s="538"/>
      <c r="U52" s="538"/>
      <c r="V52" s="538"/>
      <c r="W52" s="538"/>
      <c r="X52" s="538"/>
      <c r="Y52" s="538"/>
      <c r="Z52" s="538"/>
    </row>
    <row r="53" spans="1:26" x14ac:dyDescent="0.25">
      <c r="A53" s="354"/>
      <c r="B53" s="597" t="s">
        <v>145</v>
      </c>
      <c r="C53" s="137"/>
      <c r="D53" s="137"/>
      <c r="E53" s="40">
        <f>Assumptions!D41</f>
        <v>653.29999999999995</v>
      </c>
      <c r="F53" s="598">
        <f>Assumptions!E41</f>
        <v>679.69331999999997</v>
      </c>
      <c r="G53" s="354"/>
      <c r="H53" s="539"/>
      <c r="I53" s="539"/>
      <c r="J53" s="539"/>
      <c r="K53" s="539"/>
      <c r="L53" s="539"/>
      <c r="M53" s="539"/>
      <c r="N53" s="539"/>
      <c r="O53" s="539"/>
      <c r="P53" s="539"/>
      <c r="Q53" s="539"/>
      <c r="R53" s="516"/>
      <c r="S53" s="538"/>
      <c r="T53" s="538"/>
      <c r="U53" s="538"/>
      <c r="V53" s="538"/>
      <c r="W53" s="538"/>
      <c r="X53" s="538"/>
      <c r="Y53" s="538"/>
      <c r="Z53" s="538"/>
    </row>
    <row r="54" spans="1:26" x14ac:dyDescent="0.25">
      <c r="A54" s="354"/>
      <c r="B54" s="638" t="s">
        <v>146</v>
      </c>
      <c r="C54" s="615"/>
      <c r="D54" s="615"/>
      <c r="E54" s="639">
        <f>Assumptions!D46</f>
        <v>816.625</v>
      </c>
      <c r="F54" s="640">
        <f>Assumptions!E46</f>
        <v>849.61665000000005</v>
      </c>
      <c r="G54" s="354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16"/>
      <c r="S54" s="538"/>
      <c r="T54" s="538"/>
      <c r="U54" s="538"/>
      <c r="V54" s="538"/>
      <c r="W54" s="538"/>
      <c r="X54" s="538"/>
      <c r="Y54" s="538"/>
      <c r="Z54" s="538"/>
    </row>
    <row r="55" spans="1:26" x14ac:dyDescent="0.25">
      <c r="A55" s="516"/>
      <c r="B55" s="424"/>
      <c r="C55" s="424"/>
      <c r="D55" s="424"/>
      <c r="E55" s="424"/>
      <c r="F55" s="424"/>
      <c r="G55" s="516"/>
      <c r="H55" s="516"/>
      <c r="I55" s="516"/>
      <c r="J55" s="516"/>
      <c r="K55" s="516"/>
      <c r="L55" s="516"/>
      <c r="M55" s="516"/>
      <c r="N55" s="516"/>
      <c r="O55" s="516"/>
      <c r="P55" s="516"/>
      <c r="Q55" s="516"/>
      <c r="R55" s="516"/>
      <c r="S55" s="538"/>
      <c r="T55" s="538"/>
      <c r="U55" s="538"/>
      <c r="V55" s="538"/>
      <c r="W55" s="538"/>
      <c r="X55" s="538"/>
      <c r="Y55" s="538"/>
      <c r="Z55" s="538"/>
    </row>
    <row r="56" spans="1:26" x14ac:dyDescent="0.25">
      <c r="A56" s="516"/>
      <c r="B56" s="516"/>
      <c r="C56" s="516"/>
      <c r="D56" s="516"/>
      <c r="E56" s="516"/>
      <c r="F56" s="516"/>
      <c r="G56" s="516"/>
      <c r="H56" s="516"/>
      <c r="I56" s="516"/>
      <c r="J56" s="516"/>
      <c r="K56" s="516"/>
      <c r="L56" s="516"/>
      <c r="M56" s="516"/>
      <c r="N56" s="516"/>
      <c r="O56" s="516"/>
      <c r="P56" s="516"/>
      <c r="Q56" s="516"/>
      <c r="R56" s="516"/>
      <c r="S56" s="538"/>
      <c r="T56" s="538"/>
      <c r="U56" s="538"/>
      <c r="V56" s="538"/>
      <c r="W56" s="538"/>
      <c r="X56" s="538"/>
      <c r="Y56" s="538"/>
      <c r="Z56" s="538"/>
    </row>
    <row r="57" spans="1:26" x14ac:dyDescent="0.25">
      <c r="A57" s="516"/>
      <c r="B57" s="516"/>
      <c r="C57" s="516"/>
      <c r="D57" s="516"/>
      <c r="E57" s="516"/>
      <c r="F57" s="516"/>
      <c r="G57" s="516"/>
      <c r="H57" s="516"/>
      <c r="I57" s="516"/>
      <c r="J57" s="516"/>
      <c r="K57" s="516"/>
      <c r="L57" s="516"/>
      <c r="M57" s="516"/>
      <c r="N57" s="516"/>
      <c r="O57" s="516"/>
      <c r="P57" s="516"/>
      <c r="Q57" s="516"/>
      <c r="R57" s="516"/>
      <c r="S57" s="538"/>
      <c r="T57" s="538"/>
      <c r="U57" s="538"/>
      <c r="V57" s="538"/>
      <c r="W57" s="538"/>
      <c r="X57" s="538"/>
      <c r="Y57" s="538"/>
      <c r="Z57" s="538"/>
    </row>
    <row r="58" spans="1:26" x14ac:dyDescent="0.25">
      <c r="A58" s="516"/>
      <c r="B58" s="516"/>
      <c r="C58" s="516"/>
      <c r="D58" s="516"/>
      <c r="E58" s="516"/>
      <c r="F58" s="516"/>
      <c r="G58" s="516"/>
      <c r="H58" s="516"/>
      <c r="I58" s="516"/>
      <c r="J58" s="516"/>
      <c r="K58" s="516"/>
      <c r="L58" s="516"/>
      <c r="M58" s="516"/>
      <c r="N58" s="516"/>
      <c r="O58" s="516"/>
      <c r="P58" s="516"/>
      <c r="Q58" s="516"/>
      <c r="R58" s="516"/>
      <c r="S58" s="538"/>
      <c r="T58" s="538"/>
      <c r="U58" s="538"/>
      <c r="V58" s="538"/>
      <c r="W58" s="538"/>
      <c r="X58" s="538"/>
      <c r="Y58" s="538"/>
      <c r="Z58" s="538"/>
    </row>
    <row r="59" spans="1:26" x14ac:dyDescent="0.25">
      <c r="A59" s="516"/>
      <c r="B59" s="516"/>
      <c r="C59" s="516"/>
      <c r="D59" s="516"/>
      <c r="E59" s="516"/>
      <c r="F59" s="516"/>
      <c r="G59" s="516"/>
      <c r="H59" s="516"/>
      <c r="I59" s="516"/>
      <c r="J59" s="516"/>
      <c r="K59" s="516"/>
      <c r="L59" s="516"/>
      <c r="M59" s="516"/>
      <c r="N59" s="516"/>
      <c r="O59" s="516"/>
      <c r="P59" s="516"/>
      <c r="Q59" s="516"/>
      <c r="R59" s="516"/>
      <c r="S59" s="538"/>
      <c r="T59" s="538"/>
      <c r="U59" s="538"/>
      <c r="V59" s="538"/>
      <c r="W59" s="538"/>
      <c r="X59" s="538"/>
      <c r="Y59" s="538"/>
      <c r="Z59" s="538"/>
    </row>
    <row r="60" spans="1:26" x14ac:dyDescent="0.25">
      <c r="A60" s="516"/>
      <c r="B60" s="516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538"/>
      <c r="T60" s="538"/>
      <c r="U60" s="538"/>
      <c r="V60" s="538"/>
      <c r="W60" s="538"/>
      <c r="X60" s="538"/>
      <c r="Y60" s="538"/>
      <c r="Z60" s="538"/>
    </row>
    <row r="61" spans="1:26" x14ac:dyDescent="0.25">
      <c r="A61" s="516"/>
      <c r="B61" s="516"/>
      <c r="C61" s="516"/>
      <c r="D61" s="516"/>
      <c r="E61" s="516"/>
      <c r="F61" s="516"/>
      <c r="G61" s="516"/>
      <c r="H61" s="516"/>
      <c r="I61" s="516"/>
      <c r="J61" s="516"/>
      <c r="K61" s="516"/>
      <c r="L61" s="516"/>
      <c r="M61" s="516"/>
      <c r="N61" s="516"/>
      <c r="O61" s="516"/>
      <c r="P61" s="516"/>
      <c r="Q61" s="516"/>
      <c r="R61" s="516"/>
      <c r="S61" s="538"/>
      <c r="T61" s="538"/>
      <c r="U61" s="538"/>
      <c r="V61" s="538"/>
      <c r="W61" s="538"/>
      <c r="X61" s="538"/>
      <c r="Y61" s="538"/>
      <c r="Z61" s="538"/>
    </row>
    <row r="62" spans="1:26" x14ac:dyDescent="0.25">
      <c r="A62" s="516"/>
      <c r="B62" s="516"/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R62" s="516"/>
      <c r="S62" s="538"/>
      <c r="T62" s="538"/>
      <c r="U62" s="538"/>
      <c r="V62" s="538"/>
      <c r="W62" s="538"/>
      <c r="X62" s="538"/>
      <c r="Y62" s="538"/>
      <c r="Z62" s="538"/>
    </row>
    <row r="63" spans="1:26" x14ac:dyDescent="0.25">
      <c r="A63" s="516"/>
      <c r="B63" s="516"/>
      <c r="C63" s="516"/>
      <c r="D63" s="516"/>
      <c r="E63" s="516"/>
      <c r="F63" s="516"/>
      <c r="G63" s="516"/>
      <c r="H63" s="516"/>
      <c r="I63" s="516"/>
      <c r="J63" s="516"/>
      <c r="K63" s="516"/>
      <c r="L63" s="516"/>
      <c r="M63" s="516"/>
      <c r="N63" s="516"/>
      <c r="O63" s="516"/>
      <c r="P63" s="516"/>
      <c r="Q63" s="516"/>
      <c r="R63" s="516"/>
      <c r="S63" s="538"/>
      <c r="T63" s="538"/>
      <c r="U63" s="538"/>
      <c r="V63" s="538"/>
      <c r="W63" s="538"/>
      <c r="X63" s="538"/>
      <c r="Y63" s="538"/>
      <c r="Z63" s="538"/>
    </row>
    <row r="64" spans="1:26" x14ac:dyDescent="0.25">
      <c r="A64" s="516"/>
      <c r="B64" s="516"/>
      <c r="C64" s="516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6"/>
      <c r="O64" s="516"/>
      <c r="P64" s="516"/>
      <c r="Q64" s="516"/>
      <c r="R64" s="516"/>
      <c r="S64" s="538"/>
      <c r="T64" s="538"/>
      <c r="U64" s="538"/>
      <c r="V64" s="538"/>
      <c r="W64" s="538"/>
      <c r="X64" s="538"/>
      <c r="Y64" s="538"/>
      <c r="Z64" s="538"/>
    </row>
    <row r="65" spans="1:26" x14ac:dyDescent="0.25">
      <c r="A65" s="516"/>
      <c r="B65" s="516"/>
      <c r="C65" s="516"/>
      <c r="D65" s="516"/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538"/>
      <c r="T65" s="538"/>
      <c r="U65" s="538"/>
      <c r="V65" s="538"/>
      <c r="W65" s="538"/>
      <c r="X65" s="538"/>
      <c r="Y65" s="538"/>
      <c r="Z65" s="538"/>
    </row>
    <row r="66" spans="1:26" x14ac:dyDescent="0.25">
      <c r="A66" s="516"/>
      <c r="B66" s="516"/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38"/>
      <c r="T66" s="538"/>
      <c r="U66" s="538"/>
      <c r="V66" s="538"/>
      <c r="W66" s="538"/>
      <c r="X66" s="538"/>
      <c r="Y66" s="538"/>
      <c r="Z66" s="538"/>
    </row>
    <row r="67" spans="1:26" x14ac:dyDescent="0.25">
      <c r="A67" s="516"/>
      <c r="B67" s="516"/>
      <c r="C67" s="516"/>
      <c r="D67" s="516"/>
      <c r="E67" s="516"/>
      <c r="F67" s="516"/>
      <c r="G67" s="516"/>
      <c r="H67" s="516"/>
      <c r="I67" s="516"/>
      <c r="J67" s="516"/>
      <c r="K67" s="516"/>
      <c r="L67" s="516"/>
      <c r="M67" s="516"/>
      <c r="N67" s="516"/>
      <c r="O67" s="516"/>
      <c r="P67" s="516"/>
      <c r="Q67" s="516"/>
      <c r="R67" s="516"/>
      <c r="S67" s="538"/>
      <c r="T67" s="538"/>
      <c r="U67" s="538"/>
      <c r="V67" s="538"/>
      <c r="W67" s="538"/>
      <c r="X67" s="538"/>
      <c r="Y67" s="538"/>
      <c r="Z67" s="538"/>
    </row>
    <row r="68" spans="1:26" x14ac:dyDescent="0.25">
      <c r="A68" s="516"/>
      <c r="B68" s="516"/>
      <c r="C68" s="516"/>
      <c r="D68" s="516"/>
      <c r="E68" s="516"/>
      <c r="F68" s="516"/>
      <c r="G68" s="516"/>
      <c r="H68" s="516"/>
      <c r="I68" s="516"/>
      <c r="J68" s="516"/>
      <c r="K68" s="516"/>
      <c r="L68" s="516"/>
      <c r="M68" s="516"/>
      <c r="N68" s="516"/>
      <c r="O68" s="516"/>
      <c r="P68" s="516"/>
      <c r="Q68" s="516"/>
      <c r="R68" s="516"/>
      <c r="S68" s="538"/>
      <c r="T68" s="538"/>
      <c r="U68" s="538"/>
      <c r="V68" s="538"/>
      <c r="W68" s="538"/>
      <c r="X68" s="538"/>
      <c r="Y68" s="538"/>
      <c r="Z68" s="538"/>
    </row>
    <row r="69" spans="1:26" x14ac:dyDescent="0.25">
      <c r="A69" s="516"/>
      <c r="B69" s="516"/>
      <c r="C69" s="516"/>
      <c r="D69" s="516"/>
      <c r="E69" s="516"/>
      <c r="F69" s="516"/>
      <c r="G69" s="516"/>
      <c r="H69" s="516"/>
      <c r="I69" s="516"/>
      <c r="J69" s="516"/>
      <c r="K69" s="516"/>
      <c r="L69" s="516"/>
      <c r="M69" s="516"/>
      <c r="N69" s="516"/>
      <c r="O69" s="516"/>
      <c r="P69" s="516"/>
      <c r="Q69" s="516"/>
      <c r="R69" s="516"/>
      <c r="S69" s="538"/>
      <c r="T69" s="538"/>
      <c r="U69" s="538"/>
      <c r="V69" s="538"/>
      <c r="W69" s="538"/>
      <c r="X69" s="538"/>
      <c r="Y69" s="538"/>
      <c r="Z69" s="538"/>
    </row>
    <row r="70" spans="1:26" x14ac:dyDescent="0.25">
      <c r="A70" s="516"/>
      <c r="B70" s="516"/>
      <c r="C70" s="516"/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516"/>
      <c r="R70" s="516"/>
      <c r="S70" s="538"/>
      <c r="T70" s="538"/>
      <c r="U70" s="538"/>
      <c r="V70" s="538"/>
      <c r="W70" s="538"/>
      <c r="X70" s="538"/>
      <c r="Y70" s="538"/>
      <c r="Z70" s="538"/>
    </row>
    <row r="71" spans="1:26" x14ac:dyDescent="0.25">
      <c r="A71" s="516"/>
      <c r="B71" s="516"/>
      <c r="C71" s="516"/>
      <c r="D71" s="516"/>
      <c r="E71" s="516"/>
      <c r="F71" s="516"/>
      <c r="G71" s="516"/>
      <c r="H71" s="516"/>
      <c r="I71" s="516"/>
      <c r="J71" s="516"/>
      <c r="K71" s="516"/>
      <c r="L71" s="516"/>
      <c r="M71" s="516"/>
      <c r="N71" s="516"/>
      <c r="O71" s="516"/>
      <c r="P71" s="516"/>
      <c r="Q71" s="516"/>
      <c r="R71" s="516"/>
      <c r="S71" s="538"/>
      <c r="T71" s="538"/>
      <c r="U71" s="538"/>
      <c r="V71" s="538"/>
      <c r="W71" s="538"/>
      <c r="X71" s="538"/>
      <c r="Y71" s="538"/>
      <c r="Z71" s="538"/>
    </row>
    <row r="72" spans="1:26" x14ac:dyDescent="0.25">
      <c r="A72" s="516"/>
      <c r="B72" s="516"/>
      <c r="C72" s="516"/>
      <c r="D72" s="516"/>
      <c r="E72" s="516"/>
      <c r="F72" s="516"/>
      <c r="G72" s="516"/>
      <c r="H72" s="516"/>
      <c r="I72" s="516"/>
      <c r="J72" s="516"/>
      <c r="K72" s="516"/>
      <c r="L72" s="516"/>
      <c r="M72" s="516"/>
      <c r="N72" s="516"/>
      <c r="O72" s="516"/>
      <c r="P72" s="516"/>
      <c r="Q72" s="516"/>
      <c r="R72" s="516"/>
      <c r="S72" s="538"/>
      <c r="T72" s="538"/>
      <c r="U72" s="538"/>
      <c r="V72" s="538"/>
      <c r="W72" s="538"/>
      <c r="X72" s="538"/>
      <c r="Y72" s="538"/>
      <c r="Z72" s="538"/>
    </row>
    <row r="73" spans="1:26" x14ac:dyDescent="0.25">
      <c r="A73" s="516"/>
      <c r="B73" s="516"/>
      <c r="C73" s="516"/>
      <c r="D73" s="516"/>
      <c r="E73" s="516"/>
      <c r="F73" s="516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516"/>
      <c r="S73" s="538"/>
      <c r="T73" s="538"/>
      <c r="U73" s="538"/>
      <c r="V73" s="538"/>
      <c r="W73" s="538"/>
      <c r="X73" s="538"/>
      <c r="Y73" s="538"/>
      <c r="Z73" s="538"/>
    </row>
    <row r="74" spans="1:26" x14ac:dyDescent="0.25">
      <c r="A74" s="516"/>
      <c r="B74" s="516"/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38"/>
      <c r="T74" s="538"/>
      <c r="U74" s="538"/>
      <c r="V74" s="538"/>
      <c r="W74" s="538"/>
      <c r="X74" s="538"/>
      <c r="Y74" s="538"/>
      <c r="Z74" s="538"/>
    </row>
    <row r="75" spans="1:26" x14ac:dyDescent="0.25">
      <c r="A75" s="516"/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38"/>
      <c r="T75" s="538"/>
      <c r="U75" s="538"/>
      <c r="V75" s="538"/>
      <c r="W75" s="538"/>
      <c r="X75" s="538"/>
      <c r="Y75" s="538"/>
      <c r="Z75" s="538"/>
    </row>
    <row r="76" spans="1:26" x14ac:dyDescent="0.25">
      <c r="A76" s="516"/>
      <c r="B76" s="516"/>
      <c r="C76" s="516"/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38"/>
      <c r="T76" s="538"/>
      <c r="U76" s="538"/>
      <c r="V76" s="538"/>
      <c r="W76" s="538"/>
      <c r="X76" s="538"/>
      <c r="Y76" s="538"/>
      <c r="Z76" s="538"/>
    </row>
    <row r="77" spans="1:26" x14ac:dyDescent="0.25">
      <c r="A77" s="516"/>
      <c r="B77" s="516"/>
      <c r="C77" s="516"/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38"/>
      <c r="T77" s="538"/>
      <c r="U77" s="538"/>
      <c r="V77" s="538"/>
      <c r="W77" s="538"/>
      <c r="X77" s="538"/>
      <c r="Y77" s="538"/>
      <c r="Z77" s="538"/>
    </row>
    <row r="78" spans="1:26" x14ac:dyDescent="0.25">
      <c r="A78" s="516"/>
      <c r="B78" s="516"/>
      <c r="C78" s="516"/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38"/>
      <c r="T78" s="538"/>
      <c r="U78" s="538"/>
      <c r="V78" s="538"/>
      <c r="W78" s="538"/>
      <c r="X78" s="538"/>
      <c r="Y78" s="538"/>
      <c r="Z78" s="538"/>
    </row>
    <row r="79" spans="1:26" x14ac:dyDescent="0.25">
      <c r="A79" s="516"/>
      <c r="B79" s="516"/>
      <c r="C79" s="516"/>
      <c r="D79" s="516"/>
      <c r="E79" s="516"/>
      <c r="F79" s="516"/>
      <c r="G79" s="516"/>
      <c r="H79" s="516"/>
      <c r="I79" s="516"/>
      <c r="J79" s="516"/>
      <c r="K79" s="516"/>
      <c r="L79" s="516"/>
      <c r="M79" s="516"/>
      <c r="N79" s="516"/>
      <c r="O79" s="516"/>
      <c r="P79" s="516"/>
      <c r="Q79" s="516"/>
      <c r="R79" s="516"/>
      <c r="S79" s="538"/>
      <c r="T79" s="538"/>
      <c r="U79" s="538"/>
      <c r="V79" s="538"/>
      <c r="W79" s="538"/>
      <c r="X79" s="538"/>
      <c r="Y79" s="538"/>
      <c r="Z79" s="538"/>
    </row>
    <row r="80" spans="1:26" x14ac:dyDescent="0.25">
      <c r="A80" s="516"/>
      <c r="B80" s="516"/>
      <c r="C80" s="516"/>
      <c r="D80" s="516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516"/>
      <c r="Q80" s="516"/>
      <c r="R80" s="516"/>
      <c r="S80" s="538"/>
      <c r="T80" s="538"/>
      <c r="U80" s="538"/>
      <c r="V80" s="538"/>
      <c r="W80" s="538"/>
      <c r="X80" s="538"/>
      <c r="Y80" s="538"/>
      <c r="Z80" s="538"/>
    </row>
    <row r="81" spans="1:26" x14ac:dyDescent="0.25">
      <c r="A81" s="516"/>
      <c r="B81" s="516"/>
      <c r="C81" s="516"/>
      <c r="D81" s="516"/>
      <c r="E81" s="516"/>
      <c r="F81" s="516"/>
      <c r="G81" s="516"/>
      <c r="H81" s="516"/>
      <c r="I81" s="516"/>
      <c r="J81" s="516"/>
      <c r="K81" s="516"/>
      <c r="L81" s="516"/>
      <c r="M81" s="516"/>
      <c r="N81" s="516"/>
      <c r="O81" s="516"/>
      <c r="P81" s="516"/>
      <c r="Q81" s="516"/>
      <c r="R81" s="516"/>
      <c r="S81" s="538"/>
      <c r="T81" s="538"/>
      <c r="U81" s="538"/>
      <c r="V81" s="538"/>
      <c r="W81" s="538"/>
      <c r="X81" s="538"/>
      <c r="Y81" s="538"/>
      <c r="Z81" s="538"/>
    </row>
    <row r="82" spans="1:26" x14ac:dyDescent="0.25">
      <c r="A82" s="516"/>
      <c r="B82" s="516"/>
      <c r="C82" s="516"/>
      <c r="D82" s="516"/>
      <c r="E82" s="516"/>
      <c r="F82" s="516"/>
      <c r="G82" s="516"/>
      <c r="H82" s="516"/>
      <c r="I82" s="516"/>
      <c r="J82" s="516"/>
      <c r="K82" s="516"/>
      <c r="L82" s="516"/>
      <c r="M82" s="516"/>
      <c r="N82" s="516"/>
      <c r="O82" s="516"/>
      <c r="P82" s="516"/>
      <c r="Q82" s="516"/>
      <c r="R82" s="516"/>
      <c r="S82" s="538"/>
      <c r="T82" s="538"/>
      <c r="U82" s="538"/>
      <c r="V82" s="538"/>
      <c r="W82" s="538"/>
      <c r="X82" s="538"/>
      <c r="Y82" s="538"/>
      <c r="Z82" s="538"/>
    </row>
    <row r="83" spans="1:26" x14ac:dyDescent="0.25">
      <c r="A83" s="516"/>
      <c r="B83" s="516"/>
      <c r="C83" s="516"/>
      <c r="D83" s="516"/>
      <c r="E83" s="516"/>
      <c r="F83" s="516"/>
      <c r="G83" s="516"/>
      <c r="H83" s="516"/>
      <c r="I83" s="516"/>
      <c r="J83" s="516"/>
      <c r="K83" s="516"/>
      <c r="L83" s="516"/>
      <c r="M83" s="516"/>
      <c r="N83" s="516"/>
      <c r="O83" s="516"/>
      <c r="P83" s="516"/>
      <c r="Q83" s="516"/>
      <c r="R83" s="516"/>
      <c r="S83" s="538"/>
      <c r="T83" s="538"/>
      <c r="U83" s="538"/>
      <c r="V83" s="538"/>
      <c r="W83" s="538"/>
      <c r="X83" s="538"/>
      <c r="Y83" s="538"/>
      <c r="Z83" s="538"/>
    </row>
    <row r="84" spans="1:26" x14ac:dyDescent="0.25">
      <c r="A84" s="516"/>
      <c r="B84" s="516"/>
      <c r="C84" s="516"/>
      <c r="D84" s="516"/>
      <c r="E84" s="516"/>
      <c r="F84" s="516"/>
      <c r="G84" s="516"/>
      <c r="H84" s="516"/>
      <c r="I84" s="516"/>
      <c r="J84" s="516"/>
      <c r="K84" s="516"/>
      <c r="L84" s="516"/>
      <c r="M84" s="516"/>
      <c r="N84" s="516"/>
      <c r="O84" s="516"/>
      <c r="P84" s="516"/>
      <c r="Q84" s="516"/>
      <c r="R84" s="516"/>
      <c r="S84" s="538"/>
      <c r="T84" s="538"/>
      <c r="U84" s="538"/>
      <c r="V84" s="538"/>
      <c r="W84" s="538"/>
      <c r="X84" s="538"/>
      <c r="Y84" s="538"/>
      <c r="Z84" s="538"/>
    </row>
    <row r="85" spans="1:26" x14ac:dyDescent="0.25">
      <c r="A85" s="516"/>
      <c r="B85" s="516"/>
      <c r="C85" s="516"/>
      <c r="D85" s="516"/>
      <c r="E85" s="516"/>
      <c r="F85" s="516"/>
      <c r="G85" s="516"/>
      <c r="H85" s="516"/>
      <c r="I85" s="516"/>
      <c r="J85" s="516"/>
      <c r="K85" s="516"/>
      <c r="L85" s="516"/>
      <c r="M85" s="516"/>
      <c r="N85" s="516"/>
      <c r="O85" s="516"/>
      <c r="P85" s="516"/>
      <c r="Q85" s="516"/>
      <c r="R85" s="516"/>
      <c r="S85" s="538"/>
      <c r="T85" s="538"/>
      <c r="U85" s="538"/>
      <c r="V85" s="538"/>
      <c r="W85" s="538"/>
      <c r="X85" s="538"/>
      <c r="Y85" s="538"/>
      <c r="Z85" s="538"/>
    </row>
    <row r="86" spans="1:26" x14ac:dyDescent="0.25">
      <c r="A86" s="516"/>
      <c r="B86" s="516"/>
      <c r="C86" s="516"/>
      <c r="D86" s="516"/>
      <c r="E86" s="516"/>
      <c r="F86" s="516"/>
      <c r="G86" s="516"/>
      <c r="H86" s="516"/>
      <c r="I86" s="516"/>
      <c r="J86" s="516"/>
      <c r="K86" s="516"/>
      <c r="L86" s="516"/>
      <c r="M86" s="516"/>
      <c r="N86" s="516"/>
      <c r="O86" s="516"/>
      <c r="P86" s="516"/>
      <c r="Q86" s="516"/>
      <c r="R86" s="516"/>
      <c r="S86" s="538"/>
      <c r="T86" s="538"/>
      <c r="U86" s="538"/>
      <c r="V86" s="538"/>
      <c r="W86" s="538"/>
      <c r="X86" s="538"/>
      <c r="Y86" s="538"/>
      <c r="Z86" s="538"/>
    </row>
    <row r="87" spans="1:26" x14ac:dyDescent="0.25">
      <c r="A87" s="516"/>
      <c r="B87" s="516"/>
      <c r="C87" s="516"/>
      <c r="D87" s="516"/>
      <c r="E87" s="516"/>
      <c r="F87" s="516"/>
      <c r="G87" s="516"/>
      <c r="H87" s="516"/>
      <c r="I87" s="516"/>
      <c r="J87" s="516"/>
      <c r="K87" s="516"/>
      <c r="L87" s="516"/>
      <c r="M87" s="516"/>
      <c r="N87" s="516"/>
      <c r="O87" s="516"/>
      <c r="P87" s="516"/>
      <c r="Q87" s="516"/>
      <c r="R87" s="516"/>
      <c r="S87" s="538"/>
      <c r="T87" s="538"/>
      <c r="U87" s="538"/>
      <c r="V87" s="538"/>
      <c r="W87" s="538"/>
      <c r="X87" s="538"/>
      <c r="Y87" s="538"/>
      <c r="Z87" s="538"/>
    </row>
    <row r="88" spans="1:26" x14ac:dyDescent="0.25">
      <c r="A88" s="516"/>
      <c r="B88" s="516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516"/>
      <c r="O88" s="516"/>
      <c r="P88" s="516"/>
      <c r="Q88" s="516"/>
      <c r="R88" s="516"/>
      <c r="S88" s="538"/>
      <c r="T88" s="538"/>
      <c r="U88" s="538"/>
      <c r="V88" s="538"/>
      <c r="W88" s="538"/>
      <c r="X88" s="538"/>
      <c r="Y88" s="538"/>
      <c r="Z88" s="538"/>
    </row>
    <row r="89" spans="1:26" x14ac:dyDescent="0.25">
      <c r="A89" s="516"/>
      <c r="B89" s="516"/>
      <c r="C89" s="516"/>
      <c r="D89" s="516"/>
      <c r="E89" s="516"/>
      <c r="F89" s="516"/>
      <c r="G89" s="516"/>
      <c r="H89" s="516"/>
      <c r="I89" s="516"/>
      <c r="J89" s="516"/>
      <c r="K89" s="516"/>
      <c r="L89" s="516"/>
      <c r="M89" s="516"/>
      <c r="N89" s="516"/>
      <c r="O89" s="516"/>
      <c r="P89" s="516"/>
      <c r="Q89" s="516"/>
      <c r="R89" s="516"/>
      <c r="S89" s="538"/>
      <c r="T89" s="538"/>
      <c r="U89" s="538"/>
      <c r="V89" s="538"/>
      <c r="W89" s="538"/>
      <c r="X89" s="538"/>
      <c r="Y89" s="538"/>
      <c r="Z89" s="538"/>
    </row>
    <row r="90" spans="1:26" x14ac:dyDescent="0.25">
      <c r="A90" s="516"/>
      <c r="B90" s="516"/>
      <c r="C90" s="516"/>
      <c r="D90" s="516"/>
      <c r="E90" s="516"/>
      <c r="F90" s="516"/>
      <c r="G90" s="516"/>
      <c r="H90" s="516"/>
      <c r="I90" s="516"/>
      <c r="J90" s="516"/>
      <c r="K90" s="516"/>
      <c r="L90" s="516"/>
      <c r="M90" s="516"/>
      <c r="N90" s="516"/>
      <c r="O90" s="516"/>
      <c r="P90" s="516"/>
      <c r="Q90" s="516"/>
      <c r="R90" s="516"/>
      <c r="S90" s="538"/>
      <c r="T90" s="538"/>
      <c r="U90" s="538"/>
      <c r="V90" s="538"/>
      <c r="W90" s="538"/>
      <c r="X90" s="538"/>
      <c r="Y90" s="538"/>
      <c r="Z90" s="538"/>
    </row>
    <row r="91" spans="1:26" x14ac:dyDescent="0.25">
      <c r="A91" s="516"/>
      <c r="B91" s="516"/>
      <c r="C91" s="516"/>
      <c r="D91" s="516"/>
      <c r="E91" s="516"/>
      <c r="F91" s="516"/>
      <c r="G91" s="516"/>
      <c r="H91" s="516"/>
      <c r="I91" s="516"/>
      <c r="J91" s="516"/>
      <c r="K91" s="516"/>
      <c r="L91" s="516"/>
      <c r="M91" s="516"/>
      <c r="N91" s="516"/>
      <c r="O91" s="516"/>
      <c r="P91" s="516"/>
      <c r="Q91" s="516"/>
      <c r="R91" s="516"/>
      <c r="S91" s="538"/>
      <c r="T91" s="538"/>
      <c r="U91" s="538"/>
      <c r="V91" s="538"/>
      <c r="W91" s="538"/>
      <c r="X91" s="538"/>
      <c r="Y91" s="538"/>
      <c r="Z91" s="538"/>
    </row>
    <row r="92" spans="1:26" x14ac:dyDescent="0.25">
      <c r="A92" s="516"/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6"/>
      <c r="P92" s="516"/>
      <c r="Q92" s="516"/>
      <c r="R92" s="516"/>
      <c r="S92" s="538"/>
      <c r="T92" s="538"/>
      <c r="U92" s="538"/>
      <c r="V92" s="538"/>
      <c r="W92" s="538"/>
      <c r="X92" s="538"/>
      <c r="Y92" s="538"/>
      <c r="Z92" s="538"/>
    </row>
    <row r="93" spans="1:26" x14ac:dyDescent="0.25">
      <c r="A93" s="516"/>
      <c r="B93" s="516"/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6"/>
      <c r="P93" s="516"/>
      <c r="Q93" s="516"/>
      <c r="R93" s="516"/>
      <c r="S93" s="538"/>
      <c r="T93" s="538"/>
      <c r="U93" s="538"/>
      <c r="V93" s="538"/>
      <c r="W93" s="538"/>
      <c r="X93" s="538"/>
      <c r="Y93" s="538"/>
      <c r="Z93" s="538"/>
    </row>
    <row r="94" spans="1:26" x14ac:dyDescent="0.25">
      <c r="A94" s="516"/>
      <c r="B94" s="516"/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6"/>
      <c r="P94" s="516"/>
      <c r="Q94" s="516"/>
      <c r="R94" s="516"/>
      <c r="S94" s="538"/>
      <c r="T94" s="538"/>
      <c r="U94" s="538"/>
      <c r="V94" s="538"/>
      <c r="W94" s="538"/>
      <c r="X94" s="538"/>
      <c r="Y94" s="538"/>
      <c r="Z94" s="538"/>
    </row>
    <row r="95" spans="1:26" x14ac:dyDescent="0.25">
      <c r="A95" s="516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6"/>
      <c r="P95" s="516"/>
      <c r="Q95" s="516"/>
      <c r="R95" s="516"/>
      <c r="S95" s="538"/>
      <c r="T95" s="538"/>
      <c r="U95" s="538"/>
      <c r="V95" s="538"/>
      <c r="W95" s="538"/>
      <c r="X95" s="538"/>
      <c r="Y95" s="538"/>
      <c r="Z95" s="538"/>
    </row>
    <row r="96" spans="1:26" x14ac:dyDescent="0.25">
      <c r="A96" s="516"/>
      <c r="B96" s="516"/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6"/>
      <c r="P96" s="516"/>
      <c r="Q96" s="516"/>
      <c r="R96" s="516"/>
      <c r="S96" s="538"/>
      <c r="T96" s="538"/>
      <c r="U96" s="538"/>
      <c r="V96" s="538"/>
      <c r="W96" s="538"/>
      <c r="X96" s="538"/>
      <c r="Y96" s="538"/>
      <c r="Z96" s="538"/>
    </row>
    <row r="97" spans="1:26" x14ac:dyDescent="0.25">
      <c r="A97" s="516"/>
      <c r="B97" s="516"/>
      <c r="C97" s="516"/>
      <c r="D97" s="516"/>
      <c r="E97" s="516"/>
      <c r="F97" s="516"/>
      <c r="G97" s="516"/>
      <c r="H97" s="516"/>
      <c r="I97" s="516"/>
      <c r="J97" s="516"/>
      <c r="K97" s="516"/>
      <c r="L97" s="516"/>
      <c r="M97" s="516"/>
      <c r="N97" s="516"/>
      <c r="O97" s="516"/>
      <c r="P97" s="516"/>
      <c r="Q97" s="516"/>
      <c r="R97" s="516"/>
      <c r="S97" s="538"/>
      <c r="T97" s="538"/>
      <c r="U97" s="538"/>
      <c r="V97" s="538"/>
      <c r="W97" s="538"/>
      <c r="X97" s="538"/>
      <c r="Y97" s="538"/>
      <c r="Z97" s="538"/>
    </row>
    <row r="98" spans="1:26" x14ac:dyDescent="0.25">
      <c r="A98" s="516"/>
      <c r="B98" s="516"/>
      <c r="C98" s="516"/>
      <c r="D98" s="516"/>
      <c r="E98" s="516"/>
      <c r="F98" s="516"/>
      <c r="G98" s="516"/>
      <c r="H98" s="516"/>
      <c r="I98" s="516"/>
      <c r="J98" s="516"/>
      <c r="K98" s="516"/>
      <c r="L98" s="516"/>
      <c r="M98" s="516"/>
      <c r="N98" s="516"/>
      <c r="O98" s="516"/>
      <c r="P98" s="516"/>
      <c r="Q98" s="516"/>
      <c r="R98" s="516"/>
      <c r="S98" s="538"/>
      <c r="T98" s="538"/>
      <c r="U98" s="538"/>
      <c r="V98" s="538"/>
      <c r="W98" s="538"/>
      <c r="X98" s="538"/>
      <c r="Y98" s="538"/>
      <c r="Z98" s="538"/>
    </row>
    <row r="99" spans="1:26" x14ac:dyDescent="0.25">
      <c r="A99" s="516"/>
      <c r="B99" s="516"/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6"/>
      <c r="P99" s="516"/>
      <c r="Q99" s="516"/>
      <c r="R99" s="516"/>
      <c r="S99" s="538"/>
      <c r="T99" s="538"/>
      <c r="U99" s="538"/>
      <c r="V99" s="538"/>
      <c r="W99" s="538"/>
      <c r="X99" s="538"/>
      <c r="Y99" s="538"/>
      <c r="Z99" s="538"/>
    </row>
    <row r="100" spans="1:26" x14ac:dyDescent="0.25">
      <c r="A100" s="516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6"/>
      <c r="P100" s="516"/>
      <c r="Q100" s="516"/>
      <c r="R100" s="516"/>
      <c r="S100" s="538"/>
      <c r="T100" s="538"/>
      <c r="U100" s="538"/>
      <c r="V100" s="538"/>
      <c r="W100" s="538"/>
      <c r="X100" s="538"/>
      <c r="Y100" s="538"/>
      <c r="Z100" s="538"/>
    </row>
  </sheetData>
  <mergeCells count="17">
    <mergeCell ref="L10:N10"/>
    <mergeCell ref="P4:Q4"/>
    <mergeCell ref="E12:F12"/>
    <mergeCell ref="E27:F27"/>
    <mergeCell ref="E36:F36"/>
    <mergeCell ref="L12:N12"/>
    <mergeCell ref="L13:N13"/>
    <mergeCell ref="L14:N14"/>
    <mergeCell ref="L7:N7"/>
    <mergeCell ref="L8:N8"/>
    <mergeCell ref="L9:N9"/>
    <mergeCell ref="E43:F43"/>
    <mergeCell ref="P17:Q17"/>
    <mergeCell ref="L20:M20"/>
    <mergeCell ref="L21:M21"/>
    <mergeCell ref="L22:M22"/>
    <mergeCell ref="L25:M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A9DB"/>
  </sheetPr>
  <dimension ref="A1:AH942"/>
  <sheetViews>
    <sheetView tabSelected="1" zoomScale="90" zoomScaleNormal="90" workbookViewId="0">
      <selection activeCell="I27" sqref="I27"/>
    </sheetView>
  </sheetViews>
  <sheetFormatPr defaultColWidth="14.42578125" defaultRowHeight="15" customHeight="1" x14ac:dyDescent="0.25"/>
  <cols>
    <col min="1" max="1" width="37.7109375" customWidth="1"/>
    <col min="2" max="2" width="12.28515625" customWidth="1"/>
    <col min="3" max="3" width="20.7109375" customWidth="1"/>
    <col min="4" max="4" width="18.7109375" customWidth="1"/>
    <col min="5" max="5" width="25.140625" customWidth="1"/>
    <col min="6" max="6" width="22.7109375" customWidth="1"/>
    <col min="7" max="7" width="38.7109375" customWidth="1"/>
    <col min="8" max="10" width="20.7109375" customWidth="1"/>
    <col min="11" max="12" width="18.140625" bestFit="1" customWidth="1"/>
    <col min="13" max="26" width="12.140625" customWidth="1"/>
  </cols>
  <sheetData>
    <row r="1" spans="1:30" ht="15" customHeight="1" x14ac:dyDescent="0.25">
      <c r="A1" s="516"/>
      <c r="B1" s="354"/>
      <c r="C1" s="516"/>
      <c r="D1" s="354"/>
      <c r="E1" s="354"/>
      <c r="F1" s="354"/>
      <c r="G1" s="354"/>
      <c r="H1" s="354"/>
      <c r="I1" s="354"/>
      <c r="J1" s="354"/>
      <c r="K1" s="354"/>
      <c r="L1" s="354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4"/>
      <c r="AB1" s="214"/>
      <c r="AC1" s="214"/>
      <c r="AD1" s="214"/>
    </row>
    <row r="2" spans="1:30" ht="15" customHeight="1" x14ac:dyDescent="0.25">
      <c r="A2" s="540" t="s">
        <v>0</v>
      </c>
      <c r="B2" s="354"/>
      <c r="C2" s="1069"/>
      <c r="D2" s="1070"/>
      <c r="E2" s="354"/>
      <c r="F2" s="354"/>
      <c r="G2" s="354"/>
      <c r="H2" s="354"/>
      <c r="I2" s="354"/>
      <c r="J2" s="354"/>
      <c r="K2" s="354"/>
      <c r="L2" s="354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4"/>
      <c r="AB2" s="214"/>
      <c r="AC2" s="214"/>
      <c r="AD2" s="214"/>
    </row>
    <row r="3" spans="1:30" ht="15" customHeight="1" x14ac:dyDescent="0.25">
      <c r="A3" s="516"/>
      <c r="B3" s="517"/>
      <c r="C3" s="518"/>
      <c r="D3" s="518"/>
      <c r="E3" s="518"/>
      <c r="F3" s="518"/>
      <c r="G3" s="354"/>
      <c r="H3" s="354"/>
      <c r="I3" s="354"/>
      <c r="J3" s="354"/>
      <c r="K3" s="516"/>
      <c r="L3" s="354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4"/>
      <c r="AB3" s="214"/>
      <c r="AC3" s="214"/>
      <c r="AD3" s="214"/>
    </row>
    <row r="4" spans="1:30" ht="15" customHeight="1" x14ac:dyDescent="0.25">
      <c r="A4" s="432" t="s">
        <v>148</v>
      </c>
      <c r="B4" s="433"/>
      <c r="C4" s="433"/>
      <c r="D4" s="434" t="s">
        <v>149</v>
      </c>
      <c r="E4" s="435" t="s">
        <v>150</v>
      </c>
      <c r="F4" s="301"/>
      <c r="G4" s="641" t="s">
        <v>151</v>
      </c>
      <c r="H4" s="642"/>
      <c r="I4" s="642"/>
      <c r="J4" s="643"/>
      <c r="K4" s="424"/>
      <c r="L4" s="354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4"/>
      <c r="AB4" s="214"/>
      <c r="AC4" s="214"/>
      <c r="AD4" s="214"/>
    </row>
    <row r="5" spans="1:30" ht="15" customHeight="1" x14ac:dyDescent="0.25">
      <c r="A5" s="644" t="s">
        <v>143</v>
      </c>
      <c r="B5" s="324"/>
      <c r="C5" s="324"/>
      <c r="D5" s="325"/>
      <c r="E5" s="326"/>
      <c r="F5" s="521"/>
      <c r="G5" s="645" t="s">
        <v>91</v>
      </c>
      <c r="H5" s="646" t="s">
        <v>152</v>
      </c>
      <c r="I5" s="646" t="s">
        <v>153</v>
      </c>
      <c r="J5" s="647" t="s">
        <v>154</v>
      </c>
      <c r="K5" s="424"/>
      <c r="L5" s="354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4"/>
      <c r="AB5" s="214"/>
      <c r="AC5" s="214"/>
      <c r="AD5" s="214"/>
    </row>
    <row r="6" spans="1:30" ht="15" customHeight="1" x14ac:dyDescent="0.25">
      <c r="A6" s="316" t="s">
        <v>155</v>
      </c>
      <c r="B6" s="313"/>
      <c r="C6" s="313"/>
      <c r="D6" s="398">
        <f>I14*H28</f>
        <v>148.92000000000002</v>
      </c>
      <c r="E6" s="402">
        <f>I15*H28</f>
        <v>48.144000000000005</v>
      </c>
      <c r="F6" s="522"/>
      <c r="G6" s="648" t="s">
        <v>149</v>
      </c>
      <c r="H6" s="649">
        <v>547500</v>
      </c>
      <c r="I6" s="650">
        <v>0.15</v>
      </c>
      <c r="J6" s="651">
        <f>H6-(H6*I6)</f>
        <v>465375</v>
      </c>
      <c r="K6" s="424"/>
      <c r="L6" s="354"/>
      <c r="M6" s="2"/>
      <c r="N6" s="2"/>
      <c r="O6" s="2"/>
      <c r="P6" s="2"/>
      <c r="Q6" s="2"/>
      <c r="R6" s="2"/>
      <c r="S6" s="215"/>
      <c r="T6" s="215"/>
      <c r="U6" s="215"/>
      <c r="V6" s="215"/>
      <c r="W6" s="215"/>
      <c r="X6" s="215"/>
      <c r="Y6" s="215"/>
      <c r="Z6" s="215"/>
      <c r="AA6" s="214"/>
      <c r="AB6" s="214"/>
      <c r="AC6" s="214"/>
      <c r="AD6" s="214"/>
    </row>
    <row r="7" spans="1:30" ht="15" customHeight="1" x14ac:dyDescent="0.25">
      <c r="A7" s="300" t="s">
        <v>156</v>
      </c>
      <c r="B7" s="301"/>
      <c r="C7" s="301"/>
      <c r="D7" s="334">
        <v>500</v>
      </c>
      <c r="E7" s="335">
        <v>500</v>
      </c>
      <c r="F7" s="522"/>
      <c r="G7" s="652" t="s">
        <v>150</v>
      </c>
      <c r="H7" s="653">
        <v>177000</v>
      </c>
      <c r="I7" s="654">
        <v>0.15</v>
      </c>
      <c r="J7" s="655">
        <f>H7-(H7*I7)</f>
        <v>150450</v>
      </c>
      <c r="K7" s="424"/>
      <c r="L7" s="354"/>
      <c r="M7" s="2"/>
      <c r="N7" s="2"/>
      <c r="O7" s="2"/>
      <c r="P7" s="2"/>
      <c r="Q7" s="2"/>
      <c r="R7" s="2"/>
      <c r="S7" s="215"/>
      <c r="T7" s="215"/>
      <c r="U7" s="215"/>
      <c r="V7" s="215"/>
      <c r="W7" s="215"/>
      <c r="X7" s="215"/>
      <c r="Y7" s="215"/>
      <c r="Z7" s="215"/>
      <c r="AA7" s="214"/>
      <c r="AB7" s="214"/>
      <c r="AC7" s="214"/>
      <c r="AD7" s="214"/>
    </row>
    <row r="8" spans="1:30" ht="15" customHeight="1" x14ac:dyDescent="0.25">
      <c r="A8" s="310" t="s">
        <v>157</v>
      </c>
      <c r="B8" s="317"/>
      <c r="C8" s="317"/>
      <c r="D8" s="311">
        <v>2.9</v>
      </c>
      <c r="E8" s="309">
        <f>D8*(1+0.025)^2</f>
        <v>3.0468124999999997</v>
      </c>
      <c r="F8" s="523"/>
      <c r="G8" s="2"/>
      <c r="H8" s="2"/>
      <c r="I8" s="2"/>
      <c r="J8" s="354"/>
      <c r="K8" s="516"/>
      <c r="L8" s="354"/>
      <c r="M8" s="2"/>
      <c r="N8" s="2"/>
      <c r="O8" s="2"/>
      <c r="P8" s="2"/>
      <c r="Q8" s="2"/>
      <c r="R8" s="2"/>
      <c r="S8" s="215"/>
      <c r="T8" s="215"/>
      <c r="U8" s="215"/>
      <c r="V8" s="215"/>
      <c r="W8" s="215"/>
      <c r="X8" s="215"/>
      <c r="Y8" s="215"/>
      <c r="Z8" s="215"/>
      <c r="AA8" s="214"/>
      <c r="AB8" s="214"/>
      <c r="AC8" s="214"/>
      <c r="AD8" s="214"/>
    </row>
    <row r="9" spans="1:30" ht="15" customHeight="1" x14ac:dyDescent="0.25">
      <c r="A9" s="300" t="s">
        <v>158</v>
      </c>
      <c r="B9" s="301"/>
      <c r="C9" s="301"/>
      <c r="D9" s="336">
        <f>D7*D8</f>
        <v>1450</v>
      </c>
      <c r="E9" s="337">
        <f>E7*E8</f>
        <v>1523.4062499999998</v>
      </c>
      <c r="F9" s="524"/>
      <c r="G9" s="641" t="s">
        <v>159</v>
      </c>
      <c r="H9" s="642"/>
      <c r="I9" s="643"/>
      <c r="J9" s="354"/>
      <c r="K9" s="516"/>
      <c r="L9" s="354"/>
      <c r="M9" s="2"/>
      <c r="N9" s="2"/>
      <c r="O9" s="2"/>
      <c r="P9" s="2"/>
      <c r="Q9" s="2"/>
      <c r="R9" s="2"/>
      <c r="S9" s="215"/>
      <c r="T9" s="215"/>
      <c r="U9" s="215"/>
      <c r="V9" s="215"/>
      <c r="W9" s="215"/>
      <c r="X9" s="215"/>
      <c r="Y9" s="215"/>
      <c r="Z9" s="215"/>
      <c r="AA9" s="214"/>
      <c r="AB9" s="214"/>
      <c r="AC9" s="214"/>
      <c r="AD9" s="214"/>
    </row>
    <row r="10" spans="1:30" ht="15" customHeight="1" x14ac:dyDescent="0.25">
      <c r="A10" s="644" t="s">
        <v>160</v>
      </c>
      <c r="B10" s="324"/>
      <c r="C10" s="329"/>
      <c r="D10" s="330"/>
      <c r="E10" s="326"/>
      <c r="F10" s="521"/>
      <c r="G10" s="645" t="s">
        <v>91</v>
      </c>
      <c r="H10" s="656" t="s">
        <v>154</v>
      </c>
      <c r="I10" s="511"/>
      <c r="J10" s="424"/>
      <c r="K10" s="516"/>
      <c r="L10" s="539"/>
      <c r="M10" s="2"/>
      <c r="N10" s="2"/>
      <c r="O10" s="2"/>
      <c r="P10" s="2"/>
      <c r="Q10" s="2"/>
      <c r="R10" s="2"/>
      <c r="S10" s="215"/>
      <c r="T10" s="215"/>
      <c r="U10" s="215"/>
      <c r="V10" s="215"/>
      <c r="W10" s="215"/>
      <c r="X10" s="215"/>
      <c r="Y10" s="215"/>
      <c r="Z10" s="215"/>
      <c r="AA10" s="214"/>
      <c r="AB10" s="214"/>
      <c r="AC10" s="214"/>
      <c r="AD10" s="214"/>
    </row>
    <row r="11" spans="1:30" ht="15" customHeight="1" x14ac:dyDescent="0.25">
      <c r="A11" s="300" t="s">
        <v>155</v>
      </c>
      <c r="B11" s="299"/>
      <c r="C11" s="321"/>
      <c r="D11" s="399">
        <f>I17*H28</f>
        <v>148.92000000000002</v>
      </c>
      <c r="E11" s="402">
        <f>I18*H28</f>
        <v>48.144000000000005</v>
      </c>
      <c r="F11" s="522"/>
      <c r="G11" s="648" t="s">
        <v>149</v>
      </c>
      <c r="H11" s="657">
        <f>J6</f>
        <v>465375</v>
      </c>
      <c r="I11" s="425"/>
      <c r="J11" s="424"/>
      <c r="K11" s="516"/>
      <c r="L11" s="539"/>
      <c r="M11" s="2"/>
      <c r="N11" s="2"/>
      <c r="O11" s="2"/>
      <c r="P11" s="2"/>
      <c r="Q11" s="2"/>
      <c r="R11" s="2"/>
      <c r="S11" s="215"/>
      <c r="T11" s="215"/>
      <c r="U11" s="215"/>
      <c r="V11" s="215"/>
      <c r="W11" s="215"/>
      <c r="X11" s="215"/>
      <c r="Y11" s="215"/>
      <c r="Z11" s="215"/>
      <c r="AA11" s="214"/>
      <c r="AB11" s="214"/>
      <c r="AC11" s="214"/>
      <c r="AD11" s="214"/>
    </row>
    <row r="12" spans="1:30" ht="15" customHeight="1" x14ac:dyDescent="0.25">
      <c r="A12" s="322" t="s">
        <v>156</v>
      </c>
      <c r="B12" s="333"/>
      <c r="C12" s="338"/>
      <c r="D12" s="339">
        <v>750</v>
      </c>
      <c r="E12" s="335">
        <v>750</v>
      </c>
      <c r="F12" s="522"/>
      <c r="G12" s="658" t="s">
        <v>150</v>
      </c>
      <c r="H12" s="659">
        <f>J7</f>
        <v>150450</v>
      </c>
      <c r="I12" s="425"/>
      <c r="J12" s="424"/>
      <c r="K12" s="516"/>
      <c r="L12" s="539"/>
      <c r="M12" s="2"/>
      <c r="N12" s="2"/>
      <c r="O12" s="2"/>
      <c r="P12" s="2"/>
      <c r="Q12" s="2"/>
      <c r="R12" s="2"/>
      <c r="S12" s="215"/>
      <c r="T12" s="215"/>
      <c r="U12" s="215"/>
      <c r="V12" s="215"/>
      <c r="W12" s="215"/>
      <c r="X12" s="215"/>
      <c r="Y12" s="215"/>
      <c r="Z12" s="215"/>
      <c r="AA12" s="214"/>
      <c r="AB12" s="214"/>
      <c r="AC12" s="214"/>
      <c r="AD12" s="214"/>
    </row>
    <row r="13" spans="1:30" ht="15" customHeight="1" x14ac:dyDescent="0.25">
      <c r="A13" s="310" t="s">
        <v>157</v>
      </c>
      <c r="B13" s="317"/>
      <c r="C13" s="317"/>
      <c r="D13" s="311">
        <v>2.9</v>
      </c>
      <c r="E13" s="309">
        <f>D13*(1+0.025)^2</f>
        <v>3.0468124999999997</v>
      </c>
      <c r="F13" s="660"/>
      <c r="G13" s="390"/>
      <c r="H13" s="661" t="s">
        <v>161</v>
      </c>
      <c r="I13" s="662" t="s">
        <v>162</v>
      </c>
      <c r="J13" s="663"/>
      <c r="K13" s="516"/>
      <c r="L13" s="516"/>
      <c r="S13" s="215"/>
      <c r="T13" s="215"/>
      <c r="U13" s="215"/>
      <c r="V13" s="215"/>
      <c r="W13" s="215"/>
      <c r="X13" s="215"/>
      <c r="Y13" s="215"/>
      <c r="Z13" s="215"/>
      <c r="AA13" s="214"/>
      <c r="AB13" s="214"/>
      <c r="AC13" s="214"/>
      <c r="AD13" s="214"/>
    </row>
    <row r="14" spans="1:30" ht="15" customHeight="1" x14ac:dyDescent="0.25">
      <c r="A14" s="300" t="s">
        <v>158</v>
      </c>
      <c r="B14" s="301"/>
      <c r="C14" s="301"/>
      <c r="D14" s="336">
        <f>D12*D13</f>
        <v>2175</v>
      </c>
      <c r="E14" s="337">
        <f>E12*E13</f>
        <v>2285.109375</v>
      </c>
      <c r="F14" s="524"/>
      <c r="G14" s="664" t="s">
        <v>149</v>
      </c>
      <c r="H14" s="665">
        <v>0.2</v>
      </c>
      <c r="I14" s="666">
        <f>(H11*H14)/D7</f>
        <v>186.15</v>
      </c>
      <c r="J14" s="667"/>
      <c r="K14" s="516"/>
      <c r="L14" s="516"/>
      <c r="S14" s="215"/>
      <c r="T14" s="215"/>
      <c r="U14" s="215"/>
      <c r="V14" s="215"/>
      <c r="W14" s="215"/>
      <c r="X14" s="215"/>
      <c r="Y14" s="215"/>
      <c r="Z14" s="215"/>
      <c r="AA14" s="214"/>
      <c r="AB14" s="214"/>
      <c r="AC14" s="214"/>
      <c r="AD14" s="214"/>
    </row>
    <row r="15" spans="1:30" ht="15" customHeight="1" x14ac:dyDescent="0.25">
      <c r="A15" s="644" t="s">
        <v>163</v>
      </c>
      <c r="B15" s="331"/>
      <c r="C15" s="332"/>
      <c r="D15" s="330"/>
      <c r="E15" s="326"/>
      <c r="F15" s="521"/>
      <c r="G15" s="658" t="s">
        <v>150</v>
      </c>
      <c r="H15" s="668">
        <v>0.2</v>
      </c>
      <c r="I15" s="669">
        <f>(H12*H15)/E7</f>
        <v>60.18</v>
      </c>
      <c r="J15" s="667"/>
      <c r="K15" s="516"/>
      <c r="L15" s="516"/>
      <c r="S15" s="215"/>
      <c r="T15" s="215"/>
      <c r="U15" s="215"/>
      <c r="V15" s="215"/>
      <c r="W15" s="215"/>
      <c r="X15" s="215"/>
      <c r="Y15" s="215"/>
      <c r="Z15" s="215"/>
      <c r="AA15" s="214"/>
      <c r="AB15" s="214"/>
      <c r="AC15" s="214"/>
      <c r="AD15" s="214"/>
    </row>
    <row r="16" spans="1:30" ht="15" customHeight="1" x14ac:dyDescent="0.25">
      <c r="A16" s="300" t="s">
        <v>155</v>
      </c>
      <c r="B16" s="302"/>
      <c r="C16" s="320"/>
      <c r="D16" s="400">
        <f>I20*H28</f>
        <v>122.32714285714286</v>
      </c>
      <c r="E16" s="403">
        <f>I21*H28</f>
        <v>39.546857142857135</v>
      </c>
      <c r="F16" s="522"/>
      <c r="G16" s="390"/>
      <c r="H16" s="670" t="s">
        <v>164</v>
      </c>
      <c r="I16" s="671" t="s">
        <v>165</v>
      </c>
      <c r="J16" s="663"/>
      <c r="K16" s="516"/>
      <c r="L16" s="516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4"/>
      <c r="AB16" s="214"/>
      <c r="AC16" s="214"/>
      <c r="AD16" s="214"/>
    </row>
    <row r="17" spans="1:30" ht="15" customHeight="1" x14ac:dyDescent="0.25">
      <c r="A17" s="310" t="s">
        <v>156</v>
      </c>
      <c r="B17" s="318"/>
      <c r="C17" s="319"/>
      <c r="D17" s="306">
        <v>1050</v>
      </c>
      <c r="E17" s="307">
        <v>1050</v>
      </c>
      <c r="F17" s="522"/>
      <c r="G17" s="664" t="s">
        <v>149</v>
      </c>
      <c r="H17" s="665">
        <v>0.3</v>
      </c>
      <c r="I17" s="672">
        <f>(H11*H17)/D12</f>
        <v>186.15</v>
      </c>
      <c r="J17" s="667"/>
      <c r="K17" s="516"/>
      <c r="L17" s="516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4"/>
      <c r="AB17" s="214"/>
      <c r="AC17" s="214"/>
      <c r="AD17" s="214"/>
    </row>
    <row r="18" spans="1:30" ht="15" customHeight="1" x14ac:dyDescent="0.25">
      <c r="A18" s="316" t="s">
        <v>157</v>
      </c>
      <c r="B18" s="312"/>
      <c r="C18" s="312"/>
      <c r="D18" s="311">
        <v>2.85</v>
      </c>
      <c r="E18" s="673">
        <f>D18*(1+0.025)^2</f>
        <v>2.9942812499999998</v>
      </c>
      <c r="F18" s="523"/>
      <c r="G18" s="658" t="s">
        <v>150</v>
      </c>
      <c r="H18" s="668">
        <v>0.3</v>
      </c>
      <c r="I18" s="669">
        <f>(H12*H18)/E12</f>
        <v>60.18</v>
      </c>
      <c r="J18" s="667"/>
      <c r="K18" s="516"/>
      <c r="L18" s="516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4"/>
      <c r="AB18" s="214"/>
      <c r="AC18" s="214"/>
      <c r="AD18" s="214"/>
    </row>
    <row r="19" spans="1:30" ht="15" customHeight="1" x14ac:dyDescent="0.25">
      <c r="A19" s="300" t="s">
        <v>158</v>
      </c>
      <c r="B19" s="303"/>
      <c r="C19" s="303"/>
      <c r="D19" s="336">
        <f>D17*D18</f>
        <v>2992.5</v>
      </c>
      <c r="E19" s="337">
        <f>E17*E18</f>
        <v>3143.9953124999997</v>
      </c>
      <c r="F19" s="524"/>
      <c r="G19" s="390"/>
      <c r="H19" s="670" t="s">
        <v>166</v>
      </c>
      <c r="I19" s="671" t="s">
        <v>167</v>
      </c>
      <c r="J19" s="663"/>
      <c r="K19" s="516"/>
      <c r="L19" s="516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4"/>
      <c r="AB19" s="214"/>
      <c r="AC19" s="214"/>
      <c r="AD19" s="214"/>
    </row>
    <row r="20" spans="1:30" ht="15" customHeight="1" x14ac:dyDescent="0.25">
      <c r="A20" s="644" t="s">
        <v>168</v>
      </c>
      <c r="B20" s="331"/>
      <c r="C20" s="332"/>
      <c r="D20" s="330"/>
      <c r="E20" s="326"/>
      <c r="F20" s="521"/>
      <c r="G20" s="664" t="s">
        <v>149</v>
      </c>
      <c r="H20" s="665">
        <v>0.34499999999999997</v>
      </c>
      <c r="I20" s="672">
        <f>(H11*H20)/D17</f>
        <v>152.90892857142856</v>
      </c>
      <c r="J20" s="667"/>
      <c r="K20" s="516"/>
      <c r="L20" s="516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4"/>
      <c r="AB20" s="214"/>
      <c r="AC20" s="214"/>
      <c r="AD20" s="214"/>
    </row>
    <row r="21" spans="1:30" ht="15" customHeight="1" x14ac:dyDescent="0.25">
      <c r="A21" s="300" t="s">
        <v>155</v>
      </c>
      <c r="B21" s="302"/>
      <c r="C21" s="320"/>
      <c r="D21" s="399">
        <f>I23*H28</f>
        <v>44.389615384615382</v>
      </c>
      <c r="E21" s="402">
        <f>I24*H28</f>
        <v>14.350615384615384</v>
      </c>
      <c r="F21" s="522"/>
      <c r="G21" s="658" t="s">
        <v>150</v>
      </c>
      <c r="H21" s="668">
        <v>0.34499999999999997</v>
      </c>
      <c r="I21" s="669">
        <f>(H12*H21)/E17</f>
        <v>49.433571428571419</v>
      </c>
      <c r="J21" s="667"/>
      <c r="K21" s="516"/>
      <c r="L21" s="516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4"/>
      <c r="AB21" s="214"/>
      <c r="AC21" s="214"/>
      <c r="AD21" s="214"/>
    </row>
    <row r="22" spans="1:30" ht="15" customHeight="1" x14ac:dyDescent="0.25">
      <c r="A22" s="322" t="s">
        <v>156</v>
      </c>
      <c r="B22" s="342"/>
      <c r="C22" s="343"/>
      <c r="D22" s="339">
        <v>1300</v>
      </c>
      <c r="E22" s="335">
        <v>1300</v>
      </c>
      <c r="F22" s="522"/>
      <c r="G22" s="390"/>
      <c r="H22" s="670" t="s">
        <v>169</v>
      </c>
      <c r="I22" s="671" t="s">
        <v>170</v>
      </c>
      <c r="J22" s="424"/>
      <c r="K22" s="516"/>
      <c r="L22" s="516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4"/>
      <c r="AB22" s="214"/>
      <c r="AC22" s="214"/>
      <c r="AD22" s="214"/>
    </row>
    <row r="23" spans="1:30" ht="15" customHeight="1" x14ac:dyDescent="0.25">
      <c r="A23" s="310" t="s">
        <v>157</v>
      </c>
      <c r="B23" s="318"/>
      <c r="C23" s="319"/>
      <c r="D23" s="308">
        <v>3</v>
      </c>
      <c r="E23" s="309">
        <f>D23*(1+0.025)^2</f>
        <v>3.1518749999999995</v>
      </c>
      <c r="F23" s="523"/>
      <c r="G23" s="658" t="s">
        <v>149</v>
      </c>
      <c r="H23" s="668">
        <v>0.155</v>
      </c>
      <c r="I23" s="674">
        <f>(H11*H23)/D22</f>
        <v>55.487019230769228</v>
      </c>
      <c r="J23" s="424"/>
      <c r="K23" s="516"/>
      <c r="L23" s="516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4"/>
      <c r="AB23" s="214"/>
      <c r="AC23" s="214"/>
      <c r="AD23" s="214"/>
    </row>
    <row r="24" spans="1:30" ht="15" customHeight="1" x14ac:dyDescent="0.25">
      <c r="A24" s="304" t="s">
        <v>158</v>
      </c>
      <c r="B24" s="305"/>
      <c r="C24" s="305"/>
      <c r="D24" s="344">
        <f>D22*D23</f>
        <v>3900</v>
      </c>
      <c r="E24" s="345">
        <f>+D24*(1+0.02)^2</f>
        <v>4057.56</v>
      </c>
      <c r="F24" s="524"/>
      <c r="G24" s="675" t="s">
        <v>150</v>
      </c>
      <c r="H24" s="676">
        <v>0.155</v>
      </c>
      <c r="I24" s="677">
        <f>(H12*H24)/E22</f>
        <v>17.93826923076923</v>
      </c>
      <c r="J24" s="424"/>
      <c r="K24" s="516"/>
      <c r="L24" s="516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4"/>
      <c r="AB24" s="214"/>
      <c r="AC24" s="214"/>
      <c r="AD24" s="214"/>
    </row>
    <row r="25" spans="1:30" ht="15" customHeight="1" x14ac:dyDescent="0.25">
      <c r="A25" s="390"/>
      <c r="B25" s="424"/>
      <c r="C25" s="424"/>
      <c r="D25" s="424"/>
      <c r="E25" s="424"/>
      <c r="F25" s="424"/>
      <c r="G25" s="424"/>
      <c r="H25" s="424"/>
      <c r="I25" s="424"/>
      <c r="J25" s="516"/>
      <c r="K25" s="516"/>
      <c r="L25" s="354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4"/>
      <c r="AB25" s="214"/>
      <c r="AC25" s="214"/>
      <c r="AD25" s="214"/>
    </row>
    <row r="26" spans="1:30" ht="15" customHeight="1" x14ac:dyDescent="0.25">
      <c r="A26" s="448" t="s">
        <v>171</v>
      </c>
      <c r="B26" s="449"/>
      <c r="C26" s="450"/>
      <c r="D26" s="451" t="s">
        <v>149</v>
      </c>
      <c r="E26" s="452" t="s">
        <v>150</v>
      </c>
      <c r="F26" s="301"/>
      <c r="G26" s="678" t="s">
        <v>172</v>
      </c>
      <c r="H26" s="679"/>
      <c r="I26" s="424"/>
      <c r="J26" s="516"/>
      <c r="K26" s="516"/>
      <c r="L26" s="354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4"/>
      <c r="AB26" s="214"/>
      <c r="AC26" s="214"/>
      <c r="AD26" s="214"/>
    </row>
    <row r="27" spans="1:30" ht="15" customHeight="1" x14ac:dyDescent="0.25">
      <c r="A27" s="680" t="s">
        <v>143</v>
      </c>
      <c r="B27" s="323"/>
      <c r="C27" s="323"/>
      <c r="D27" s="330"/>
      <c r="E27" s="326"/>
      <c r="F27" s="521"/>
      <c r="G27" s="681" t="s">
        <v>173</v>
      </c>
      <c r="H27" s="682" t="s">
        <v>174</v>
      </c>
      <c r="I27" s="424"/>
      <c r="J27" s="516"/>
      <c r="K27" s="516"/>
      <c r="L27" s="354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4"/>
      <c r="AB27" s="214"/>
      <c r="AC27" s="214"/>
      <c r="AD27" s="214"/>
    </row>
    <row r="28" spans="1:30" ht="15" customHeight="1" x14ac:dyDescent="0.25">
      <c r="A28" s="300" t="s">
        <v>155</v>
      </c>
      <c r="B28" s="301"/>
      <c r="C28" s="301"/>
      <c r="D28" s="401">
        <f>I14*H29</f>
        <v>37.230000000000004</v>
      </c>
      <c r="E28" s="404">
        <f>I15*H29</f>
        <v>12.036000000000001</v>
      </c>
      <c r="F28" s="522"/>
      <c r="G28" s="683" t="s">
        <v>175</v>
      </c>
      <c r="H28" s="684">
        <v>0.8</v>
      </c>
      <c r="I28" s="424"/>
      <c r="J28" s="516"/>
      <c r="K28" s="516"/>
      <c r="L28" s="516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4"/>
      <c r="AB28" s="214"/>
      <c r="AC28" s="214"/>
      <c r="AD28" s="214"/>
    </row>
    <row r="29" spans="1:30" ht="15" customHeight="1" x14ac:dyDescent="0.25">
      <c r="A29" s="322" t="s">
        <v>156</v>
      </c>
      <c r="B29" s="333"/>
      <c r="C29" s="333"/>
      <c r="D29" s="334">
        <v>500</v>
      </c>
      <c r="E29" s="370">
        <v>500</v>
      </c>
      <c r="F29" s="522"/>
      <c r="G29" s="685" t="s">
        <v>176</v>
      </c>
      <c r="H29" s="686">
        <v>0.2</v>
      </c>
      <c r="I29" s="424"/>
      <c r="J29" s="424"/>
      <c r="K29" s="516"/>
      <c r="L29" s="516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4"/>
      <c r="AB29" s="214"/>
      <c r="AC29" s="214"/>
      <c r="AD29" s="214"/>
    </row>
    <row r="30" spans="1:30" ht="15" customHeight="1" x14ac:dyDescent="0.25">
      <c r="A30" s="310" t="s">
        <v>157</v>
      </c>
      <c r="B30" s="317"/>
      <c r="C30" s="317"/>
      <c r="D30" s="348">
        <f>D31/D29</f>
        <v>0.74642500000000012</v>
      </c>
      <c r="E30" s="371">
        <f>E31/E29</f>
        <v>0.77658057000000003</v>
      </c>
      <c r="F30" s="525"/>
      <c r="G30" s="424"/>
      <c r="H30" s="424"/>
      <c r="I30" s="424"/>
      <c r="J30" s="424"/>
      <c r="K30" s="516"/>
      <c r="L30" s="516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4"/>
      <c r="AB30" s="214"/>
      <c r="AC30" s="214"/>
      <c r="AD30" s="214"/>
    </row>
    <row r="31" spans="1:30" ht="15" customHeight="1" x14ac:dyDescent="0.25">
      <c r="A31" s="300" t="s">
        <v>158</v>
      </c>
      <c r="B31" s="301"/>
      <c r="C31" s="301"/>
      <c r="D31" s="336">
        <f>H38</f>
        <v>373.21250000000003</v>
      </c>
      <c r="E31" s="372">
        <f>+D31*(1+0.02)^2</f>
        <v>388.29028500000004</v>
      </c>
      <c r="F31" s="524"/>
      <c r="G31" s="678" t="s">
        <v>177</v>
      </c>
      <c r="H31" s="687"/>
      <c r="I31" s="688"/>
      <c r="J31" s="354"/>
      <c r="K31" s="516"/>
      <c r="L31" s="516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4"/>
      <c r="AB31" s="214"/>
      <c r="AC31" s="214"/>
      <c r="AD31" s="214"/>
    </row>
    <row r="32" spans="1:30" ht="15" customHeight="1" x14ac:dyDescent="0.25">
      <c r="A32" s="644" t="s">
        <v>160</v>
      </c>
      <c r="B32" s="324"/>
      <c r="C32" s="324"/>
      <c r="D32" s="330"/>
      <c r="E32" s="326"/>
      <c r="F32" s="521"/>
      <c r="G32" s="689" t="s">
        <v>178</v>
      </c>
      <c r="H32" s="424"/>
      <c r="I32" s="425"/>
      <c r="J32" s="424"/>
      <c r="K32" s="516"/>
      <c r="L32" s="424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4"/>
      <c r="AB32" s="214"/>
      <c r="AC32" s="214"/>
      <c r="AD32" s="214"/>
    </row>
    <row r="33" spans="1:30" ht="15" customHeight="1" x14ac:dyDescent="0.25">
      <c r="A33" s="316" t="s">
        <v>155</v>
      </c>
      <c r="B33" s="313"/>
      <c r="C33" s="313"/>
      <c r="D33" s="398">
        <f>I17*H29</f>
        <v>37.230000000000004</v>
      </c>
      <c r="E33" s="405">
        <f>I18*H29</f>
        <v>12.036000000000001</v>
      </c>
      <c r="F33" s="522"/>
      <c r="G33" s="689" t="s">
        <v>179</v>
      </c>
      <c r="H33" s="424"/>
      <c r="I33" s="425"/>
      <c r="J33" s="424"/>
      <c r="K33" s="516"/>
      <c r="L33" s="424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4"/>
      <c r="AB33" s="214"/>
      <c r="AC33" s="214"/>
      <c r="AD33" s="214"/>
    </row>
    <row r="34" spans="1:30" ht="15" customHeight="1" x14ac:dyDescent="0.25">
      <c r="A34" s="300" t="s">
        <v>156</v>
      </c>
      <c r="B34" s="301"/>
      <c r="C34" s="301"/>
      <c r="D34" s="340">
        <v>750</v>
      </c>
      <c r="E34" s="369">
        <v>750</v>
      </c>
      <c r="F34" s="522"/>
      <c r="G34" s="681" t="s">
        <v>180</v>
      </c>
      <c r="H34" s="690">
        <v>52264</v>
      </c>
      <c r="I34" s="425"/>
      <c r="J34" s="424"/>
      <c r="K34" s="516"/>
      <c r="L34" s="424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4"/>
      <c r="AB34" s="214"/>
      <c r="AC34" s="214"/>
      <c r="AD34" s="214"/>
    </row>
    <row r="35" spans="1:30" ht="15" customHeight="1" x14ac:dyDescent="0.25">
      <c r="A35" s="310" t="s">
        <v>157</v>
      </c>
      <c r="B35" s="317"/>
      <c r="C35" s="317"/>
      <c r="D35" s="348">
        <f>D36/D34</f>
        <v>0.68434166666666674</v>
      </c>
      <c r="E35" s="371">
        <f>E36/E34</f>
        <v>0.71198907000000011</v>
      </c>
      <c r="F35" s="525"/>
      <c r="G35" s="681" t="s">
        <v>181</v>
      </c>
      <c r="H35" s="690">
        <v>29857</v>
      </c>
      <c r="I35" s="425"/>
      <c r="J35" s="424"/>
      <c r="K35" s="516"/>
      <c r="L35" s="424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4"/>
      <c r="AB35" s="214"/>
      <c r="AC35" s="214"/>
      <c r="AD35" s="214"/>
    </row>
    <row r="36" spans="1:30" ht="15" customHeight="1" x14ac:dyDescent="0.25">
      <c r="A36" s="300" t="s">
        <v>158</v>
      </c>
      <c r="B36" s="301"/>
      <c r="C36" s="301"/>
      <c r="D36" s="336">
        <f>H39</f>
        <v>513.25625000000002</v>
      </c>
      <c r="E36" s="372">
        <f>+D36*(1+0.02)^2</f>
        <v>533.99180250000006</v>
      </c>
      <c r="F36" s="524"/>
      <c r="G36" s="689"/>
      <c r="H36" s="424"/>
      <c r="I36" s="425"/>
      <c r="J36" s="424"/>
      <c r="K36" s="516"/>
      <c r="L36" s="424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4"/>
      <c r="AB36" s="214"/>
      <c r="AC36" s="214"/>
      <c r="AD36" s="214"/>
    </row>
    <row r="37" spans="1:30" ht="15" customHeight="1" x14ac:dyDescent="0.25">
      <c r="A37" s="644" t="s">
        <v>163</v>
      </c>
      <c r="B37" s="331"/>
      <c r="C37" s="331"/>
      <c r="D37" s="330"/>
      <c r="E37" s="326"/>
      <c r="F37" s="521"/>
      <c r="G37" s="691" t="s">
        <v>182</v>
      </c>
      <c r="H37" s="692" t="s">
        <v>183</v>
      </c>
      <c r="I37" s="511"/>
      <c r="J37" s="424"/>
      <c r="K37" s="516"/>
      <c r="L37" s="424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4"/>
      <c r="AB37" s="214"/>
      <c r="AC37" s="214"/>
      <c r="AD37" s="214"/>
    </row>
    <row r="38" spans="1:30" ht="15" customHeight="1" x14ac:dyDescent="0.25">
      <c r="A38" s="300" t="s">
        <v>155</v>
      </c>
      <c r="B38" s="302"/>
      <c r="C38" s="302"/>
      <c r="D38" s="401">
        <f>I20*H29</f>
        <v>30.581785714285715</v>
      </c>
      <c r="E38" s="404">
        <f>I21*H29</f>
        <v>9.8867142857142838</v>
      </c>
      <c r="F38" s="522"/>
      <c r="G38" s="693" t="s">
        <v>143</v>
      </c>
      <c r="H38" s="694">
        <f>(H35*50%*30%)/12</f>
        <v>373.21250000000003</v>
      </c>
      <c r="I38" s="425"/>
      <c r="J38" s="424"/>
      <c r="K38" s="516"/>
      <c r="L38" s="424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4"/>
      <c r="AB38" s="214"/>
      <c r="AC38" s="214"/>
      <c r="AD38" s="214"/>
    </row>
    <row r="39" spans="1:30" ht="15" customHeight="1" x14ac:dyDescent="0.25">
      <c r="A39" s="322" t="s">
        <v>156</v>
      </c>
      <c r="B39" s="342"/>
      <c r="C39" s="342"/>
      <c r="D39" s="334">
        <v>1050</v>
      </c>
      <c r="E39" s="370">
        <v>1050</v>
      </c>
      <c r="F39" s="522"/>
      <c r="G39" s="695" t="s">
        <v>160</v>
      </c>
      <c r="H39" s="696">
        <f>(((H34+H35)/2)*50%*30%)/12</f>
        <v>513.25625000000002</v>
      </c>
      <c r="I39" s="425"/>
      <c r="J39" s="424"/>
      <c r="K39" s="516"/>
      <c r="L39" s="424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4"/>
      <c r="AB39" s="214"/>
      <c r="AC39" s="214"/>
      <c r="AD39" s="214"/>
    </row>
    <row r="40" spans="1:30" ht="15" customHeight="1" x14ac:dyDescent="0.25">
      <c r="A40" s="310" t="s">
        <v>157</v>
      </c>
      <c r="B40" s="318"/>
      <c r="C40" s="318"/>
      <c r="D40" s="348">
        <f>D41/D39</f>
        <v>0.62219047619047618</v>
      </c>
      <c r="E40" s="371">
        <f>E41/E39</f>
        <v>0.64732697142857143</v>
      </c>
      <c r="F40" s="525"/>
      <c r="G40" s="697" t="s">
        <v>163</v>
      </c>
      <c r="H40" s="568">
        <f>(H34*50%*30%)/12</f>
        <v>653.29999999999995</v>
      </c>
      <c r="I40" s="425"/>
      <c r="J40" s="424"/>
      <c r="K40" s="516"/>
      <c r="L40" s="424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4"/>
      <c r="AB40" s="214"/>
      <c r="AC40" s="214"/>
      <c r="AD40" s="214"/>
    </row>
    <row r="41" spans="1:30" ht="15" customHeight="1" x14ac:dyDescent="0.25">
      <c r="A41" s="300" t="s">
        <v>158</v>
      </c>
      <c r="B41" s="303"/>
      <c r="C41" s="303"/>
      <c r="D41" s="336">
        <f>H40</f>
        <v>653.29999999999995</v>
      </c>
      <c r="E41" s="372">
        <f>+D41*(1+0.02)^2</f>
        <v>679.69331999999997</v>
      </c>
      <c r="F41" s="524"/>
      <c r="G41" s="698" t="s">
        <v>184</v>
      </c>
      <c r="H41" s="699">
        <f>((H34*125%)*50%*30%)/12</f>
        <v>816.625</v>
      </c>
      <c r="I41" s="426"/>
      <c r="J41" s="424"/>
      <c r="K41" s="516"/>
      <c r="L41" s="424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4"/>
      <c r="AB41" s="214"/>
      <c r="AC41" s="214"/>
      <c r="AD41" s="214"/>
    </row>
    <row r="42" spans="1:30" ht="15" customHeight="1" x14ac:dyDescent="0.25">
      <c r="A42" s="644" t="s">
        <v>168</v>
      </c>
      <c r="B42" s="331"/>
      <c r="C42" s="331"/>
      <c r="D42" s="330"/>
      <c r="E42" s="326"/>
      <c r="F42" s="521"/>
      <c r="G42" s="424"/>
      <c r="H42" s="424"/>
      <c r="I42" s="424"/>
      <c r="J42" s="424"/>
      <c r="K42" s="516"/>
      <c r="L42" s="354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4"/>
      <c r="AB42" s="214"/>
      <c r="AC42" s="214"/>
      <c r="AD42" s="214"/>
    </row>
    <row r="43" spans="1:30" ht="15" customHeight="1" x14ac:dyDescent="0.25">
      <c r="A43" s="316" t="s">
        <v>155</v>
      </c>
      <c r="B43" s="315"/>
      <c r="C43" s="315"/>
      <c r="D43" s="398">
        <f>I23*H29</f>
        <v>11.097403846153846</v>
      </c>
      <c r="E43" s="405">
        <f>I24*H29</f>
        <v>3.5876538461538461</v>
      </c>
      <c r="F43" s="522"/>
      <c r="G43" s="516"/>
      <c r="H43" s="516"/>
      <c r="I43" s="516"/>
      <c r="J43" s="424"/>
      <c r="K43" s="516"/>
      <c r="L43" s="354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4"/>
      <c r="AB43" s="214"/>
      <c r="AC43" s="214"/>
      <c r="AD43" s="214"/>
    </row>
    <row r="44" spans="1:30" ht="15" customHeight="1" x14ac:dyDescent="0.25">
      <c r="A44" s="300" t="s">
        <v>156</v>
      </c>
      <c r="B44" s="303"/>
      <c r="C44" s="303"/>
      <c r="D44" s="340">
        <v>1300</v>
      </c>
      <c r="E44" s="369">
        <v>1300</v>
      </c>
      <c r="F44" s="522"/>
      <c r="G44" s="516"/>
      <c r="H44" s="516"/>
      <c r="I44" s="516"/>
      <c r="J44" s="516"/>
      <c r="K44" s="516"/>
      <c r="L44" s="354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4"/>
      <c r="AB44" s="214"/>
      <c r="AC44" s="214"/>
      <c r="AD44" s="214"/>
    </row>
    <row r="45" spans="1:30" ht="15" customHeight="1" x14ac:dyDescent="0.25">
      <c r="A45" s="310" t="s">
        <v>157</v>
      </c>
      <c r="B45" s="318"/>
      <c r="C45" s="318"/>
      <c r="D45" s="348">
        <f>D46/D44</f>
        <v>0.62817307692307689</v>
      </c>
      <c r="E45" s="371">
        <f>E46/E44</f>
        <v>0.65355126923076923</v>
      </c>
      <c r="F45" s="525"/>
      <c r="G45" s="516"/>
      <c r="H45" s="516"/>
      <c r="I45" s="516"/>
      <c r="J45" s="516"/>
      <c r="K45" s="516"/>
      <c r="L45" s="354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4"/>
      <c r="AB45" s="214"/>
      <c r="AC45" s="214"/>
      <c r="AD45" s="214"/>
    </row>
    <row r="46" spans="1:30" ht="15" customHeight="1" x14ac:dyDescent="0.25">
      <c r="A46" s="304" t="s">
        <v>158</v>
      </c>
      <c r="B46" s="305"/>
      <c r="C46" s="305"/>
      <c r="D46" s="344">
        <f>H41</f>
        <v>816.625</v>
      </c>
      <c r="E46" s="373">
        <f>+D46*(1+0.02)^2</f>
        <v>849.61665000000005</v>
      </c>
      <c r="F46" s="524"/>
      <c r="G46" s="516"/>
      <c r="H46" s="516"/>
      <c r="I46" s="516"/>
      <c r="J46" s="516"/>
      <c r="K46" s="516"/>
      <c r="L46" s="354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4"/>
      <c r="AB46" s="214"/>
      <c r="AC46" s="214"/>
      <c r="AD46" s="214"/>
    </row>
    <row r="47" spans="1:30" ht="15" customHeight="1" x14ac:dyDescent="0.25">
      <c r="A47" s="390"/>
      <c r="B47" s="424"/>
      <c r="C47" s="424"/>
      <c r="D47" s="424"/>
      <c r="E47" s="424"/>
      <c r="F47" s="1017"/>
      <c r="G47" s="424"/>
      <c r="H47" s="424"/>
      <c r="I47" s="424"/>
      <c r="J47" s="354"/>
      <c r="K47" s="516"/>
      <c r="L47" s="354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4"/>
      <c r="AB47" s="214"/>
      <c r="AC47" s="214"/>
      <c r="AD47" s="214"/>
    </row>
    <row r="48" spans="1:30" ht="15" customHeight="1" x14ac:dyDescent="0.25">
      <c r="A48" s="432" t="s">
        <v>185</v>
      </c>
      <c r="B48" s="433"/>
      <c r="C48" s="433"/>
      <c r="D48" s="451" t="s">
        <v>149</v>
      </c>
      <c r="E48" s="452" t="s">
        <v>150</v>
      </c>
      <c r="F48" s="301"/>
      <c r="G48" s="641" t="s">
        <v>186</v>
      </c>
      <c r="H48" s="643"/>
      <c r="I48" s="424"/>
      <c r="J48" s="354"/>
      <c r="K48" s="516"/>
      <c r="L48" s="354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4"/>
      <c r="AB48" s="214"/>
      <c r="AC48" s="214"/>
      <c r="AD48" s="214"/>
    </row>
    <row r="49" spans="1:30" ht="15" customHeight="1" x14ac:dyDescent="0.25">
      <c r="A49" s="644" t="s">
        <v>187</v>
      </c>
      <c r="B49" s="298"/>
      <c r="C49" s="298"/>
      <c r="D49" s="346"/>
      <c r="E49" s="347"/>
      <c r="F49" s="521"/>
      <c r="G49" s="559" t="s">
        <v>173</v>
      </c>
      <c r="H49" s="700" t="s">
        <v>174</v>
      </c>
      <c r="I49" s="424"/>
      <c r="J49" s="354"/>
      <c r="K49" s="516"/>
      <c r="L49" s="354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4"/>
      <c r="AB49" s="214"/>
      <c r="AC49" s="214"/>
      <c r="AD49" s="214"/>
    </row>
    <row r="50" spans="1:30" ht="15" customHeight="1" x14ac:dyDescent="0.25">
      <c r="A50" s="316" t="s">
        <v>188</v>
      </c>
      <c r="B50" s="314"/>
      <c r="C50" s="314"/>
      <c r="D50" s="349">
        <v>78600</v>
      </c>
      <c r="E50" s="341">
        <v>41825</v>
      </c>
      <c r="F50" s="522"/>
      <c r="G50" s="689" t="s">
        <v>189</v>
      </c>
      <c r="H50" s="701">
        <v>0.4</v>
      </c>
      <c r="I50" s="424"/>
      <c r="J50" s="354"/>
      <c r="K50" s="516"/>
      <c r="L50" s="354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4"/>
      <c r="AB50" s="214"/>
      <c r="AC50" s="214"/>
      <c r="AD50" s="214"/>
    </row>
    <row r="51" spans="1:30" ht="15" customHeight="1" x14ac:dyDescent="0.25">
      <c r="A51" s="304" t="s">
        <v>190</v>
      </c>
      <c r="B51" s="323"/>
      <c r="C51" s="323"/>
      <c r="D51" s="350">
        <v>33</v>
      </c>
      <c r="E51" s="374">
        <f>D51*(1+0.02)^2</f>
        <v>34.333199999999998</v>
      </c>
      <c r="F51" s="525"/>
      <c r="G51" s="702" t="s">
        <v>191</v>
      </c>
      <c r="H51" s="686">
        <v>0.6</v>
      </c>
      <c r="I51" s="424"/>
      <c r="J51" s="354"/>
      <c r="K51" s="516"/>
      <c r="L51" s="354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4"/>
      <c r="AB51" s="214"/>
      <c r="AC51" s="214"/>
      <c r="AD51" s="214"/>
    </row>
    <row r="52" spans="1:30" ht="15" customHeight="1" x14ac:dyDescent="0.25">
      <c r="A52" s="300"/>
      <c r="B52" s="301"/>
      <c r="C52" s="301"/>
      <c r="D52" s="524"/>
      <c r="E52" s="524"/>
      <c r="F52" s="524"/>
      <c r="G52" s="424"/>
      <c r="H52" s="424"/>
      <c r="I52" s="424"/>
      <c r="J52" s="424"/>
      <c r="K52" s="516"/>
      <c r="L52" s="354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4"/>
      <c r="AB52" s="214"/>
      <c r="AC52" s="214"/>
      <c r="AD52" s="214"/>
    </row>
    <row r="53" spans="1:30" ht="15" customHeight="1" thickBot="1" x14ac:dyDescent="0.3">
      <c r="A53" s="390"/>
      <c r="B53" s="424"/>
      <c r="C53" s="424"/>
      <c r="D53" s="424"/>
      <c r="E53" s="424"/>
      <c r="F53" s="424"/>
      <c r="G53" s="424"/>
      <c r="H53" s="424"/>
      <c r="I53" s="424"/>
      <c r="J53" s="424"/>
      <c r="K53" s="516"/>
      <c r="L53" s="354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4"/>
      <c r="AB53" s="214"/>
      <c r="AC53" s="214"/>
      <c r="AD53" s="214"/>
    </row>
    <row r="54" spans="1:30" ht="15" customHeight="1" thickBot="1" x14ac:dyDescent="0.3">
      <c r="A54" s="432" t="s">
        <v>192</v>
      </c>
      <c r="B54" s="433"/>
      <c r="C54" s="433"/>
      <c r="D54" s="451" t="s">
        <v>149</v>
      </c>
      <c r="E54" s="452" t="s">
        <v>150</v>
      </c>
      <c r="F54" s="301"/>
      <c r="G54" s="541" t="s">
        <v>193</v>
      </c>
      <c r="H54" s="545" t="s">
        <v>149</v>
      </c>
      <c r="I54" s="546" t="s">
        <v>150</v>
      </c>
      <c r="J54" s="424"/>
      <c r="K54" s="354"/>
      <c r="L54" s="354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4"/>
      <c r="AB54" s="214"/>
      <c r="AC54" s="214"/>
      <c r="AD54" s="214"/>
    </row>
    <row r="55" spans="1:30" ht="15" customHeight="1" thickBot="1" x14ac:dyDescent="0.3">
      <c r="A55" s="644" t="s">
        <v>194</v>
      </c>
      <c r="B55" s="298"/>
      <c r="C55" s="298"/>
      <c r="D55" s="346"/>
      <c r="E55" s="347"/>
      <c r="F55" s="521"/>
      <c r="G55" s="559" t="s">
        <v>195</v>
      </c>
      <c r="H55" s="560"/>
      <c r="I55" s="561"/>
      <c r="J55" s="424"/>
      <c r="K55" s="354"/>
      <c r="L55" s="354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4"/>
      <c r="AB55" s="214"/>
      <c r="AC55" s="214"/>
      <c r="AD55" s="214"/>
    </row>
    <row r="56" spans="1:30" ht="15" customHeight="1" thickBot="1" x14ac:dyDescent="0.3">
      <c r="A56" s="316" t="s">
        <v>196</v>
      </c>
      <c r="B56" s="314"/>
      <c r="C56" s="314"/>
      <c r="D56" s="327">
        <v>106200</v>
      </c>
      <c r="E56" s="328">
        <v>0</v>
      </c>
      <c r="F56" s="522"/>
      <c r="G56" s="703" t="s">
        <v>197</v>
      </c>
      <c r="H56" s="704">
        <v>0.6</v>
      </c>
      <c r="I56" s="705">
        <v>0.6</v>
      </c>
      <c r="J56" s="424"/>
      <c r="K56" s="354"/>
      <c r="L56" s="354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4"/>
      <c r="AB56" s="214"/>
      <c r="AC56" s="214"/>
      <c r="AD56" s="214"/>
    </row>
    <row r="57" spans="1:30" ht="15" customHeight="1" thickBot="1" x14ac:dyDescent="0.3">
      <c r="A57" s="300" t="s">
        <v>190</v>
      </c>
      <c r="B57" s="301"/>
      <c r="C57" s="301"/>
      <c r="D57" s="818">
        <v>31</v>
      </c>
      <c r="E57" s="819">
        <f>D57*(1+0.02)^2</f>
        <v>32.252400000000002</v>
      </c>
      <c r="F57" s="525"/>
      <c r="G57" s="559" t="s">
        <v>121</v>
      </c>
      <c r="H57" s="560"/>
      <c r="I57" s="561"/>
      <c r="J57" s="424"/>
      <c r="K57" s="354"/>
      <c r="L57" s="354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4"/>
      <c r="AB57" s="214"/>
      <c r="AC57" s="214"/>
      <c r="AD57" s="214"/>
    </row>
    <row r="58" spans="1:30" ht="15" customHeight="1" thickBot="1" x14ac:dyDescent="0.3">
      <c r="A58" s="508" t="s">
        <v>198</v>
      </c>
      <c r="B58" s="298"/>
      <c r="C58" s="298"/>
      <c r="D58" s="820">
        <f>43250/200</f>
        <v>216.25</v>
      </c>
      <c r="E58" s="821"/>
      <c r="F58" s="525"/>
      <c r="G58" s="703" t="s">
        <v>199</v>
      </c>
      <c r="H58" s="706">
        <v>24000</v>
      </c>
      <c r="I58" s="707">
        <v>24000</v>
      </c>
      <c r="J58" s="424"/>
      <c r="K58" s="354"/>
      <c r="L58" s="354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4"/>
      <c r="AB58" s="214"/>
      <c r="AC58" s="214"/>
      <c r="AD58" s="214"/>
    </row>
    <row r="59" spans="1:30" ht="15" customHeight="1" x14ac:dyDescent="0.25">
      <c r="A59" s="300"/>
      <c r="B59" s="301"/>
      <c r="C59" s="301"/>
      <c r="D59" s="524"/>
      <c r="E59" s="524"/>
      <c r="F59" s="524"/>
      <c r="G59" s="708" t="s">
        <v>200</v>
      </c>
      <c r="H59" s="709">
        <f>H58*(D28+D33+D38+D43)</f>
        <v>2787340.5494505498</v>
      </c>
      <c r="I59" s="710">
        <f>I58*(E28+E33+E38+E43)</f>
        <v>901112.83516483521</v>
      </c>
      <c r="J59" s="424"/>
      <c r="K59" s="354"/>
      <c r="L59" s="354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4"/>
      <c r="AB59" s="214"/>
      <c r="AC59" s="214"/>
      <c r="AD59" s="214"/>
    </row>
    <row r="60" spans="1:30" ht="15" customHeight="1" thickBot="1" x14ac:dyDescent="0.3">
      <c r="A60" s="390"/>
      <c r="B60" s="424"/>
      <c r="C60" s="424"/>
      <c r="D60" s="424"/>
      <c r="E60" s="424"/>
      <c r="F60" s="424"/>
      <c r="G60" s="703" t="s">
        <v>201</v>
      </c>
      <c r="H60" s="711">
        <f>H59/'Phase I Financial'!C77</f>
        <v>8.857143636776631E-3</v>
      </c>
      <c r="I60" s="712">
        <f>I59/'Phase II Financial'!C86</f>
        <v>5.0691460823160221E-3</v>
      </c>
      <c r="J60" s="424"/>
      <c r="K60" s="354"/>
      <c r="L60" s="354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4"/>
      <c r="AB60" s="214"/>
      <c r="AC60" s="214"/>
      <c r="AD60" s="214"/>
    </row>
    <row r="61" spans="1:30" ht="15" customHeight="1" thickBot="1" x14ac:dyDescent="0.3">
      <c r="A61" s="432" t="s">
        <v>202</v>
      </c>
      <c r="B61" s="433"/>
      <c r="C61" s="433"/>
      <c r="D61" s="451" t="s">
        <v>149</v>
      </c>
      <c r="E61" s="452" t="s">
        <v>150</v>
      </c>
      <c r="F61" s="301"/>
      <c r="G61" s="559" t="s">
        <v>122</v>
      </c>
      <c r="H61" s="560"/>
      <c r="I61" s="561"/>
      <c r="J61" s="424"/>
      <c r="K61" s="354"/>
      <c r="L61" s="354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4"/>
      <c r="AB61" s="214"/>
      <c r="AC61" s="214"/>
      <c r="AD61" s="214"/>
    </row>
    <row r="62" spans="1:30" ht="15" customHeight="1" thickBot="1" x14ac:dyDescent="0.3">
      <c r="A62" s="644" t="s">
        <v>203</v>
      </c>
      <c r="B62" s="298"/>
      <c r="C62" s="298"/>
      <c r="D62" s="346"/>
      <c r="E62" s="347"/>
      <c r="F62" s="521"/>
      <c r="G62" s="703" t="s">
        <v>204</v>
      </c>
      <c r="H62" s="713">
        <v>2000000</v>
      </c>
      <c r="I62" s="714">
        <v>2000000</v>
      </c>
      <c r="J62" s="424"/>
      <c r="K62" s="354"/>
      <c r="L62" s="354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4"/>
      <c r="AB62" s="214"/>
      <c r="AC62" s="214"/>
      <c r="AD62" s="214"/>
    </row>
    <row r="63" spans="1:30" ht="15" customHeight="1" x14ac:dyDescent="0.25">
      <c r="A63" s="316" t="s">
        <v>205</v>
      </c>
      <c r="B63" s="314"/>
      <c r="C63" s="314"/>
      <c r="D63" s="327">
        <v>114000</v>
      </c>
      <c r="E63" s="328">
        <v>0</v>
      </c>
      <c r="F63" s="522"/>
      <c r="G63" s="708" t="s">
        <v>206</v>
      </c>
      <c r="H63" s="715">
        <f>H62*0.39</f>
        <v>780000</v>
      </c>
      <c r="I63" s="716">
        <f>I62*0.39</f>
        <v>780000</v>
      </c>
      <c r="J63" s="424"/>
      <c r="K63" s="354"/>
      <c r="L63" s="354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4"/>
      <c r="AB63" s="214"/>
      <c r="AC63" s="214"/>
      <c r="AD63" s="214"/>
    </row>
    <row r="64" spans="1:30" ht="15" customHeight="1" thickBot="1" x14ac:dyDescent="0.3">
      <c r="A64" s="304" t="s">
        <v>190</v>
      </c>
      <c r="B64" s="323"/>
      <c r="C64" s="323"/>
      <c r="D64" s="352">
        <v>28</v>
      </c>
      <c r="E64" s="353">
        <f>D64*(1+0.02)^2</f>
        <v>29.1312</v>
      </c>
      <c r="F64" s="525"/>
      <c r="G64" s="703" t="s">
        <v>201</v>
      </c>
      <c r="H64" s="717">
        <f>H63/'Phase I Financial'!C77</f>
        <v>2.478553271162942E-3</v>
      </c>
      <c r="I64" s="718">
        <f>I63/'Phase II Financial'!C86</f>
        <v>4.3878344530329846E-3</v>
      </c>
      <c r="J64" s="424"/>
      <c r="K64" s="354"/>
      <c r="L64" s="354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4"/>
      <c r="AB64" s="214"/>
      <c r="AC64" s="214"/>
      <c r="AD64" s="214"/>
    </row>
    <row r="65" spans="1:30" ht="15" customHeight="1" thickBot="1" x14ac:dyDescent="0.3">
      <c r="A65" s="304" t="s">
        <v>207</v>
      </c>
      <c r="B65" s="323"/>
      <c r="C65" s="323"/>
      <c r="D65" s="375">
        <f>D63/150</f>
        <v>760</v>
      </c>
      <c r="E65" s="376">
        <f>E63/150</f>
        <v>0</v>
      </c>
      <c r="F65" s="524"/>
      <c r="G65" s="930" t="s">
        <v>66</v>
      </c>
      <c r="H65" s="922"/>
      <c r="I65" s="923"/>
      <c r="J65" s="424"/>
      <c r="K65" s="354"/>
      <c r="L65" s="354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4"/>
      <c r="AB65" s="214"/>
      <c r="AC65" s="214"/>
      <c r="AD65" s="214"/>
    </row>
    <row r="66" spans="1:30" ht="15" customHeight="1" x14ac:dyDescent="0.25">
      <c r="A66" s="390"/>
      <c r="B66" s="424"/>
      <c r="C66" s="424"/>
      <c r="D66" s="424"/>
      <c r="E66" s="424"/>
      <c r="F66" s="424"/>
      <c r="G66" s="925" t="s">
        <v>208</v>
      </c>
      <c r="H66" s="926">
        <v>1500</v>
      </c>
      <c r="I66" s="1009">
        <v>0</v>
      </c>
      <c r="J66" s="424"/>
      <c r="K66" s="354"/>
      <c r="L66" s="354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4"/>
      <c r="AB66" s="214"/>
      <c r="AC66" s="214"/>
      <c r="AD66" s="214"/>
    </row>
    <row r="67" spans="1:30" ht="15" customHeight="1" thickBot="1" x14ac:dyDescent="0.3">
      <c r="A67" s="390"/>
      <c r="B67" s="424"/>
      <c r="C67" s="424"/>
      <c r="D67" s="424"/>
      <c r="E67" s="424"/>
      <c r="F67" s="424"/>
      <c r="G67" s="927" t="s">
        <v>200</v>
      </c>
      <c r="H67" s="929">
        <f>H66*D58</f>
        <v>324375</v>
      </c>
      <c r="I67" s="969">
        <v>0</v>
      </c>
      <c r="J67" s="424"/>
      <c r="K67" s="354"/>
      <c r="L67" s="354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4"/>
      <c r="AB67" s="214"/>
      <c r="AC67" s="214"/>
      <c r="AD67" s="214"/>
    </row>
    <row r="68" spans="1:30" ht="15" customHeight="1" thickBot="1" x14ac:dyDescent="0.3">
      <c r="A68" s="432" t="s">
        <v>209</v>
      </c>
      <c r="B68" s="433"/>
      <c r="C68" s="433"/>
      <c r="D68" s="451" t="s">
        <v>149</v>
      </c>
      <c r="E68" s="452" t="s">
        <v>150</v>
      </c>
      <c r="F68" s="526"/>
      <c r="G68" s="924" t="s">
        <v>201</v>
      </c>
      <c r="H68" s="928">
        <f>H67/'Phase I Financial'!C77</f>
        <v>1.0307445094018966E-3</v>
      </c>
      <c r="I68" s="1010">
        <v>0</v>
      </c>
      <c r="J68" s="424"/>
      <c r="K68" s="354"/>
      <c r="L68" s="354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4"/>
      <c r="AB68" s="214"/>
      <c r="AC68" s="214"/>
      <c r="AD68" s="214"/>
    </row>
    <row r="69" spans="1:30" ht="15" customHeight="1" thickBot="1" x14ac:dyDescent="0.3">
      <c r="A69" s="644" t="s">
        <v>210</v>
      </c>
      <c r="B69" s="298"/>
      <c r="C69" s="298"/>
      <c r="D69" s="346"/>
      <c r="E69" s="347"/>
      <c r="F69" s="526"/>
      <c r="G69" s="968" t="s">
        <v>211</v>
      </c>
      <c r="H69" s="922"/>
      <c r="I69" s="923"/>
      <c r="J69" s="424"/>
      <c r="K69" s="354"/>
      <c r="L69" s="354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4"/>
      <c r="AB69" s="214"/>
      <c r="AC69" s="214"/>
      <c r="AD69" s="214"/>
    </row>
    <row r="70" spans="1:30" ht="15" customHeight="1" x14ac:dyDescent="0.25">
      <c r="A70" s="300" t="s">
        <v>212</v>
      </c>
      <c r="B70" s="301"/>
      <c r="C70" s="301"/>
      <c r="D70" s="340">
        <v>0</v>
      </c>
      <c r="E70" s="852">
        <v>63750</v>
      </c>
      <c r="F70" s="526"/>
      <c r="G70" s="925" t="s">
        <v>213</v>
      </c>
      <c r="H70" s="926">
        <f>(180*6)*10</f>
        <v>10800</v>
      </c>
      <c r="I70" s="1009">
        <v>0</v>
      </c>
      <c r="J70" s="424"/>
      <c r="K70" s="354"/>
      <c r="L70" s="354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4"/>
      <c r="AB70" s="214"/>
      <c r="AC70" s="214"/>
      <c r="AD70" s="214"/>
    </row>
    <row r="71" spans="1:30" ht="15" customHeight="1" x14ac:dyDescent="0.25">
      <c r="A71" s="322" t="s">
        <v>214</v>
      </c>
      <c r="B71" s="333"/>
      <c r="C71" s="333"/>
      <c r="D71" s="334">
        <v>425</v>
      </c>
      <c r="E71" s="335">
        <v>425</v>
      </c>
      <c r="F71" s="526"/>
      <c r="G71" s="927" t="s">
        <v>200</v>
      </c>
      <c r="H71" s="929">
        <f>H70*16</f>
        <v>172800</v>
      </c>
      <c r="I71" s="969">
        <v>0</v>
      </c>
      <c r="J71" s="424"/>
      <c r="K71" s="354"/>
      <c r="L71" s="354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4"/>
      <c r="AB71" s="214"/>
      <c r="AC71" s="214"/>
      <c r="AD71" s="214"/>
    </row>
    <row r="72" spans="1:30" ht="15" customHeight="1" thickBot="1" x14ac:dyDescent="0.3">
      <c r="A72" s="322" t="s">
        <v>215</v>
      </c>
      <c r="B72" s="333"/>
      <c r="C72" s="333"/>
      <c r="D72" s="421">
        <f>D70/D71</f>
        <v>0</v>
      </c>
      <c r="E72" s="422">
        <f>E70/E71</f>
        <v>150</v>
      </c>
      <c r="F72" s="521"/>
      <c r="G72" s="924" t="s">
        <v>201</v>
      </c>
      <c r="H72" s="928">
        <f>H71/'Phase I Financial'!C77</f>
        <v>5.4909487853455942E-4</v>
      </c>
      <c r="I72" s="1010">
        <v>0</v>
      </c>
      <c r="J72" s="424"/>
      <c r="K72" s="354"/>
      <c r="L72" s="354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4"/>
      <c r="AB72" s="214"/>
      <c r="AC72" s="214"/>
      <c r="AD72" s="214"/>
    </row>
    <row r="73" spans="1:30" ht="15" customHeight="1" thickBot="1" x14ac:dyDescent="0.3">
      <c r="A73" s="322" t="s">
        <v>216</v>
      </c>
      <c r="B73" s="333"/>
      <c r="C73" s="333"/>
      <c r="D73" s="377">
        <v>195</v>
      </c>
      <c r="E73" s="378">
        <v>195</v>
      </c>
      <c r="F73" s="522"/>
      <c r="G73" s="780" t="s">
        <v>124</v>
      </c>
      <c r="H73" s="777"/>
      <c r="I73" s="844"/>
      <c r="J73" s="424"/>
      <c r="K73" s="354"/>
      <c r="L73" s="354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4"/>
      <c r="AB73" s="214"/>
      <c r="AC73" s="214"/>
      <c r="AD73" s="214"/>
    </row>
    <row r="74" spans="1:30" ht="15" customHeight="1" x14ac:dyDescent="0.25">
      <c r="A74" s="322" t="s">
        <v>217</v>
      </c>
      <c r="B74" s="333"/>
      <c r="C74" s="333"/>
      <c r="D74" s="379">
        <v>0.67700000000000005</v>
      </c>
      <c r="E74" s="380">
        <v>0.67700000000000005</v>
      </c>
      <c r="F74" s="522"/>
      <c r="G74" s="719" t="s">
        <v>218</v>
      </c>
      <c r="H74" s="720">
        <v>0</v>
      </c>
      <c r="I74" s="721">
        <f>46300*'Phase II Financial'!B58</f>
        <v>11343500</v>
      </c>
      <c r="J74" s="424"/>
      <c r="K74" s="354"/>
      <c r="L74" s="354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4"/>
      <c r="AB74" s="214"/>
      <c r="AC74" s="214"/>
      <c r="AD74" s="214"/>
    </row>
    <row r="75" spans="1:30" ht="15" customHeight="1" thickBot="1" x14ac:dyDescent="0.3">
      <c r="A75" s="381" t="s">
        <v>219</v>
      </c>
      <c r="B75" s="382"/>
      <c r="C75" s="382"/>
      <c r="D75" s="351">
        <f>D73*D74</f>
        <v>132.01500000000001</v>
      </c>
      <c r="E75" s="374">
        <f>E73*E74</f>
        <v>132.01500000000001</v>
      </c>
      <c r="F75" s="522"/>
      <c r="G75" s="703" t="s">
        <v>201</v>
      </c>
      <c r="H75" s="722">
        <v>0</v>
      </c>
      <c r="I75" s="718">
        <f>I74/'Phase II Financial'!C86</f>
        <v>6.381205143330726E-2</v>
      </c>
      <c r="J75" s="424"/>
      <c r="K75" s="354"/>
      <c r="L75" s="354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4"/>
      <c r="AB75" s="214"/>
      <c r="AC75" s="214"/>
      <c r="AD75" s="214"/>
    </row>
    <row r="76" spans="1:30" ht="15" customHeight="1" thickBot="1" x14ac:dyDescent="0.3">
      <c r="A76" s="300" t="s">
        <v>220</v>
      </c>
      <c r="B76" s="301"/>
      <c r="C76" s="301"/>
      <c r="D76" s="336">
        <f>D72*D75</f>
        <v>0</v>
      </c>
      <c r="E76" s="337">
        <f>E72*E75</f>
        <v>19802.250000000004</v>
      </c>
      <c r="F76" s="527"/>
      <c r="G76" s="559" t="s">
        <v>221</v>
      </c>
      <c r="H76" s="723"/>
      <c r="I76" s="724"/>
      <c r="J76" s="424"/>
      <c r="K76" s="354"/>
      <c r="L76" s="354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4"/>
      <c r="AB76" s="214"/>
      <c r="AC76" s="214"/>
      <c r="AD76" s="214"/>
    </row>
    <row r="77" spans="1:30" ht="15" customHeight="1" thickBot="1" x14ac:dyDescent="0.3">
      <c r="A77" s="644" t="s">
        <v>222</v>
      </c>
      <c r="B77" s="505"/>
      <c r="C77" s="505"/>
      <c r="D77" s="506"/>
      <c r="E77" s="507"/>
      <c r="F77" s="528"/>
      <c r="G77" s="719" t="s">
        <v>223</v>
      </c>
      <c r="H77" s="720">
        <v>0</v>
      </c>
      <c r="I77" s="721">
        <f>E78*'Phase II Financial'!B58*50%</f>
        <v>3111500</v>
      </c>
      <c r="J77" s="424"/>
      <c r="K77" s="354"/>
      <c r="L77" s="354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15"/>
      <c r="Y77" s="215"/>
      <c r="Z77" s="215"/>
      <c r="AA77" s="214"/>
      <c r="AB77" s="214"/>
      <c r="AC77" s="214"/>
      <c r="AD77" s="214"/>
    </row>
    <row r="78" spans="1:30" ht="15" customHeight="1" thickBot="1" x14ac:dyDescent="0.3">
      <c r="A78" s="508" t="s">
        <v>224</v>
      </c>
      <c r="B78" s="298"/>
      <c r="C78" s="298"/>
      <c r="D78" s="509">
        <v>0</v>
      </c>
      <c r="E78" s="851">
        <v>25400</v>
      </c>
      <c r="F78" s="525"/>
      <c r="G78" s="703" t="s">
        <v>201</v>
      </c>
      <c r="H78" s="725">
        <v>0</v>
      </c>
      <c r="I78" s="712">
        <f>I77/'Phase II Financial'!C86</f>
        <v>1.7503521667451453E-2</v>
      </c>
      <c r="J78" s="424"/>
      <c r="K78" s="354"/>
      <c r="L78" s="354"/>
      <c r="M78" s="215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15"/>
      <c r="Y78" s="215"/>
      <c r="Z78" s="215"/>
      <c r="AA78" s="214"/>
      <c r="AB78" s="214"/>
      <c r="AC78" s="214"/>
      <c r="AD78" s="214"/>
    </row>
    <row r="79" spans="1:30" ht="15" customHeight="1" thickBot="1" x14ac:dyDescent="0.3">
      <c r="A79" s="424"/>
      <c r="B79" s="424"/>
      <c r="C79" s="424"/>
      <c r="D79" s="424"/>
      <c r="E79" s="424"/>
      <c r="F79" s="524"/>
      <c r="G79" s="559" t="s">
        <v>127</v>
      </c>
      <c r="H79" s="560"/>
      <c r="I79" s="561"/>
      <c r="J79" s="424"/>
      <c r="K79" s="354"/>
      <c r="L79" s="354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4"/>
      <c r="AB79" s="214"/>
      <c r="AC79" s="214"/>
      <c r="AD79" s="214"/>
    </row>
    <row r="80" spans="1:30" ht="15" customHeight="1" thickBot="1" x14ac:dyDescent="0.3">
      <c r="A80" s="678" t="s">
        <v>225</v>
      </c>
      <c r="B80" s="687"/>
      <c r="C80" s="688"/>
      <c r="D80" s="529"/>
      <c r="E80" s="530"/>
      <c r="F80" s="524"/>
      <c r="G80" s="726" t="s">
        <v>226</v>
      </c>
      <c r="H80" s="727">
        <f>1-H56-H60-H64-H68-H72</f>
        <v>0.38708446370412403</v>
      </c>
      <c r="I80" s="728">
        <f>1-I56-I60-I64-I75-I78</f>
        <v>0.30922744636389232</v>
      </c>
      <c r="J80" s="424"/>
      <c r="K80" s="354"/>
      <c r="L80" s="354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 s="215"/>
      <c r="AA80" s="214"/>
      <c r="AB80" s="214"/>
      <c r="AC80" s="214"/>
      <c r="AD80" s="214"/>
    </row>
    <row r="81" spans="1:30" ht="15" customHeight="1" thickBot="1" x14ac:dyDescent="0.3">
      <c r="A81" s="874" t="s">
        <v>227</v>
      </c>
      <c r="B81" s="875"/>
      <c r="C81" s="876"/>
      <c r="D81" s="424"/>
      <c r="E81" s="424"/>
      <c r="F81" s="524"/>
      <c r="G81" s="516"/>
      <c r="H81" s="516"/>
      <c r="I81" s="516"/>
      <c r="J81" s="424"/>
      <c r="K81" s="354"/>
      <c r="L81" s="354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4"/>
      <c r="AB81" s="214"/>
      <c r="AC81" s="214"/>
      <c r="AD81" s="214"/>
    </row>
    <row r="82" spans="1:30" ht="15" customHeight="1" x14ac:dyDescent="0.25">
      <c r="A82" s="384" t="s">
        <v>228</v>
      </c>
      <c r="B82" s="833">
        <v>1</v>
      </c>
      <c r="C82" s="1012" t="s">
        <v>229</v>
      </c>
      <c r="D82" s="424"/>
      <c r="E82" s="424"/>
      <c r="F82" s="424"/>
      <c r="G82" s="424"/>
      <c r="H82" s="424"/>
      <c r="I82" s="424"/>
      <c r="J82" s="424"/>
      <c r="K82" s="354"/>
      <c r="L82" s="354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4"/>
      <c r="AB82" s="214"/>
      <c r="AC82" s="214"/>
      <c r="AD82" s="214"/>
    </row>
    <row r="83" spans="1:30" ht="15" customHeight="1" thickBot="1" x14ac:dyDescent="0.3">
      <c r="A83" s="834" t="s">
        <v>230</v>
      </c>
      <c r="B83" s="832">
        <v>1.25</v>
      </c>
      <c r="C83" s="1013" t="s">
        <v>229</v>
      </c>
      <c r="D83" s="424"/>
      <c r="E83" s="424"/>
      <c r="F83" s="424"/>
      <c r="G83" s="516"/>
      <c r="H83" s="516"/>
      <c r="I83" s="516"/>
      <c r="J83" s="424"/>
      <c r="K83" s="354"/>
      <c r="L83" s="354"/>
      <c r="M83" s="215"/>
      <c r="N83" s="215"/>
      <c r="O83" s="215"/>
      <c r="P83" s="215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4"/>
      <c r="AB83" s="214"/>
      <c r="AC83" s="214"/>
      <c r="AD83" s="214"/>
    </row>
    <row r="84" spans="1:30" ht="15" customHeight="1" x14ac:dyDescent="0.25">
      <c r="A84" s="384" t="s">
        <v>231</v>
      </c>
      <c r="B84" s="829">
        <v>2</v>
      </c>
      <c r="C84" s="1013" t="s">
        <v>229</v>
      </c>
      <c r="D84" s="424"/>
      <c r="E84" s="424"/>
      <c r="F84" s="424"/>
      <c r="G84" s="541" t="s">
        <v>90</v>
      </c>
      <c r="H84" s="545" t="s">
        <v>141</v>
      </c>
      <c r="I84" s="546"/>
      <c r="J84" s="424"/>
      <c r="K84" s="354"/>
      <c r="L84" s="354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4"/>
      <c r="AB84" s="214"/>
      <c r="AC84" s="214"/>
      <c r="AD84" s="214"/>
    </row>
    <row r="85" spans="1:30" ht="15" customHeight="1" thickBot="1" x14ac:dyDescent="0.3">
      <c r="A85" s="835" t="s">
        <v>232</v>
      </c>
      <c r="B85" s="832">
        <f>1/100</f>
        <v>0.01</v>
      </c>
      <c r="C85" s="1013" t="s">
        <v>233</v>
      </c>
      <c r="D85" s="424"/>
      <c r="E85" s="424"/>
      <c r="F85" s="424"/>
      <c r="G85" s="547"/>
      <c r="H85" s="549" t="s">
        <v>93</v>
      </c>
      <c r="I85" s="550" t="s">
        <v>94</v>
      </c>
      <c r="J85" s="424"/>
      <c r="K85" s="354"/>
      <c r="L85" s="354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4"/>
      <c r="AB85" s="214"/>
      <c r="AC85" s="214"/>
      <c r="AD85" s="214"/>
    </row>
    <row r="86" spans="1:30" ht="15" customHeight="1" x14ac:dyDescent="0.25">
      <c r="A86" s="835" t="s">
        <v>234</v>
      </c>
      <c r="B86" s="830">
        <f>1/300</f>
        <v>3.3333333333333335E-3</v>
      </c>
      <c r="C86" s="1013" t="s">
        <v>233</v>
      </c>
      <c r="D86" s="424"/>
      <c r="E86" s="424"/>
      <c r="F86" s="424"/>
      <c r="G86" s="602" t="s">
        <v>96</v>
      </c>
      <c r="H86" s="850" t="s">
        <v>235</v>
      </c>
      <c r="I86" s="729" t="s">
        <v>236</v>
      </c>
      <c r="J86" s="424"/>
      <c r="K86" s="354"/>
      <c r="L86" s="354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4"/>
      <c r="AB86" s="214"/>
      <c r="AC86" s="214"/>
      <c r="AD86" s="214"/>
    </row>
    <row r="87" spans="1:30" ht="15" customHeight="1" x14ac:dyDescent="0.25">
      <c r="A87" s="835" t="s">
        <v>45</v>
      </c>
      <c r="B87" s="831">
        <f>1/3</f>
        <v>0.33333333333333331</v>
      </c>
      <c r="C87" s="1014" t="s">
        <v>237</v>
      </c>
      <c r="D87" s="424"/>
      <c r="E87" s="424"/>
      <c r="F87" s="424"/>
      <c r="G87" s="100" t="s">
        <v>98</v>
      </c>
      <c r="H87" s="730" t="s">
        <v>238</v>
      </c>
      <c r="I87" s="731" t="s">
        <v>239</v>
      </c>
      <c r="J87" s="424"/>
      <c r="K87" s="354"/>
      <c r="L87" s="354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4"/>
      <c r="AB87" s="214"/>
      <c r="AC87" s="214"/>
      <c r="AD87" s="214"/>
    </row>
    <row r="88" spans="1:30" ht="15" customHeight="1" x14ac:dyDescent="0.25">
      <c r="A88" s="835" t="s">
        <v>65</v>
      </c>
      <c r="B88" s="830">
        <f>1/300</f>
        <v>3.3333333333333335E-3</v>
      </c>
      <c r="C88" s="1013" t="s">
        <v>233</v>
      </c>
      <c r="D88" s="424"/>
      <c r="E88" s="424"/>
      <c r="F88" s="424"/>
      <c r="G88" s="732" t="s">
        <v>100</v>
      </c>
      <c r="H88" s="733" t="s">
        <v>240</v>
      </c>
      <c r="I88" s="734" t="s">
        <v>241</v>
      </c>
      <c r="J88" s="424"/>
      <c r="K88" s="354"/>
      <c r="L88" s="354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4"/>
      <c r="AB88" s="214"/>
      <c r="AC88" s="214"/>
      <c r="AD88" s="214"/>
    </row>
    <row r="89" spans="1:30" ht="15" customHeight="1" thickBot="1" x14ac:dyDescent="0.3">
      <c r="A89" s="834" t="s">
        <v>242</v>
      </c>
      <c r="B89" s="824">
        <f>1/2</f>
        <v>0.5</v>
      </c>
      <c r="C89" s="1015" t="s">
        <v>243</v>
      </c>
      <c r="D89" s="424"/>
      <c r="E89" s="424"/>
      <c r="F89" s="424"/>
      <c r="G89" s="252" t="s">
        <v>102</v>
      </c>
      <c r="H89" s="735" t="s">
        <v>244</v>
      </c>
      <c r="I89" s="736" t="s">
        <v>245</v>
      </c>
      <c r="J89" s="424"/>
      <c r="K89" s="354"/>
      <c r="L89" s="354"/>
      <c r="M89" s="215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4"/>
      <c r="AB89" s="214"/>
      <c r="AC89" s="214"/>
      <c r="AD89" s="214"/>
    </row>
    <row r="90" spans="1:30" ht="15" customHeight="1" x14ac:dyDescent="0.25">
      <c r="A90" s="836" t="s">
        <v>246</v>
      </c>
      <c r="B90" s="1011"/>
      <c r="C90" s="1016">
        <v>325</v>
      </c>
      <c r="D90" s="424"/>
      <c r="E90" s="424"/>
      <c r="F90" s="424"/>
      <c r="G90" s="424"/>
      <c r="H90" s="424"/>
      <c r="I90" s="424"/>
      <c r="J90" s="424"/>
      <c r="K90" s="354"/>
      <c r="L90" s="354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4"/>
      <c r="AB90" s="214"/>
      <c r="AC90" s="214"/>
      <c r="AD90" s="214"/>
    </row>
    <row r="91" spans="1:30" ht="15" customHeight="1" x14ac:dyDescent="0.25">
      <c r="A91" s="385"/>
      <c r="B91" s="383"/>
      <c r="C91" s="386"/>
      <c r="D91" s="424"/>
      <c r="E91" s="424"/>
      <c r="F91" s="424"/>
      <c r="G91" s="424"/>
      <c r="H91" s="424"/>
      <c r="I91" s="424"/>
      <c r="J91" s="424"/>
      <c r="K91" s="354"/>
      <c r="L91" s="354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4"/>
      <c r="AB91" s="214"/>
      <c r="AC91" s="214"/>
      <c r="AD91" s="214"/>
    </row>
    <row r="92" spans="1:30" ht="15" customHeight="1" x14ac:dyDescent="0.25">
      <c r="A92" s="385"/>
      <c r="B92" s="810" t="s">
        <v>149</v>
      </c>
      <c r="C92" s="811" t="s">
        <v>150</v>
      </c>
      <c r="D92" s="424"/>
      <c r="E92" s="424"/>
      <c r="F92" s="424"/>
      <c r="G92" s="424"/>
      <c r="H92" s="424"/>
      <c r="I92" s="424"/>
      <c r="J92" s="424"/>
      <c r="K92" s="354"/>
      <c r="L92" s="354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4"/>
      <c r="AB92" s="214"/>
      <c r="AC92" s="214"/>
      <c r="AD92" s="214"/>
    </row>
    <row r="93" spans="1:30" ht="15" customHeight="1" x14ac:dyDescent="0.25">
      <c r="A93" s="837" t="s">
        <v>247</v>
      </c>
      <c r="B93" s="825">
        <f>((Assumptions!D6+Assumptions!D28)*Assumptions!B82)+((Assumptions!D11+Assumptions!D33)*Assumptions!B83)+((Assumptions!D16+Assumptions!D21+Assumptions!D38+Assumptions!D43)*Assumptions!B84)</f>
        <v>835.62939560439565</v>
      </c>
      <c r="C93" s="838">
        <f>((Assumptions!E6+Assumptions!E28)*Assumptions!B82)+((Assumptions!E11+Assumptions!E33)*Assumptions!B83)+((Assumptions!E16+Assumptions!E21+Assumptions!E38+Assumptions!E43)*Assumptions!B84)</f>
        <v>270.14868131868133</v>
      </c>
      <c r="D93" s="424"/>
      <c r="E93" s="424"/>
      <c r="F93" s="424"/>
      <c r="G93" s="424"/>
      <c r="H93" s="424"/>
      <c r="I93" s="424"/>
      <c r="J93" s="424"/>
      <c r="K93" s="354"/>
      <c r="L93" s="354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4"/>
      <c r="AB93" s="214"/>
      <c r="AC93" s="214"/>
      <c r="AD93" s="214"/>
    </row>
    <row r="94" spans="1:30" ht="15" customHeight="1" x14ac:dyDescent="0.25">
      <c r="A94" s="837" t="s">
        <v>248</v>
      </c>
      <c r="B94" s="827">
        <f>(Assumptions!D50*Assumptions!H50*Assumptions!B85)+(Assumptions!D50*Assumptions!H51*Assumptions!B86)+(Assumptions!D56*Assumptions!B88)+(Assumptions!D65*Assumptions!B89)</f>
        <v>1205.5999999999999</v>
      </c>
      <c r="C94" s="838">
        <f>(Assumptions!E50*Assumptions!H50*Assumptions!B85)+(Assumptions!E50*Assumptions!H51*Assumptions!B86)+(Assumptions!E56*Assumptions!B88)+(Assumptions!E65*Assumptions!B89)</f>
        <v>250.95000000000002</v>
      </c>
      <c r="D94" s="424"/>
      <c r="E94" s="424"/>
      <c r="F94" s="424"/>
      <c r="G94" s="424"/>
      <c r="H94" s="424"/>
      <c r="I94" s="424"/>
      <c r="J94" s="424"/>
      <c r="K94" s="354"/>
      <c r="L94" s="354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4"/>
      <c r="AB94" s="214"/>
      <c r="AC94" s="214"/>
      <c r="AD94" s="214"/>
    </row>
    <row r="95" spans="1:30" ht="15" customHeight="1" x14ac:dyDescent="0.25">
      <c r="A95" s="837" t="s">
        <v>249</v>
      </c>
      <c r="B95" s="828">
        <f>SUM(B93:B94)</f>
        <v>2041.2293956043954</v>
      </c>
      <c r="C95" s="838">
        <f>SUM(C93:C94)</f>
        <v>521.09868131868132</v>
      </c>
      <c r="D95" s="424"/>
      <c r="E95" s="424"/>
      <c r="F95" s="424"/>
      <c r="G95" s="1018"/>
      <c r="H95" s="532"/>
      <c r="I95" s="424"/>
      <c r="J95" s="424"/>
      <c r="K95" s="354"/>
      <c r="L95" s="354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4"/>
      <c r="AB95" s="214"/>
      <c r="AC95" s="214"/>
      <c r="AD95" s="214"/>
    </row>
    <row r="96" spans="1:30" ht="15" customHeight="1" x14ac:dyDescent="0.25">
      <c r="A96" s="839" t="s">
        <v>250</v>
      </c>
      <c r="B96" s="825">
        <f>B95*(2/3)</f>
        <v>1360.819597069597</v>
      </c>
      <c r="C96" s="838">
        <f>C95*(2/3)</f>
        <v>347.39912087912086</v>
      </c>
      <c r="D96" s="424"/>
      <c r="E96" s="424"/>
      <c r="F96" s="424"/>
      <c r="G96" s="1018"/>
      <c r="H96" s="1019"/>
      <c r="I96" s="424"/>
      <c r="J96" s="424"/>
      <c r="K96" s="354"/>
      <c r="L96" s="354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4"/>
      <c r="AB96" s="214"/>
      <c r="AC96" s="214"/>
      <c r="AD96" s="214"/>
    </row>
    <row r="97" spans="1:34" ht="15" customHeight="1" x14ac:dyDescent="0.25">
      <c r="A97" s="840" t="s">
        <v>251</v>
      </c>
      <c r="B97" s="849">
        <f>(B106+B107)/16</f>
        <v>225.3125</v>
      </c>
      <c r="C97" s="848">
        <f>(C106+C107)/16</f>
        <v>132.8125</v>
      </c>
      <c r="D97" s="424"/>
      <c r="E97" s="424"/>
      <c r="F97" s="424"/>
      <c r="G97" s="1018"/>
      <c r="H97" s="1019"/>
      <c r="I97" s="424"/>
      <c r="J97" s="424"/>
      <c r="K97" s="354"/>
      <c r="L97" s="354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4"/>
      <c r="AB97" s="214"/>
      <c r="AC97" s="214"/>
      <c r="AD97" s="214"/>
    </row>
    <row r="98" spans="1:34" ht="15" customHeight="1" x14ac:dyDescent="0.25">
      <c r="A98" s="841" t="s">
        <v>252</v>
      </c>
      <c r="B98" s="826">
        <f>B96-B97</f>
        <v>1135.507097069597</v>
      </c>
      <c r="C98" s="842">
        <f>IF(C96-C97&lt;C93,C93,C96-C97)</f>
        <v>270.14868131868133</v>
      </c>
      <c r="D98" s="424"/>
      <c r="E98" s="424"/>
      <c r="F98" s="424"/>
      <c r="G98" s="1018"/>
      <c r="H98" s="532"/>
      <c r="I98" s="424"/>
      <c r="J98" s="424"/>
      <c r="K98" s="354"/>
      <c r="L98" s="354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4"/>
      <c r="AB98" s="214"/>
      <c r="AC98" s="214"/>
      <c r="AD98" s="214"/>
    </row>
    <row r="99" spans="1:34" ht="15" customHeight="1" x14ac:dyDescent="0.25">
      <c r="A99" s="384"/>
      <c r="B99" s="807"/>
      <c r="C99" s="809"/>
      <c r="D99" s="424"/>
      <c r="E99" s="424"/>
      <c r="F99" s="424"/>
      <c r="G99" s="1018"/>
      <c r="H99" s="532"/>
      <c r="I99" s="424"/>
      <c r="J99" s="424"/>
      <c r="K99" s="354"/>
      <c r="L99" s="354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4"/>
      <c r="AB99" s="214"/>
      <c r="AC99" s="214"/>
      <c r="AD99" s="214"/>
    </row>
    <row r="100" spans="1:34" ht="15" customHeight="1" x14ac:dyDescent="0.25">
      <c r="A100" s="843" t="s">
        <v>253</v>
      </c>
      <c r="B100" s="872"/>
      <c r="C100" s="873">
        <v>22500</v>
      </c>
      <c r="D100" s="424"/>
      <c r="E100" s="424"/>
      <c r="F100" s="424"/>
      <c r="G100" s="1018"/>
      <c r="H100" s="532"/>
      <c r="I100" s="424"/>
      <c r="J100" s="424"/>
      <c r="K100" s="354"/>
      <c r="L100" s="354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4"/>
      <c r="AB100" s="214"/>
      <c r="AC100" s="214"/>
      <c r="AD100" s="214"/>
    </row>
    <row r="101" spans="1:34" ht="15" customHeight="1" thickBot="1" x14ac:dyDescent="0.3">
      <c r="A101" s="387" t="s">
        <v>254</v>
      </c>
      <c r="B101" s="871">
        <v>150</v>
      </c>
      <c r="C101" s="388"/>
      <c r="D101" s="424"/>
      <c r="E101" s="424"/>
      <c r="F101" s="424"/>
      <c r="G101" s="424"/>
      <c r="H101" s="532"/>
      <c r="I101" s="424"/>
      <c r="J101" s="424"/>
      <c r="K101" s="354"/>
      <c r="L101" s="354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4"/>
      <c r="AB101" s="214"/>
      <c r="AC101" s="214"/>
      <c r="AD101" s="214"/>
    </row>
    <row r="102" spans="1:34" ht="15" customHeight="1" x14ac:dyDescent="0.25">
      <c r="A102" s="424"/>
      <c r="B102" s="424"/>
      <c r="C102" s="424"/>
      <c r="D102" s="516"/>
      <c r="E102" s="516"/>
      <c r="F102" s="424"/>
      <c r="G102" s="424"/>
      <c r="H102" s="424"/>
      <c r="I102" s="424"/>
      <c r="J102" s="424"/>
      <c r="K102" s="354"/>
      <c r="L102" s="354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4"/>
      <c r="AB102" s="214"/>
      <c r="AC102" s="214"/>
      <c r="AD102" s="214"/>
    </row>
    <row r="103" spans="1:34" ht="15" customHeight="1" thickBot="1" x14ac:dyDescent="0.3">
      <c r="A103" s="424"/>
      <c r="B103" s="424"/>
      <c r="C103" s="424"/>
      <c r="D103" s="424"/>
      <c r="E103" s="424"/>
      <c r="F103" s="424"/>
      <c r="G103" s="424"/>
      <c r="H103" s="532"/>
      <c r="I103" s="424"/>
      <c r="J103" s="424"/>
      <c r="K103" s="354"/>
      <c r="L103" s="354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4"/>
      <c r="AB103" s="214"/>
      <c r="AC103" s="214"/>
      <c r="AD103" s="214"/>
    </row>
    <row r="104" spans="1:34" ht="15" customHeight="1" x14ac:dyDescent="0.25">
      <c r="A104" s="1118" t="s">
        <v>255</v>
      </c>
      <c r="B104" s="1119"/>
      <c r="C104" s="1120"/>
      <c r="D104" s="822"/>
      <c r="E104" s="822"/>
      <c r="F104" s="823"/>
      <c r="G104" s="519"/>
      <c r="H104" s="520"/>
      <c r="I104" s="354"/>
      <c r="J104" s="354"/>
      <c r="K104" s="354"/>
      <c r="L104" s="354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4"/>
      <c r="AB104" s="214"/>
      <c r="AC104" s="214"/>
      <c r="AD104" s="214"/>
      <c r="AE104" s="214"/>
      <c r="AF104" s="214"/>
      <c r="AG104" s="214"/>
    </row>
    <row r="105" spans="1:34" ht="15" customHeight="1" x14ac:dyDescent="0.25">
      <c r="A105" s="689"/>
      <c r="B105" s="354" t="s">
        <v>149</v>
      </c>
      <c r="C105" s="786" t="s">
        <v>150</v>
      </c>
      <c r="D105" s="777" t="s">
        <v>256</v>
      </c>
      <c r="E105" s="777"/>
      <c r="F105" s="844"/>
      <c r="G105" s="424"/>
      <c r="H105" s="516"/>
      <c r="I105" s="516"/>
      <c r="J105" s="516"/>
      <c r="K105" s="354"/>
      <c r="L105" s="354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4"/>
      <c r="AB105" s="214"/>
      <c r="AC105" s="214"/>
      <c r="AD105" s="214"/>
      <c r="AE105" s="214"/>
      <c r="AF105" s="214"/>
      <c r="AG105" s="214"/>
      <c r="AH105" s="214"/>
    </row>
    <row r="106" spans="1:34" ht="15" customHeight="1" x14ac:dyDescent="0.25">
      <c r="A106" s="794" t="s">
        <v>257</v>
      </c>
      <c r="B106" s="853">
        <v>1415</v>
      </c>
      <c r="C106" s="864">
        <v>1675</v>
      </c>
      <c r="D106" s="354" t="s">
        <v>258</v>
      </c>
      <c r="E106" s="354"/>
      <c r="F106" s="786"/>
      <c r="G106" s="424"/>
      <c r="H106" s="516"/>
      <c r="I106" s="516"/>
      <c r="J106" s="516"/>
      <c r="K106" s="354"/>
      <c r="L106" s="354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4"/>
      <c r="AB106" s="214"/>
      <c r="AC106" s="214"/>
      <c r="AD106" s="214"/>
      <c r="AE106" s="214"/>
      <c r="AF106" s="214"/>
      <c r="AG106" s="214"/>
      <c r="AH106" s="214"/>
    </row>
    <row r="107" spans="1:34" ht="15" customHeight="1" x14ac:dyDescent="0.25">
      <c r="A107" s="859" t="s">
        <v>259</v>
      </c>
      <c r="B107" s="857">
        <v>2190</v>
      </c>
      <c r="C107" s="865">
        <v>450</v>
      </c>
      <c r="D107" s="862" t="s">
        <v>260</v>
      </c>
      <c r="E107" s="801"/>
      <c r="F107" s="858"/>
      <c r="G107" s="354"/>
      <c r="H107" s="354"/>
      <c r="I107" s="354"/>
      <c r="J107" s="354"/>
      <c r="K107" s="354"/>
      <c r="L107" s="354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4"/>
      <c r="AB107" s="214"/>
      <c r="AC107" s="214"/>
      <c r="AD107" s="214"/>
      <c r="AE107" s="214"/>
      <c r="AF107" s="214"/>
      <c r="AG107" s="214"/>
      <c r="AH107" s="214"/>
    </row>
    <row r="108" spans="1:34" ht="15" customHeight="1" x14ac:dyDescent="0.25">
      <c r="A108" s="859" t="s">
        <v>261</v>
      </c>
      <c r="B108" s="855">
        <v>1250</v>
      </c>
      <c r="C108" s="866">
        <v>840</v>
      </c>
      <c r="D108" s="862" t="s">
        <v>262</v>
      </c>
      <c r="E108" s="801"/>
      <c r="F108" s="858"/>
      <c r="G108" s="354"/>
      <c r="H108" s="354"/>
      <c r="I108" s="354"/>
      <c r="J108" s="354"/>
      <c r="K108" s="354"/>
      <c r="L108" s="354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4"/>
      <c r="AB108" s="214"/>
      <c r="AC108" s="214"/>
      <c r="AD108" s="214"/>
      <c r="AE108" s="214"/>
      <c r="AF108" s="214"/>
      <c r="AG108" s="214"/>
      <c r="AH108" s="214"/>
    </row>
    <row r="109" spans="1:34" ht="15" customHeight="1" x14ac:dyDescent="0.25">
      <c r="A109" s="859" t="s">
        <v>263</v>
      </c>
      <c r="B109" s="856">
        <v>600</v>
      </c>
      <c r="C109" s="867">
        <v>1850</v>
      </c>
      <c r="D109" s="863" t="s">
        <v>264</v>
      </c>
      <c r="E109" s="773"/>
      <c r="F109" s="860"/>
      <c r="G109" s="354"/>
      <c r="H109" s="354"/>
      <c r="I109" s="354"/>
      <c r="J109" s="354"/>
      <c r="K109" s="354"/>
      <c r="L109" s="354"/>
      <c r="M109" s="215"/>
      <c r="N109" s="215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4"/>
      <c r="AB109" s="214"/>
      <c r="AC109" s="214"/>
      <c r="AD109" s="214"/>
      <c r="AE109" s="214"/>
      <c r="AF109" s="214"/>
      <c r="AG109" s="214"/>
      <c r="AH109" s="214"/>
    </row>
    <row r="110" spans="1:34" ht="15" customHeight="1" x14ac:dyDescent="0.25">
      <c r="A110" s="861" t="s">
        <v>265</v>
      </c>
      <c r="B110" s="854">
        <v>102900</v>
      </c>
      <c r="C110" s="868">
        <v>436200</v>
      </c>
      <c r="D110" s="354"/>
      <c r="E110" s="354"/>
      <c r="F110" s="786"/>
      <c r="G110" s="354"/>
      <c r="H110" s="354"/>
      <c r="I110" s="354"/>
      <c r="J110" s="354"/>
      <c r="K110" s="354"/>
      <c r="L110" s="354"/>
      <c r="M110" s="215"/>
      <c r="N110" s="215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4"/>
      <c r="AB110" s="214"/>
      <c r="AC110" s="214"/>
      <c r="AD110" s="214"/>
      <c r="AE110" s="214"/>
      <c r="AF110" s="214"/>
      <c r="AG110" s="214"/>
      <c r="AH110" s="214"/>
    </row>
    <row r="111" spans="1:34" ht="15" customHeight="1" thickBot="1" x14ac:dyDescent="0.3">
      <c r="A111" s="685" t="s">
        <v>266</v>
      </c>
      <c r="B111" s="869">
        <v>87600</v>
      </c>
      <c r="C111" s="870">
        <v>101600</v>
      </c>
      <c r="D111" s="777"/>
      <c r="E111" s="777"/>
      <c r="F111" s="844"/>
      <c r="G111" s="354"/>
      <c r="H111" s="539"/>
      <c r="I111" s="539"/>
      <c r="J111" s="539"/>
      <c r="K111" s="539"/>
      <c r="L111" s="539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4"/>
      <c r="AB111" s="214"/>
      <c r="AC111" s="214"/>
      <c r="AD111" s="214"/>
      <c r="AE111" s="214"/>
      <c r="AF111" s="214"/>
      <c r="AG111" s="214"/>
      <c r="AH111" s="214"/>
    </row>
    <row r="112" spans="1:34" ht="15" customHeight="1" x14ac:dyDescent="0.25">
      <c r="A112" s="845"/>
      <c r="B112" s="846"/>
      <c r="C112" s="847"/>
      <c r="D112" s="354"/>
      <c r="E112" s="354"/>
      <c r="F112" s="354"/>
      <c r="G112" s="539"/>
      <c r="H112" s="539"/>
      <c r="I112" s="539"/>
      <c r="J112" s="539"/>
      <c r="K112" s="539"/>
      <c r="L112" s="539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4"/>
      <c r="AB112" s="214"/>
      <c r="AC112" s="214"/>
      <c r="AD112" s="214"/>
      <c r="AE112" s="214"/>
      <c r="AF112" s="214"/>
      <c r="AG112" s="214"/>
      <c r="AH112" s="214"/>
    </row>
    <row r="113" spans="1:34" ht="15" customHeight="1" x14ac:dyDescent="0.25">
      <c r="A113" s="519"/>
      <c r="B113" s="383"/>
      <c r="C113" s="1021"/>
      <c r="D113" s="354"/>
      <c r="E113" s="354"/>
      <c r="F113" s="354"/>
      <c r="G113" s="354"/>
      <c r="H113" s="354"/>
      <c r="I113" s="354"/>
      <c r="J113" s="354"/>
      <c r="K113" s="354"/>
      <c r="L113" s="354"/>
      <c r="M113" s="215"/>
      <c r="N113" s="215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4"/>
      <c r="AB113" s="214"/>
      <c r="AC113" s="214"/>
      <c r="AD113" s="214"/>
      <c r="AE113" s="214"/>
      <c r="AF113" s="214"/>
      <c r="AG113" s="214"/>
      <c r="AH113" s="214"/>
    </row>
    <row r="114" spans="1:34" ht="15" customHeight="1" x14ac:dyDescent="0.25">
      <c r="A114" s="216"/>
      <c r="B114" s="285"/>
      <c r="C114" s="286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4"/>
      <c r="AB114" s="214"/>
      <c r="AC114" s="214"/>
      <c r="AD114" s="214"/>
      <c r="AE114" s="214"/>
      <c r="AF114" s="214"/>
      <c r="AG114" s="214"/>
      <c r="AH114" s="214"/>
    </row>
    <row r="115" spans="1:34" ht="15" customHeight="1" x14ac:dyDescent="0.25">
      <c r="A115" s="215"/>
      <c r="B115" s="215"/>
      <c r="C115" s="215"/>
      <c r="D115" s="215"/>
      <c r="E115" s="215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4"/>
      <c r="AB115" s="214"/>
      <c r="AC115" s="214"/>
      <c r="AD115" s="214"/>
      <c r="AE115" s="214"/>
      <c r="AF115" s="214"/>
      <c r="AG115" s="214"/>
      <c r="AH115" s="214"/>
    </row>
    <row r="116" spans="1:34" ht="15" customHeight="1" x14ac:dyDescent="0.25">
      <c r="A116" s="215"/>
      <c r="B116" s="215"/>
      <c r="C116" s="215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4"/>
      <c r="AB116" s="214"/>
      <c r="AC116" s="214"/>
      <c r="AD116" s="214"/>
      <c r="AE116" s="214"/>
      <c r="AF116" s="214"/>
      <c r="AG116" s="214"/>
      <c r="AH116" s="214"/>
    </row>
    <row r="117" spans="1:34" ht="15" customHeight="1" x14ac:dyDescent="0.25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4"/>
      <c r="AB117" s="214"/>
      <c r="AC117" s="214"/>
      <c r="AD117" s="214"/>
      <c r="AE117" s="214"/>
      <c r="AF117" s="214"/>
      <c r="AG117" s="214"/>
      <c r="AH117" s="214"/>
    </row>
    <row r="118" spans="1:34" ht="15" customHeight="1" x14ac:dyDescent="0.25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4"/>
      <c r="AB118" s="214"/>
      <c r="AC118" s="214"/>
      <c r="AD118" s="214"/>
      <c r="AE118" s="214"/>
      <c r="AF118" s="214"/>
      <c r="AG118" s="214"/>
      <c r="AH118" s="214"/>
    </row>
    <row r="119" spans="1:34" ht="15" customHeight="1" x14ac:dyDescent="0.25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4"/>
      <c r="AB119" s="214"/>
      <c r="AC119" s="214"/>
      <c r="AD119" s="214"/>
      <c r="AE119" s="214"/>
      <c r="AF119" s="214"/>
      <c r="AG119" s="214"/>
      <c r="AH119" s="214"/>
    </row>
    <row r="120" spans="1:34" ht="15" customHeight="1" x14ac:dyDescent="0.25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4"/>
      <c r="AB120" s="214"/>
      <c r="AC120" s="214"/>
      <c r="AD120" s="214"/>
      <c r="AE120" s="214"/>
      <c r="AF120" s="214"/>
      <c r="AG120" s="214"/>
      <c r="AH120" s="214"/>
    </row>
    <row r="121" spans="1:34" ht="15" customHeight="1" x14ac:dyDescent="0.25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4"/>
      <c r="AB121" s="214"/>
      <c r="AC121" s="214"/>
      <c r="AD121" s="214"/>
      <c r="AE121" s="214"/>
      <c r="AF121" s="214"/>
      <c r="AG121" s="214"/>
      <c r="AH121" s="214"/>
    </row>
    <row r="122" spans="1:34" ht="15" customHeight="1" x14ac:dyDescent="0.25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4"/>
      <c r="AB122" s="214"/>
      <c r="AC122" s="214"/>
      <c r="AD122" s="214"/>
      <c r="AE122" s="214"/>
      <c r="AF122" s="214"/>
      <c r="AG122" s="214"/>
      <c r="AH122" s="214"/>
    </row>
    <row r="123" spans="1:34" ht="15" customHeight="1" x14ac:dyDescent="0.25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4"/>
      <c r="AB123" s="214"/>
      <c r="AC123" s="214"/>
      <c r="AD123" s="214"/>
      <c r="AE123" s="214"/>
      <c r="AF123" s="214"/>
      <c r="AG123" s="214"/>
      <c r="AH123" s="214"/>
    </row>
    <row r="124" spans="1:34" ht="15" customHeight="1" x14ac:dyDescent="0.25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4"/>
      <c r="AB124" s="214"/>
      <c r="AC124" s="214"/>
      <c r="AD124" s="214"/>
      <c r="AE124" s="214"/>
      <c r="AF124" s="214"/>
      <c r="AG124" s="214"/>
      <c r="AH124" s="214"/>
    </row>
    <row r="125" spans="1:34" ht="15" customHeight="1" x14ac:dyDescent="0.25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4"/>
      <c r="AB125" s="214"/>
      <c r="AC125" s="214"/>
      <c r="AD125" s="214"/>
      <c r="AE125" s="214"/>
      <c r="AF125" s="214"/>
      <c r="AG125" s="214"/>
      <c r="AH125" s="214"/>
    </row>
    <row r="126" spans="1:34" ht="15" customHeight="1" x14ac:dyDescent="0.25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4"/>
      <c r="AB126" s="214"/>
      <c r="AC126" s="214"/>
      <c r="AD126" s="214"/>
      <c r="AE126" s="214"/>
      <c r="AF126" s="214"/>
      <c r="AG126" s="214"/>
      <c r="AH126" s="214"/>
    </row>
    <row r="127" spans="1:34" ht="15" customHeight="1" x14ac:dyDescent="0.25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4"/>
      <c r="AB127" s="214"/>
      <c r="AC127" s="214"/>
      <c r="AD127" s="214"/>
      <c r="AE127" s="214"/>
      <c r="AF127" s="214"/>
      <c r="AG127" s="214"/>
      <c r="AH127" s="214"/>
    </row>
    <row r="128" spans="1:34" ht="15" customHeight="1" x14ac:dyDescent="0.25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4"/>
      <c r="AB128" s="214"/>
      <c r="AC128" s="214"/>
      <c r="AD128" s="214"/>
      <c r="AE128" s="214"/>
      <c r="AF128" s="214"/>
      <c r="AG128" s="214"/>
      <c r="AH128" s="214"/>
    </row>
    <row r="129" spans="1:34" ht="15" customHeight="1" x14ac:dyDescent="0.25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4"/>
      <c r="AB129" s="214"/>
      <c r="AC129" s="214"/>
      <c r="AD129" s="214"/>
      <c r="AE129" s="214"/>
      <c r="AF129" s="214"/>
      <c r="AG129" s="214"/>
      <c r="AH129" s="214"/>
    </row>
    <row r="130" spans="1:34" ht="15" customHeight="1" x14ac:dyDescent="0.25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4"/>
      <c r="AB130" s="214"/>
      <c r="AC130" s="214"/>
      <c r="AD130" s="214"/>
      <c r="AE130" s="214"/>
      <c r="AF130" s="214"/>
      <c r="AG130" s="214"/>
      <c r="AH130" s="214"/>
    </row>
    <row r="131" spans="1:34" ht="15" customHeight="1" x14ac:dyDescent="0.25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4"/>
      <c r="AB131" s="214"/>
      <c r="AC131" s="214"/>
      <c r="AD131" s="214"/>
      <c r="AE131" s="214"/>
      <c r="AF131" s="214"/>
      <c r="AG131" s="214"/>
      <c r="AH131" s="214"/>
    </row>
    <row r="132" spans="1:34" ht="12" customHeigh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4"/>
      <c r="AB132" s="214"/>
      <c r="AC132" s="214"/>
      <c r="AD132" s="214"/>
      <c r="AE132" s="214"/>
      <c r="AF132" s="214"/>
      <c r="AG132" s="214"/>
      <c r="AH132" s="214"/>
    </row>
    <row r="133" spans="1:34" ht="12" customHeight="1" x14ac:dyDescent="0.25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4"/>
      <c r="AB133" s="214"/>
      <c r="AC133" s="214"/>
      <c r="AD133" s="214"/>
      <c r="AE133" s="214"/>
      <c r="AF133" s="214"/>
      <c r="AG133" s="214"/>
      <c r="AH133" s="214"/>
    </row>
    <row r="134" spans="1:34" ht="12" customHeight="1" x14ac:dyDescent="0.25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</row>
    <row r="135" spans="1:34" ht="12" customHeight="1" x14ac:dyDescent="0.25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</row>
    <row r="136" spans="1:34" ht="12" customHeight="1" x14ac:dyDescent="0.25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</row>
    <row r="137" spans="1:34" ht="12" customHeight="1" x14ac:dyDescent="0.25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</row>
    <row r="138" spans="1:34" ht="12" customHeight="1" x14ac:dyDescent="0.25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</row>
    <row r="139" spans="1:34" ht="12" customHeight="1" x14ac:dyDescent="0.25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</row>
    <row r="140" spans="1:34" ht="12" customHeight="1" x14ac:dyDescent="0.25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</row>
    <row r="141" spans="1:34" ht="12" customHeight="1" x14ac:dyDescent="0.25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</row>
    <row r="142" spans="1:34" ht="12" customHeight="1" x14ac:dyDescent="0.25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</row>
    <row r="143" spans="1:34" ht="12" customHeight="1" x14ac:dyDescent="0.25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</row>
    <row r="144" spans="1:34" ht="12" customHeight="1" x14ac:dyDescent="0.25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</row>
    <row r="145" spans="1:26" ht="12" customHeight="1" x14ac:dyDescent="0.25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</row>
    <row r="146" spans="1:26" ht="12" customHeight="1" x14ac:dyDescent="0.25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</row>
    <row r="147" spans="1:26" ht="12" customHeight="1" x14ac:dyDescent="0.25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</row>
    <row r="148" spans="1:26" ht="12" customHeight="1" x14ac:dyDescent="0.25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</row>
    <row r="149" spans="1:26" ht="12" customHeight="1" x14ac:dyDescent="0.25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</row>
    <row r="150" spans="1:26" ht="12" customHeight="1" x14ac:dyDescent="0.25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</row>
    <row r="151" spans="1:26" ht="12" customHeight="1" x14ac:dyDescent="0.25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</row>
    <row r="152" spans="1:26" ht="12" customHeight="1" x14ac:dyDescent="0.25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</row>
    <row r="153" spans="1:26" ht="12" customHeight="1" x14ac:dyDescent="0.25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</row>
    <row r="154" spans="1:26" ht="12" customHeight="1" x14ac:dyDescent="0.25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</row>
    <row r="155" spans="1:26" ht="12" customHeight="1" x14ac:dyDescent="0.25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</row>
    <row r="156" spans="1:26" ht="12" customHeight="1" x14ac:dyDescent="0.25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</row>
    <row r="157" spans="1:26" ht="12" customHeight="1" x14ac:dyDescent="0.25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</row>
    <row r="158" spans="1:26" ht="12" customHeight="1" x14ac:dyDescent="0.25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</row>
    <row r="159" spans="1:26" ht="12" customHeight="1" x14ac:dyDescent="0.25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</row>
    <row r="160" spans="1:26" ht="12" customHeight="1" x14ac:dyDescent="0.25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</row>
    <row r="161" spans="1:26" ht="12" customHeight="1" x14ac:dyDescent="0.25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</row>
    <row r="162" spans="1:26" ht="12" customHeight="1" x14ac:dyDescent="0.25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</row>
    <row r="163" spans="1:26" ht="12" customHeight="1" x14ac:dyDescent="0.25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</row>
    <row r="164" spans="1:26" ht="12" customHeight="1" x14ac:dyDescent="0.25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</row>
    <row r="165" spans="1:26" ht="12" customHeight="1" x14ac:dyDescent="0.25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</row>
    <row r="166" spans="1:26" ht="12" customHeight="1" x14ac:dyDescent="0.25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</row>
    <row r="167" spans="1:26" ht="12" customHeight="1" x14ac:dyDescent="0.25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</row>
    <row r="168" spans="1:26" ht="12" customHeight="1" x14ac:dyDescent="0.25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</row>
    <row r="169" spans="1:26" ht="12" customHeight="1" x14ac:dyDescent="0.25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</row>
    <row r="170" spans="1:26" ht="12" customHeight="1" x14ac:dyDescent="0.25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</row>
    <row r="171" spans="1:26" ht="12" customHeight="1" x14ac:dyDescent="0.25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</row>
    <row r="172" spans="1:26" ht="12" customHeight="1" x14ac:dyDescent="0.25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</row>
    <row r="173" spans="1:26" ht="12" customHeight="1" x14ac:dyDescent="0.25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</row>
    <row r="174" spans="1:26" ht="12" customHeight="1" x14ac:dyDescent="0.25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</row>
    <row r="175" spans="1:26" ht="12" customHeight="1" x14ac:dyDescent="0.25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</row>
    <row r="176" spans="1:26" ht="12" customHeight="1" x14ac:dyDescent="0.25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</row>
    <row r="177" spans="1:26" ht="12" customHeight="1" x14ac:dyDescent="0.25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</row>
    <row r="178" spans="1:26" ht="12" customHeight="1" x14ac:dyDescent="0.25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</row>
    <row r="179" spans="1:26" ht="12" customHeight="1" x14ac:dyDescent="0.25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</row>
    <row r="180" spans="1:26" ht="12" customHeight="1" x14ac:dyDescent="0.25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</row>
    <row r="181" spans="1:26" ht="12" customHeight="1" x14ac:dyDescent="0.25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</row>
    <row r="182" spans="1:26" ht="12" customHeight="1" x14ac:dyDescent="0.25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</row>
    <row r="183" spans="1:26" ht="12" customHeight="1" x14ac:dyDescent="0.25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</row>
    <row r="184" spans="1:26" ht="12" customHeight="1" x14ac:dyDescent="0.25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</row>
    <row r="185" spans="1:26" ht="12" customHeight="1" x14ac:dyDescent="0.25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</row>
    <row r="186" spans="1:26" ht="12" customHeight="1" x14ac:dyDescent="0.25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</row>
    <row r="187" spans="1:26" ht="12" customHeight="1" x14ac:dyDescent="0.25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</row>
    <row r="188" spans="1:26" ht="12" customHeight="1" x14ac:dyDescent="0.25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</row>
    <row r="189" spans="1:26" ht="12" customHeight="1" x14ac:dyDescent="0.25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</row>
    <row r="190" spans="1:26" ht="12" customHeight="1" x14ac:dyDescent="0.25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</row>
    <row r="191" spans="1:26" ht="12" customHeight="1" x14ac:dyDescent="0.25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</row>
    <row r="192" spans="1:26" ht="12" customHeight="1" x14ac:dyDescent="0.25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</row>
    <row r="193" spans="1:26" ht="12" customHeight="1" x14ac:dyDescent="0.25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</row>
    <row r="194" spans="1:26" ht="12" customHeight="1" x14ac:dyDescent="0.25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</row>
    <row r="195" spans="1:26" ht="12" customHeight="1" x14ac:dyDescent="0.25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</row>
    <row r="196" spans="1:26" ht="12" customHeight="1" x14ac:dyDescent="0.25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</row>
    <row r="197" spans="1:26" ht="12" customHeigh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</row>
    <row r="198" spans="1:26" ht="12" customHeight="1" x14ac:dyDescent="0.25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</row>
    <row r="199" spans="1:26" ht="12" customHeight="1" x14ac:dyDescent="0.25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</row>
    <row r="200" spans="1:26" ht="12" customHeight="1" x14ac:dyDescent="0.25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</row>
    <row r="201" spans="1:26" ht="12" customHeight="1" x14ac:dyDescent="0.25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</row>
    <row r="202" spans="1:26" ht="12" customHeight="1" x14ac:dyDescent="0.25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</row>
    <row r="203" spans="1:26" ht="12" customHeight="1" x14ac:dyDescent="0.25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</row>
    <row r="204" spans="1:26" ht="12" customHeight="1" x14ac:dyDescent="0.25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</row>
    <row r="205" spans="1:26" ht="12" customHeight="1" x14ac:dyDescent="0.25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</row>
    <row r="206" spans="1:26" ht="12" customHeight="1" x14ac:dyDescent="0.25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</row>
    <row r="207" spans="1:26" ht="12" customHeight="1" x14ac:dyDescent="0.25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</row>
    <row r="208" spans="1:26" ht="12" customHeight="1" x14ac:dyDescent="0.25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</row>
    <row r="209" spans="1:26" ht="12" customHeight="1" x14ac:dyDescent="0.25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</row>
    <row r="210" spans="1:26" ht="12" customHeight="1" x14ac:dyDescent="0.25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5"/>
      <c r="N210" s="215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</row>
    <row r="211" spans="1:26" ht="12" customHeight="1" x14ac:dyDescent="0.25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5"/>
      <c r="N211" s="215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</row>
    <row r="212" spans="1:26" ht="12" customHeight="1" x14ac:dyDescent="0.25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5"/>
      <c r="N212" s="215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</row>
    <row r="213" spans="1:26" ht="12" customHeight="1" x14ac:dyDescent="0.25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</row>
    <row r="214" spans="1:26" ht="12" customHeight="1" x14ac:dyDescent="0.25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5"/>
      <c r="N214" s="215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</row>
    <row r="215" spans="1:26" ht="12" customHeight="1" x14ac:dyDescent="0.25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5"/>
      <c r="N215" s="215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</row>
    <row r="216" spans="1:26" ht="12" customHeight="1" x14ac:dyDescent="0.25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</row>
    <row r="217" spans="1:26" ht="12" customHeight="1" x14ac:dyDescent="0.25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</row>
    <row r="218" spans="1:26" ht="12" customHeight="1" x14ac:dyDescent="0.25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</row>
    <row r="219" spans="1:26" ht="12" customHeight="1" x14ac:dyDescent="0.25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5"/>
      <c r="N219" s="215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</row>
    <row r="220" spans="1:26" ht="12" customHeight="1" x14ac:dyDescent="0.25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</row>
    <row r="221" spans="1:26" ht="12" customHeight="1" x14ac:dyDescent="0.25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</row>
    <row r="222" spans="1:26" ht="12" customHeight="1" x14ac:dyDescent="0.25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</row>
    <row r="223" spans="1:26" ht="12" customHeight="1" x14ac:dyDescent="0.25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</row>
    <row r="224" spans="1:26" ht="12" customHeight="1" x14ac:dyDescent="0.25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</row>
    <row r="225" spans="1:26" ht="12" customHeight="1" x14ac:dyDescent="0.25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</row>
    <row r="226" spans="1:26" ht="12" customHeight="1" x14ac:dyDescent="0.25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</row>
    <row r="227" spans="1:26" ht="12" customHeight="1" x14ac:dyDescent="0.25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5"/>
      <c r="N227" s="215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</row>
    <row r="228" spans="1:26" ht="12" customHeight="1" x14ac:dyDescent="0.25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</row>
    <row r="229" spans="1:26" ht="12" customHeight="1" x14ac:dyDescent="0.25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</row>
    <row r="230" spans="1:26" ht="12" customHeight="1" x14ac:dyDescent="0.25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5"/>
      <c r="N230" s="215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</row>
    <row r="231" spans="1:26" ht="12" customHeight="1" x14ac:dyDescent="0.25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</row>
    <row r="232" spans="1:26" ht="12" customHeight="1" x14ac:dyDescent="0.25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</row>
    <row r="233" spans="1:26" ht="12" customHeight="1" x14ac:dyDescent="0.25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</row>
    <row r="234" spans="1:26" ht="12" customHeight="1" x14ac:dyDescent="0.25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5"/>
      <c r="N234" s="215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</row>
    <row r="235" spans="1:26" ht="12" customHeight="1" x14ac:dyDescent="0.25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5"/>
      <c r="N235" s="215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</row>
    <row r="236" spans="1:26" ht="12" customHeight="1" x14ac:dyDescent="0.25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</row>
    <row r="237" spans="1:26" ht="12" customHeight="1" x14ac:dyDescent="0.25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</row>
    <row r="238" spans="1:26" ht="12" customHeight="1" x14ac:dyDescent="0.25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5"/>
      <c r="N238" s="215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</row>
    <row r="239" spans="1:26" ht="12" customHeight="1" x14ac:dyDescent="0.25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5"/>
      <c r="N239" s="215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</row>
    <row r="240" spans="1:26" ht="12" customHeight="1" x14ac:dyDescent="0.25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</row>
    <row r="241" spans="1:26" ht="12" customHeight="1" x14ac:dyDescent="0.25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</row>
    <row r="242" spans="1:26" ht="12" customHeight="1" x14ac:dyDescent="0.25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</row>
    <row r="243" spans="1:26" ht="12" customHeight="1" x14ac:dyDescent="0.25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</row>
    <row r="244" spans="1:26" ht="12" customHeight="1" x14ac:dyDescent="0.25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</row>
    <row r="245" spans="1:26" ht="12" customHeight="1" x14ac:dyDescent="0.25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</row>
    <row r="246" spans="1:26" ht="12" customHeight="1" x14ac:dyDescent="0.25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5"/>
      <c r="N246" s="215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</row>
    <row r="247" spans="1:26" ht="12" customHeight="1" x14ac:dyDescent="0.25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5"/>
      <c r="N247" s="215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</row>
    <row r="248" spans="1:26" ht="12" customHeight="1" x14ac:dyDescent="0.25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5"/>
      <c r="N248" s="215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</row>
    <row r="249" spans="1:26" ht="12" customHeight="1" x14ac:dyDescent="0.25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5"/>
      <c r="N249" s="215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</row>
    <row r="250" spans="1:26" ht="12" customHeight="1" x14ac:dyDescent="0.25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5"/>
      <c r="N250" s="215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</row>
    <row r="251" spans="1:26" ht="12" customHeight="1" x14ac:dyDescent="0.25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5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</row>
    <row r="252" spans="1:26" ht="12" customHeight="1" x14ac:dyDescent="0.25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</row>
    <row r="253" spans="1:26" ht="12" customHeight="1" x14ac:dyDescent="0.25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</row>
    <row r="254" spans="1:26" ht="12" customHeight="1" x14ac:dyDescent="0.25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</row>
    <row r="255" spans="1:26" ht="12" customHeight="1" x14ac:dyDescent="0.25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</row>
    <row r="256" spans="1:26" ht="12" customHeight="1" x14ac:dyDescent="0.25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</row>
    <row r="257" spans="1:26" ht="12" customHeight="1" x14ac:dyDescent="0.25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</row>
    <row r="258" spans="1:26" ht="12" customHeight="1" x14ac:dyDescent="0.25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</row>
    <row r="259" spans="1:26" ht="12" customHeight="1" x14ac:dyDescent="0.25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</row>
    <row r="260" spans="1:26" ht="12" customHeight="1" x14ac:dyDescent="0.25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</row>
    <row r="261" spans="1:26" ht="12" customHeigh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</row>
    <row r="262" spans="1:26" ht="12" customHeight="1" x14ac:dyDescent="0.25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</row>
    <row r="263" spans="1:26" ht="12" customHeight="1" x14ac:dyDescent="0.25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5"/>
      <c r="N263" s="215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</row>
    <row r="264" spans="1:26" ht="12" customHeight="1" x14ac:dyDescent="0.25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</row>
    <row r="265" spans="1:26" ht="12" customHeight="1" x14ac:dyDescent="0.25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5"/>
      <c r="N265" s="215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</row>
    <row r="266" spans="1:26" ht="12" customHeight="1" x14ac:dyDescent="0.25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</row>
    <row r="267" spans="1:26" ht="12" customHeight="1" x14ac:dyDescent="0.25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</row>
    <row r="268" spans="1:26" ht="12" customHeight="1" x14ac:dyDescent="0.25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</row>
    <row r="269" spans="1:26" ht="12" customHeight="1" x14ac:dyDescent="0.25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</row>
    <row r="270" spans="1:26" ht="12" customHeight="1" x14ac:dyDescent="0.25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5"/>
      <c r="N270" s="215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</row>
    <row r="271" spans="1:26" ht="12" customHeight="1" x14ac:dyDescent="0.25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5"/>
      <c r="N271" s="215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</row>
    <row r="272" spans="1:26" ht="12" customHeight="1" x14ac:dyDescent="0.25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5"/>
      <c r="N272" s="215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</row>
    <row r="273" spans="1:26" ht="12" customHeight="1" x14ac:dyDescent="0.25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5"/>
      <c r="N273" s="215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</row>
    <row r="274" spans="1:26" ht="12" customHeight="1" x14ac:dyDescent="0.25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</row>
    <row r="275" spans="1:26" ht="12" customHeight="1" x14ac:dyDescent="0.25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</row>
    <row r="276" spans="1:26" ht="12" customHeight="1" x14ac:dyDescent="0.25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5"/>
      <c r="N276" s="215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</row>
    <row r="277" spans="1:26" ht="12" customHeight="1" x14ac:dyDescent="0.25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5"/>
      <c r="N277" s="215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</row>
    <row r="278" spans="1:26" ht="12" customHeight="1" x14ac:dyDescent="0.25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5"/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</row>
    <row r="279" spans="1:26" ht="12" customHeight="1" x14ac:dyDescent="0.25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5"/>
      <c r="N279" s="215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</row>
    <row r="280" spans="1:26" ht="12" customHeight="1" x14ac:dyDescent="0.25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5"/>
      <c r="N280" s="215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</row>
    <row r="281" spans="1:26" ht="12" customHeight="1" x14ac:dyDescent="0.25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5"/>
      <c r="N281" s="215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</row>
    <row r="282" spans="1:26" ht="12" customHeight="1" x14ac:dyDescent="0.25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</row>
    <row r="283" spans="1:26" ht="12" customHeight="1" x14ac:dyDescent="0.25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</row>
    <row r="284" spans="1:26" ht="12" customHeight="1" x14ac:dyDescent="0.25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</row>
    <row r="285" spans="1:26" ht="12" customHeight="1" x14ac:dyDescent="0.25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</row>
    <row r="286" spans="1:26" ht="12" customHeight="1" x14ac:dyDescent="0.25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</row>
    <row r="287" spans="1:26" ht="12" customHeight="1" x14ac:dyDescent="0.25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</row>
    <row r="288" spans="1:26" ht="12" customHeight="1" x14ac:dyDescent="0.25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5"/>
      <c r="N288" s="215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</row>
    <row r="289" spans="1:26" ht="12" customHeight="1" x14ac:dyDescent="0.25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</row>
    <row r="290" spans="1:26" ht="12" customHeight="1" x14ac:dyDescent="0.25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5"/>
      <c r="N290" s="215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</row>
    <row r="291" spans="1:26" ht="12" customHeight="1" x14ac:dyDescent="0.25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5"/>
      <c r="N291" s="215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</row>
    <row r="292" spans="1:26" ht="12" customHeight="1" x14ac:dyDescent="0.25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</row>
    <row r="293" spans="1:26" ht="12" customHeight="1" x14ac:dyDescent="0.25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5"/>
      <c r="N293" s="215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</row>
    <row r="294" spans="1:26" ht="12" customHeight="1" x14ac:dyDescent="0.25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</row>
    <row r="295" spans="1:26" ht="12" customHeight="1" x14ac:dyDescent="0.25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5"/>
      <c r="N295" s="215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</row>
    <row r="296" spans="1:26" ht="12" customHeight="1" x14ac:dyDescent="0.25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</row>
    <row r="297" spans="1:26" ht="12" customHeight="1" x14ac:dyDescent="0.25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</row>
    <row r="298" spans="1:26" ht="12" customHeight="1" x14ac:dyDescent="0.25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</row>
    <row r="299" spans="1:26" ht="12" customHeight="1" x14ac:dyDescent="0.25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</row>
    <row r="300" spans="1:26" ht="12" customHeight="1" x14ac:dyDescent="0.25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</row>
    <row r="301" spans="1:26" ht="12" customHeight="1" x14ac:dyDescent="0.25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</row>
    <row r="302" spans="1:26" ht="12" customHeight="1" x14ac:dyDescent="0.25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</row>
    <row r="303" spans="1:26" ht="12" customHeight="1" x14ac:dyDescent="0.25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</row>
    <row r="304" spans="1:26" ht="12" customHeight="1" x14ac:dyDescent="0.25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</row>
    <row r="305" spans="1:26" ht="12" customHeight="1" x14ac:dyDescent="0.25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</row>
    <row r="306" spans="1:26" ht="12" customHeight="1" x14ac:dyDescent="0.25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</row>
    <row r="307" spans="1:26" ht="12" customHeight="1" x14ac:dyDescent="0.25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</row>
    <row r="308" spans="1:26" ht="12" customHeight="1" x14ac:dyDescent="0.25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</row>
    <row r="309" spans="1:26" ht="12" customHeight="1" x14ac:dyDescent="0.25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</row>
    <row r="310" spans="1:26" ht="12" customHeight="1" x14ac:dyDescent="0.25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</row>
    <row r="311" spans="1:26" ht="12" customHeight="1" x14ac:dyDescent="0.25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</row>
    <row r="312" spans="1:26" ht="12" customHeight="1" x14ac:dyDescent="0.25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</row>
    <row r="313" spans="1:26" ht="12" customHeight="1" x14ac:dyDescent="0.25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</row>
    <row r="314" spans="1:26" ht="12" customHeight="1" x14ac:dyDescent="0.25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</row>
    <row r="315" spans="1:26" ht="12" customHeight="1" x14ac:dyDescent="0.25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</row>
    <row r="316" spans="1:26" ht="12" customHeight="1" x14ac:dyDescent="0.25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</row>
    <row r="317" spans="1:26" ht="12" customHeight="1" x14ac:dyDescent="0.25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</row>
    <row r="318" spans="1:26" ht="12" customHeight="1" x14ac:dyDescent="0.25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</row>
    <row r="319" spans="1:26" ht="12" customHeight="1" x14ac:dyDescent="0.25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</row>
    <row r="320" spans="1:26" ht="12" customHeight="1" x14ac:dyDescent="0.25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</row>
    <row r="321" spans="1:26" ht="12" customHeight="1" x14ac:dyDescent="0.25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</row>
    <row r="322" spans="1:26" ht="12" customHeight="1" x14ac:dyDescent="0.25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</row>
    <row r="323" spans="1:26" ht="12" customHeight="1" x14ac:dyDescent="0.25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</row>
    <row r="324" spans="1:26" ht="12" customHeight="1" x14ac:dyDescent="0.25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</row>
    <row r="325" spans="1:26" ht="12" customHeight="1" x14ac:dyDescent="0.25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</row>
    <row r="326" spans="1:26" ht="12" customHeight="1" x14ac:dyDescent="0.25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</row>
    <row r="327" spans="1:26" ht="12" customHeight="1" x14ac:dyDescent="0.25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</row>
    <row r="328" spans="1:26" ht="12" customHeight="1" x14ac:dyDescent="0.25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</row>
    <row r="329" spans="1:26" ht="12" customHeight="1" x14ac:dyDescent="0.25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</row>
    <row r="330" spans="1:26" ht="12" customHeight="1" x14ac:dyDescent="0.25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</row>
    <row r="331" spans="1:26" ht="12" customHeight="1" x14ac:dyDescent="0.25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</row>
    <row r="332" spans="1:26" ht="12" customHeight="1" x14ac:dyDescent="0.25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</row>
    <row r="333" spans="1:26" ht="12" customHeight="1" x14ac:dyDescent="0.25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</row>
    <row r="334" spans="1:26" ht="12" customHeight="1" x14ac:dyDescent="0.25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</row>
    <row r="335" spans="1:26" ht="12" customHeight="1" x14ac:dyDescent="0.25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</row>
    <row r="336" spans="1:26" ht="12" customHeight="1" x14ac:dyDescent="0.25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</row>
    <row r="337" spans="1:26" ht="12" customHeight="1" x14ac:dyDescent="0.25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</row>
    <row r="338" spans="1:26" ht="12" customHeight="1" x14ac:dyDescent="0.25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</row>
    <row r="339" spans="1:26" ht="12" customHeight="1" x14ac:dyDescent="0.25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</row>
    <row r="340" spans="1:26" ht="12" customHeight="1" x14ac:dyDescent="0.25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</row>
    <row r="341" spans="1:26" ht="12" customHeight="1" x14ac:dyDescent="0.25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</row>
    <row r="342" spans="1:26" ht="12" customHeight="1" x14ac:dyDescent="0.25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</row>
    <row r="343" spans="1:26" ht="12" customHeight="1" x14ac:dyDescent="0.25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</row>
    <row r="344" spans="1:26" ht="12" customHeight="1" x14ac:dyDescent="0.25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</row>
    <row r="345" spans="1:26" ht="12" customHeight="1" x14ac:dyDescent="0.25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</row>
    <row r="346" spans="1:26" ht="12" customHeight="1" x14ac:dyDescent="0.25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</row>
    <row r="347" spans="1:26" ht="12" customHeight="1" x14ac:dyDescent="0.25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</row>
    <row r="348" spans="1:26" ht="12" customHeight="1" x14ac:dyDescent="0.25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</row>
    <row r="349" spans="1:26" ht="12" customHeight="1" x14ac:dyDescent="0.25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</row>
    <row r="350" spans="1:26" ht="12" customHeight="1" x14ac:dyDescent="0.25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</row>
    <row r="351" spans="1:26" ht="12" customHeight="1" x14ac:dyDescent="0.25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</row>
    <row r="352" spans="1:26" ht="12" customHeight="1" x14ac:dyDescent="0.25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</row>
    <row r="353" spans="1:26" ht="12" customHeight="1" x14ac:dyDescent="0.25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</row>
    <row r="354" spans="1:26" ht="12" customHeight="1" x14ac:dyDescent="0.25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</row>
    <row r="355" spans="1:26" ht="12" customHeight="1" x14ac:dyDescent="0.25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</row>
    <row r="356" spans="1:26" ht="12" customHeight="1" x14ac:dyDescent="0.25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</row>
    <row r="357" spans="1:26" ht="12" customHeight="1" x14ac:dyDescent="0.25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</row>
    <row r="358" spans="1:26" ht="12" customHeight="1" x14ac:dyDescent="0.25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</row>
    <row r="359" spans="1:26" ht="12" customHeight="1" x14ac:dyDescent="0.25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</row>
    <row r="360" spans="1:26" ht="12" customHeight="1" x14ac:dyDescent="0.25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</row>
    <row r="361" spans="1:26" ht="12" customHeight="1" x14ac:dyDescent="0.25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</row>
    <row r="362" spans="1:26" ht="12" customHeight="1" x14ac:dyDescent="0.25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</row>
    <row r="363" spans="1:26" ht="12" customHeight="1" x14ac:dyDescent="0.25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</row>
    <row r="364" spans="1:26" ht="12" customHeight="1" x14ac:dyDescent="0.25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</row>
    <row r="365" spans="1:26" ht="12" customHeight="1" x14ac:dyDescent="0.25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</row>
    <row r="366" spans="1:26" ht="12" customHeight="1" x14ac:dyDescent="0.25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</row>
    <row r="367" spans="1:26" ht="12" customHeight="1" x14ac:dyDescent="0.25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5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</row>
    <row r="368" spans="1:26" ht="12" customHeight="1" x14ac:dyDescent="0.25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</row>
    <row r="369" spans="1:26" ht="12" customHeight="1" x14ac:dyDescent="0.25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5"/>
      <c r="N369" s="215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</row>
    <row r="370" spans="1:26" ht="12" customHeight="1" x14ac:dyDescent="0.25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</row>
    <row r="371" spans="1:26" ht="12" customHeight="1" x14ac:dyDescent="0.25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</row>
    <row r="372" spans="1:26" ht="12" customHeight="1" x14ac:dyDescent="0.25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</row>
    <row r="373" spans="1:26" ht="12" customHeight="1" x14ac:dyDescent="0.25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</row>
    <row r="374" spans="1:26" ht="12" customHeight="1" x14ac:dyDescent="0.25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</row>
    <row r="375" spans="1:26" ht="12" customHeight="1" x14ac:dyDescent="0.25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5"/>
      <c r="N375" s="215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</row>
    <row r="376" spans="1:26" ht="12" customHeight="1" x14ac:dyDescent="0.25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</row>
    <row r="377" spans="1:26" ht="12" customHeight="1" x14ac:dyDescent="0.25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</row>
    <row r="378" spans="1:26" ht="12" customHeight="1" x14ac:dyDescent="0.25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5"/>
      <c r="N378" s="215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</row>
    <row r="379" spans="1:26" ht="12" customHeight="1" x14ac:dyDescent="0.25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5"/>
      <c r="N379" s="215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</row>
    <row r="380" spans="1:26" ht="12" customHeight="1" x14ac:dyDescent="0.25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5"/>
      <c r="N380" s="215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</row>
    <row r="381" spans="1:26" ht="12" customHeight="1" x14ac:dyDescent="0.25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</row>
    <row r="382" spans="1:26" ht="12" customHeight="1" x14ac:dyDescent="0.25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5"/>
      <c r="N382" s="215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</row>
    <row r="383" spans="1:26" ht="12" customHeight="1" x14ac:dyDescent="0.25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5"/>
      <c r="N383" s="215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</row>
    <row r="384" spans="1:26" ht="12" customHeight="1" x14ac:dyDescent="0.25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</row>
    <row r="385" spans="1:26" ht="12" customHeight="1" x14ac:dyDescent="0.25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</row>
    <row r="386" spans="1:26" ht="12" customHeight="1" x14ac:dyDescent="0.25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</row>
    <row r="387" spans="1:26" ht="12" customHeight="1" x14ac:dyDescent="0.25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5"/>
      <c r="N387" s="215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</row>
    <row r="388" spans="1:26" ht="12" customHeight="1" x14ac:dyDescent="0.25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</row>
    <row r="389" spans="1:26" ht="12" customHeight="1" x14ac:dyDescent="0.25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5"/>
      <c r="N389" s="215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</row>
    <row r="390" spans="1:26" ht="12" customHeight="1" x14ac:dyDescent="0.25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</row>
    <row r="391" spans="1:26" ht="12" customHeight="1" x14ac:dyDescent="0.25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</row>
    <row r="392" spans="1:26" ht="12" customHeight="1" x14ac:dyDescent="0.25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5"/>
      <c r="N392" s="215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</row>
    <row r="393" spans="1:26" ht="12" customHeight="1" x14ac:dyDescent="0.25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5"/>
      <c r="N393" s="215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</row>
    <row r="394" spans="1:26" ht="12" customHeight="1" x14ac:dyDescent="0.25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5"/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</row>
    <row r="395" spans="1:26" ht="12" customHeight="1" x14ac:dyDescent="0.25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5"/>
      <c r="N395" s="215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</row>
    <row r="396" spans="1:26" ht="12" customHeight="1" x14ac:dyDescent="0.25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5"/>
      <c r="N396" s="215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</row>
    <row r="397" spans="1:26" ht="12" customHeight="1" x14ac:dyDescent="0.25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5"/>
      <c r="N397" s="215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</row>
    <row r="398" spans="1:26" ht="12" customHeight="1" x14ac:dyDescent="0.25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</row>
    <row r="399" spans="1:26" ht="12" customHeight="1" x14ac:dyDescent="0.25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5"/>
      <c r="N399" s="215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</row>
    <row r="400" spans="1:26" ht="12" customHeight="1" x14ac:dyDescent="0.25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</row>
    <row r="401" spans="1:26" ht="12" customHeight="1" x14ac:dyDescent="0.25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5"/>
      <c r="N401" s="215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</row>
    <row r="402" spans="1:26" ht="12" customHeight="1" x14ac:dyDescent="0.25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</row>
    <row r="403" spans="1:26" ht="12" customHeight="1" x14ac:dyDescent="0.25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</row>
    <row r="404" spans="1:26" ht="12" customHeight="1" x14ac:dyDescent="0.25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</row>
    <row r="405" spans="1:26" ht="12" customHeight="1" x14ac:dyDescent="0.25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</row>
    <row r="406" spans="1:26" ht="12" customHeight="1" x14ac:dyDescent="0.25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5"/>
      <c r="N406" s="215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</row>
    <row r="407" spans="1:26" ht="12" customHeight="1" x14ac:dyDescent="0.25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5"/>
      <c r="N407" s="215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</row>
    <row r="408" spans="1:26" ht="12" customHeight="1" x14ac:dyDescent="0.25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5"/>
      <c r="N408" s="215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</row>
    <row r="409" spans="1:26" ht="12" customHeight="1" x14ac:dyDescent="0.25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5"/>
      <c r="N409" s="215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</row>
    <row r="410" spans="1:26" ht="12" customHeight="1" x14ac:dyDescent="0.25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</row>
    <row r="411" spans="1:26" ht="12" customHeight="1" x14ac:dyDescent="0.25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</row>
    <row r="412" spans="1:26" ht="12" customHeight="1" x14ac:dyDescent="0.25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</row>
    <row r="413" spans="1:26" ht="12" customHeight="1" x14ac:dyDescent="0.25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</row>
    <row r="414" spans="1:26" ht="12" customHeight="1" x14ac:dyDescent="0.25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</row>
    <row r="415" spans="1:26" ht="12" customHeight="1" x14ac:dyDescent="0.25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</row>
    <row r="416" spans="1:26" ht="12" customHeight="1" x14ac:dyDescent="0.25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</row>
    <row r="417" spans="1:26" ht="12" customHeight="1" x14ac:dyDescent="0.25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5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</row>
    <row r="418" spans="1:26" ht="12" customHeight="1" x14ac:dyDescent="0.25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5"/>
      <c r="N418" s="215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</row>
    <row r="419" spans="1:26" ht="12" customHeight="1" x14ac:dyDescent="0.25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5"/>
      <c r="N419" s="215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</row>
    <row r="420" spans="1:26" ht="12" customHeight="1" x14ac:dyDescent="0.25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5"/>
      <c r="N420" s="215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</row>
    <row r="421" spans="1:26" ht="12" customHeight="1" x14ac:dyDescent="0.25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5"/>
      <c r="N421" s="215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</row>
    <row r="422" spans="1:26" ht="12" customHeight="1" x14ac:dyDescent="0.25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5"/>
      <c r="N422" s="215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</row>
    <row r="423" spans="1:26" ht="12" customHeight="1" x14ac:dyDescent="0.25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</row>
    <row r="424" spans="1:26" ht="12" customHeight="1" x14ac:dyDescent="0.25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5"/>
      <c r="N424" s="215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</row>
    <row r="425" spans="1:26" ht="12" customHeight="1" x14ac:dyDescent="0.25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5"/>
      <c r="N425" s="215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</row>
    <row r="426" spans="1:26" ht="12" customHeight="1" x14ac:dyDescent="0.25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5"/>
      <c r="N426" s="215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</row>
    <row r="427" spans="1:26" ht="12" customHeight="1" x14ac:dyDescent="0.25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5"/>
      <c r="N427" s="215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</row>
    <row r="428" spans="1:26" ht="12" customHeight="1" x14ac:dyDescent="0.25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5"/>
      <c r="N428" s="215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</row>
    <row r="429" spans="1:26" ht="12" customHeight="1" x14ac:dyDescent="0.25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5"/>
      <c r="N429" s="215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</row>
    <row r="430" spans="1:26" ht="12" customHeight="1" x14ac:dyDescent="0.25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5"/>
      <c r="N430" s="215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</row>
    <row r="431" spans="1:26" ht="12" customHeight="1" x14ac:dyDescent="0.25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5"/>
      <c r="N431" s="215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</row>
    <row r="432" spans="1:26" ht="12" customHeight="1" x14ac:dyDescent="0.25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</row>
    <row r="433" spans="1:26" ht="12" customHeight="1" x14ac:dyDescent="0.25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</row>
    <row r="434" spans="1:26" ht="12" customHeight="1" x14ac:dyDescent="0.25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</row>
    <row r="435" spans="1:26" ht="12" customHeight="1" x14ac:dyDescent="0.25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5"/>
      <c r="N435" s="215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</row>
    <row r="436" spans="1:26" ht="12" customHeight="1" x14ac:dyDescent="0.25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5"/>
      <c r="N436" s="215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</row>
    <row r="437" spans="1:26" ht="12" customHeight="1" x14ac:dyDescent="0.25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</row>
    <row r="438" spans="1:26" ht="12" customHeight="1" x14ac:dyDescent="0.25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5"/>
      <c r="N438" s="215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</row>
    <row r="439" spans="1:26" ht="12" customHeight="1" x14ac:dyDescent="0.25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5"/>
      <c r="N439" s="215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</row>
    <row r="440" spans="1:26" ht="12" customHeight="1" x14ac:dyDescent="0.25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</row>
    <row r="441" spans="1:26" ht="12" customHeight="1" x14ac:dyDescent="0.25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</row>
    <row r="442" spans="1:26" ht="12" customHeight="1" x14ac:dyDescent="0.25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</row>
    <row r="443" spans="1:26" ht="12" customHeight="1" x14ac:dyDescent="0.25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</row>
    <row r="444" spans="1:26" ht="12" customHeight="1" x14ac:dyDescent="0.25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</row>
    <row r="445" spans="1:26" ht="12" customHeight="1" x14ac:dyDescent="0.25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</row>
    <row r="446" spans="1:26" ht="12" customHeight="1" x14ac:dyDescent="0.25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</row>
    <row r="447" spans="1:26" ht="12" customHeight="1" x14ac:dyDescent="0.25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5"/>
      <c r="N447" s="215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</row>
    <row r="448" spans="1:26" ht="12" customHeight="1" x14ac:dyDescent="0.25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5"/>
      <c r="N448" s="215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</row>
    <row r="449" spans="1:26" ht="12" customHeight="1" x14ac:dyDescent="0.25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5"/>
      <c r="N449" s="215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</row>
    <row r="450" spans="1:26" ht="12" customHeight="1" x14ac:dyDescent="0.25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5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</row>
    <row r="451" spans="1:26" ht="12" customHeight="1" x14ac:dyDescent="0.25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5"/>
      <c r="N451" s="215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</row>
    <row r="452" spans="1:26" ht="12" customHeight="1" x14ac:dyDescent="0.25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5"/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</row>
    <row r="453" spans="1:26" ht="12" customHeight="1" x14ac:dyDescent="0.25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5"/>
      <c r="N453" s="215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</row>
    <row r="454" spans="1:26" ht="12" customHeight="1" x14ac:dyDescent="0.25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</row>
    <row r="455" spans="1:26" ht="12" customHeight="1" x14ac:dyDescent="0.25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</row>
    <row r="456" spans="1:26" ht="12" customHeight="1" x14ac:dyDescent="0.25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</row>
    <row r="457" spans="1:26" ht="12" customHeight="1" x14ac:dyDescent="0.25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</row>
    <row r="458" spans="1:26" ht="12" customHeight="1" x14ac:dyDescent="0.25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</row>
    <row r="459" spans="1:26" ht="12" customHeight="1" x14ac:dyDescent="0.25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</row>
    <row r="460" spans="1:26" ht="12" customHeight="1" x14ac:dyDescent="0.25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</row>
    <row r="461" spans="1:26" ht="12" customHeight="1" x14ac:dyDescent="0.25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5"/>
      <c r="N461" s="215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</row>
    <row r="462" spans="1:26" ht="12" customHeight="1" x14ac:dyDescent="0.25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5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</row>
    <row r="463" spans="1:26" ht="12" customHeight="1" x14ac:dyDescent="0.25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5"/>
      <c r="N463" s="215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</row>
    <row r="464" spans="1:26" ht="12" customHeight="1" x14ac:dyDescent="0.25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5"/>
      <c r="N464" s="215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</row>
    <row r="465" spans="1:26" ht="12" customHeight="1" x14ac:dyDescent="0.25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5"/>
      <c r="N465" s="215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</row>
    <row r="466" spans="1:26" ht="12" customHeight="1" x14ac:dyDescent="0.25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5"/>
      <c r="N466" s="215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</row>
    <row r="467" spans="1:26" ht="12" customHeight="1" x14ac:dyDescent="0.25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</row>
    <row r="468" spans="1:26" ht="12" customHeight="1" x14ac:dyDescent="0.25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5"/>
      <c r="N468" s="215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</row>
    <row r="469" spans="1:26" ht="12" customHeight="1" x14ac:dyDescent="0.25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5"/>
      <c r="N469" s="215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</row>
    <row r="470" spans="1:26" ht="12" customHeight="1" x14ac:dyDescent="0.25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5"/>
      <c r="N470" s="215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</row>
    <row r="471" spans="1:26" ht="12" customHeight="1" x14ac:dyDescent="0.25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5"/>
      <c r="N471" s="215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</row>
    <row r="472" spans="1:26" ht="12" customHeight="1" x14ac:dyDescent="0.25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5"/>
      <c r="N472" s="215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</row>
    <row r="473" spans="1:26" ht="12" customHeight="1" x14ac:dyDescent="0.25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</row>
    <row r="474" spans="1:26" ht="12" customHeight="1" x14ac:dyDescent="0.25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5"/>
      <c r="N474" s="215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</row>
    <row r="475" spans="1:26" ht="12" customHeight="1" x14ac:dyDescent="0.25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</row>
    <row r="476" spans="1:26" ht="12" customHeight="1" x14ac:dyDescent="0.25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</row>
    <row r="477" spans="1:26" ht="12" customHeight="1" x14ac:dyDescent="0.25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</row>
    <row r="478" spans="1:26" ht="12" customHeight="1" x14ac:dyDescent="0.25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</row>
    <row r="479" spans="1:26" ht="12" customHeight="1" x14ac:dyDescent="0.25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</row>
    <row r="480" spans="1:26" ht="12" customHeight="1" x14ac:dyDescent="0.25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</row>
    <row r="481" spans="1:26" ht="12" customHeight="1" x14ac:dyDescent="0.25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5"/>
      <c r="N481" s="215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</row>
    <row r="482" spans="1:26" ht="12" customHeight="1" x14ac:dyDescent="0.25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</row>
    <row r="483" spans="1:26" ht="12" customHeight="1" x14ac:dyDescent="0.25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</row>
    <row r="484" spans="1:26" ht="12" customHeight="1" x14ac:dyDescent="0.25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</row>
    <row r="485" spans="1:26" ht="12" customHeight="1" x14ac:dyDescent="0.25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</row>
    <row r="486" spans="1:26" ht="12" customHeight="1" x14ac:dyDescent="0.25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5"/>
      <c r="N486" s="215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</row>
    <row r="487" spans="1:26" ht="12" customHeight="1" x14ac:dyDescent="0.25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5"/>
      <c r="N487" s="215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</row>
    <row r="488" spans="1:26" ht="12" customHeight="1" x14ac:dyDescent="0.25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5"/>
      <c r="N488" s="215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</row>
    <row r="489" spans="1:26" ht="12" customHeight="1" x14ac:dyDescent="0.25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5"/>
      <c r="N489" s="215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</row>
    <row r="490" spans="1:26" ht="12" customHeight="1" x14ac:dyDescent="0.25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</row>
    <row r="491" spans="1:26" ht="12" customHeight="1" x14ac:dyDescent="0.25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</row>
    <row r="492" spans="1:26" ht="12" customHeight="1" x14ac:dyDescent="0.25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</row>
    <row r="493" spans="1:26" ht="12" customHeight="1" x14ac:dyDescent="0.25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5"/>
      <c r="N493" s="215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</row>
    <row r="494" spans="1:26" ht="12" customHeight="1" x14ac:dyDescent="0.25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5"/>
      <c r="N494" s="215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</row>
    <row r="495" spans="1:26" ht="12" customHeight="1" x14ac:dyDescent="0.25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5"/>
      <c r="N495" s="215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</row>
    <row r="496" spans="1:26" ht="12" customHeight="1" x14ac:dyDescent="0.25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</row>
    <row r="497" spans="1:26" ht="12" customHeight="1" x14ac:dyDescent="0.25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</row>
    <row r="498" spans="1:26" ht="12" customHeight="1" x14ac:dyDescent="0.25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</row>
    <row r="499" spans="1:26" ht="12" customHeight="1" x14ac:dyDescent="0.25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</row>
    <row r="500" spans="1:26" ht="12" customHeight="1" x14ac:dyDescent="0.25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</row>
    <row r="501" spans="1:26" ht="12" customHeight="1" x14ac:dyDescent="0.25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5"/>
      <c r="N501" s="215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</row>
    <row r="502" spans="1:26" ht="12" customHeight="1" x14ac:dyDescent="0.25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5"/>
      <c r="N502" s="215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</row>
    <row r="503" spans="1:26" ht="12" customHeight="1" x14ac:dyDescent="0.25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5"/>
      <c r="N503" s="215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</row>
    <row r="504" spans="1:26" ht="12" customHeight="1" x14ac:dyDescent="0.25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5"/>
      <c r="N504" s="215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</row>
    <row r="505" spans="1:26" ht="12" customHeight="1" x14ac:dyDescent="0.25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5"/>
      <c r="N505" s="215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</row>
    <row r="506" spans="1:26" ht="12" customHeight="1" x14ac:dyDescent="0.25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5"/>
      <c r="N506" s="215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</row>
    <row r="507" spans="1:26" ht="12" customHeight="1" x14ac:dyDescent="0.25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</row>
    <row r="508" spans="1:26" ht="12" customHeight="1" x14ac:dyDescent="0.25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</row>
    <row r="509" spans="1:26" ht="12" customHeight="1" x14ac:dyDescent="0.25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5"/>
      <c r="N509" s="215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</row>
    <row r="510" spans="1:26" ht="12" customHeight="1" x14ac:dyDescent="0.25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</row>
    <row r="511" spans="1:26" ht="12" customHeight="1" x14ac:dyDescent="0.25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</row>
    <row r="512" spans="1:26" ht="12" customHeight="1" x14ac:dyDescent="0.25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</row>
    <row r="513" spans="1:26" ht="12" customHeight="1" x14ac:dyDescent="0.25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</row>
    <row r="514" spans="1:26" ht="12" customHeight="1" x14ac:dyDescent="0.25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</row>
    <row r="515" spans="1:26" ht="12" customHeight="1" x14ac:dyDescent="0.25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5"/>
      <c r="N515" s="215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</row>
    <row r="516" spans="1:26" ht="12" customHeight="1" x14ac:dyDescent="0.25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</row>
    <row r="517" spans="1:26" ht="12" customHeight="1" x14ac:dyDescent="0.25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5"/>
      <c r="N517" s="215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</row>
    <row r="518" spans="1:26" ht="12" customHeight="1" x14ac:dyDescent="0.25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</row>
    <row r="519" spans="1:26" ht="12" customHeight="1" x14ac:dyDescent="0.25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</row>
    <row r="520" spans="1:26" ht="12" customHeight="1" x14ac:dyDescent="0.25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</row>
    <row r="521" spans="1:26" ht="12" customHeight="1" x14ac:dyDescent="0.25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5"/>
      <c r="N521" s="215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</row>
    <row r="522" spans="1:26" ht="12" customHeight="1" x14ac:dyDescent="0.25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</row>
    <row r="523" spans="1:26" ht="12" customHeight="1" x14ac:dyDescent="0.25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</row>
    <row r="524" spans="1:26" ht="12" customHeight="1" x14ac:dyDescent="0.25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</row>
    <row r="525" spans="1:26" ht="12" customHeight="1" x14ac:dyDescent="0.25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5"/>
      <c r="N525" s="215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</row>
    <row r="526" spans="1:26" ht="12" customHeight="1" x14ac:dyDescent="0.25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5"/>
      <c r="N526" s="215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</row>
    <row r="527" spans="1:26" ht="12" customHeight="1" x14ac:dyDescent="0.25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5"/>
      <c r="N527" s="215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</row>
    <row r="528" spans="1:26" ht="12" customHeight="1" x14ac:dyDescent="0.25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</row>
    <row r="529" spans="1:26" ht="12" customHeight="1" x14ac:dyDescent="0.25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5"/>
      <c r="N529" s="215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</row>
    <row r="530" spans="1:26" ht="12" customHeight="1" x14ac:dyDescent="0.25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5"/>
      <c r="N530" s="215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</row>
    <row r="531" spans="1:26" ht="12" customHeight="1" x14ac:dyDescent="0.25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5"/>
      <c r="N531" s="215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</row>
    <row r="532" spans="1:26" ht="12" customHeight="1" x14ac:dyDescent="0.25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</row>
    <row r="533" spans="1:26" ht="12" customHeight="1" x14ac:dyDescent="0.25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5"/>
      <c r="N533" s="215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</row>
    <row r="534" spans="1:26" ht="12" customHeight="1" x14ac:dyDescent="0.25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</row>
    <row r="535" spans="1:26" ht="12" customHeight="1" x14ac:dyDescent="0.25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5"/>
      <c r="N535" s="215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</row>
    <row r="536" spans="1:26" ht="12" customHeight="1" x14ac:dyDescent="0.25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5"/>
      <c r="N536" s="215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</row>
    <row r="537" spans="1:26" ht="12" customHeight="1" x14ac:dyDescent="0.25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</row>
    <row r="538" spans="1:26" ht="12" customHeight="1" x14ac:dyDescent="0.25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</row>
    <row r="539" spans="1:26" ht="12" customHeight="1" x14ac:dyDescent="0.25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</row>
    <row r="540" spans="1:26" ht="12" customHeight="1" x14ac:dyDescent="0.25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</row>
    <row r="541" spans="1:26" ht="12" customHeight="1" x14ac:dyDescent="0.25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5"/>
      <c r="N541" s="215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</row>
    <row r="542" spans="1:26" ht="12" customHeight="1" x14ac:dyDescent="0.25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5"/>
      <c r="N542" s="215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</row>
    <row r="543" spans="1:26" ht="12" customHeight="1" x14ac:dyDescent="0.25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5"/>
      <c r="N543" s="215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</row>
    <row r="544" spans="1:26" ht="12" customHeight="1" x14ac:dyDescent="0.25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5"/>
      <c r="N544" s="215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</row>
    <row r="545" spans="1:26" ht="12" customHeight="1" x14ac:dyDescent="0.25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</row>
    <row r="546" spans="1:26" ht="12" customHeight="1" x14ac:dyDescent="0.25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</row>
    <row r="547" spans="1:26" ht="12" customHeight="1" x14ac:dyDescent="0.25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</row>
    <row r="548" spans="1:26" ht="12" customHeight="1" x14ac:dyDescent="0.25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</row>
    <row r="549" spans="1:26" ht="12" customHeight="1" x14ac:dyDescent="0.25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5"/>
      <c r="N549" s="215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</row>
    <row r="550" spans="1:26" ht="12" customHeight="1" x14ac:dyDescent="0.25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5"/>
      <c r="N550" s="215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</row>
    <row r="551" spans="1:26" ht="12" customHeight="1" x14ac:dyDescent="0.25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5"/>
      <c r="N551" s="215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</row>
    <row r="552" spans="1:26" ht="12" customHeight="1" x14ac:dyDescent="0.25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5"/>
      <c r="N552" s="215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</row>
    <row r="553" spans="1:26" ht="12" customHeight="1" x14ac:dyDescent="0.25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5"/>
      <c r="N553" s="215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</row>
    <row r="554" spans="1:26" ht="12" customHeight="1" x14ac:dyDescent="0.25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</row>
    <row r="555" spans="1:26" ht="12" customHeight="1" x14ac:dyDescent="0.25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5"/>
      <c r="N555" s="215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</row>
    <row r="556" spans="1:26" ht="12" customHeight="1" x14ac:dyDescent="0.25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</row>
    <row r="557" spans="1:26" ht="12" customHeight="1" x14ac:dyDescent="0.25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5"/>
      <c r="N557" s="215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</row>
    <row r="558" spans="1:26" ht="12" customHeight="1" x14ac:dyDescent="0.25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5"/>
      <c r="N558" s="215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</row>
    <row r="559" spans="1:26" ht="12" customHeight="1" x14ac:dyDescent="0.25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5"/>
      <c r="N559" s="215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</row>
    <row r="560" spans="1:26" ht="12" customHeight="1" x14ac:dyDescent="0.25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5"/>
      <c r="N560" s="215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</row>
    <row r="561" spans="1:26" ht="12" customHeight="1" x14ac:dyDescent="0.25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</row>
    <row r="562" spans="1:26" ht="12" customHeight="1" x14ac:dyDescent="0.25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</row>
    <row r="563" spans="1:26" ht="12" customHeight="1" x14ac:dyDescent="0.25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</row>
    <row r="564" spans="1:26" ht="12" customHeight="1" x14ac:dyDescent="0.25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</row>
    <row r="565" spans="1:26" ht="12" customHeight="1" x14ac:dyDescent="0.25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</row>
    <row r="566" spans="1:26" ht="12" customHeight="1" x14ac:dyDescent="0.25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</row>
    <row r="567" spans="1:26" ht="12" customHeight="1" x14ac:dyDescent="0.25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</row>
    <row r="568" spans="1:26" ht="12" customHeight="1" x14ac:dyDescent="0.25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5"/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</row>
    <row r="569" spans="1:26" ht="12" customHeight="1" x14ac:dyDescent="0.25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5"/>
      <c r="N569" s="215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</row>
    <row r="570" spans="1:26" ht="12" customHeight="1" x14ac:dyDescent="0.25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</row>
    <row r="571" spans="1:26" ht="12" customHeight="1" x14ac:dyDescent="0.25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5"/>
      <c r="N571" s="215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</row>
    <row r="572" spans="1:26" ht="12" customHeight="1" x14ac:dyDescent="0.25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5"/>
      <c r="N572" s="215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</row>
    <row r="573" spans="1:26" ht="12" customHeight="1" x14ac:dyDescent="0.25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</row>
    <row r="574" spans="1:26" ht="12" customHeight="1" x14ac:dyDescent="0.25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5"/>
      <c r="N574" s="215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</row>
    <row r="575" spans="1:26" ht="12" customHeight="1" x14ac:dyDescent="0.25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5"/>
      <c r="N575" s="215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</row>
    <row r="576" spans="1:26" ht="12" customHeight="1" x14ac:dyDescent="0.25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</row>
    <row r="577" spans="1:26" ht="12" customHeight="1" x14ac:dyDescent="0.25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5"/>
      <c r="N577" s="215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</row>
    <row r="578" spans="1:26" ht="12" customHeight="1" x14ac:dyDescent="0.25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5"/>
      <c r="N578" s="215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</row>
    <row r="579" spans="1:26" ht="12" customHeight="1" x14ac:dyDescent="0.25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</row>
    <row r="580" spans="1:26" ht="12" customHeight="1" x14ac:dyDescent="0.25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</row>
    <row r="581" spans="1:26" ht="12" customHeight="1" x14ac:dyDescent="0.25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</row>
    <row r="582" spans="1:26" ht="12" customHeight="1" x14ac:dyDescent="0.25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</row>
    <row r="583" spans="1:26" ht="12" customHeight="1" x14ac:dyDescent="0.25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5"/>
      <c r="N583" s="215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</row>
    <row r="584" spans="1:26" ht="12" customHeight="1" x14ac:dyDescent="0.25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5"/>
      <c r="N584" s="215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</row>
    <row r="585" spans="1:26" ht="12" customHeight="1" x14ac:dyDescent="0.25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</row>
    <row r="586" spans="1:26" ht="12" customHeight="1" x14ac:dyDescent="0.25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5"/>
      <c r="N586" s="215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</row>
    <row r="587" spans="1:26" ht="12" customHeight="1" x14ac:dyDescent="0.25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5"/>
      <c r="N587" s="215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</row>
    <row r="588" spans="1:26" ht="12" customHeight="1" x14ac:dyDescent="0.25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</row>
    <row r="589" spans="1:26" ht="12" customHeight="1" x14ac:dyDescent="0.25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</row>
    <row r="590" spans="1:26" ht="12" customHeight="1" x14ac:dyDescent="0.25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5"/>
      <c r="N590" s="215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</row>
    <row r="591" spans="1:26" ht="12" customHeight="1" x14ac:dyDescent="0.25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</row>
    <row r="592" spans="1:26" ht="12" customHeight="1" x14ac:dyDescent="0.25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5"/>
      <c r="N592" s="215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</row>
    <row r="593" spans="1:26" ht="12" customHeight="1" x14ac:dyDescent="0.25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5"/>
      <c r="N593" s="215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</row>
    <row r="594" spans="1:26" ht="12" customHeight="1" x14ac:dyDescent="0.25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</row>
    <row r="595" spans="1:26" ht="12" customHeight="1" x14ac:dyDescent="0.25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5"/>
      <c r="N595" s="215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</row>
    <row r="596" spans="1:26" ht="12" customHeight="1" x14ac:dyDescent="0.25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5"/>
      <c r="N596" s="215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</row>
    <row r="597" spans="1:26" ht="12" customHeight="1" x14ac:dyDescent="0.25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</row>
    <row r="598" spans="1:26" ht="12" customHeight="1" x14ac:dyDescent="0.25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5"/>
      <c r="N598" s="215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</row>
    <row r="599" spans="1:26" ht="12" customHeight="1" x14ac:dyDescent="0.25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5"/>
      <c r="N599" s="215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</row>
    <row r="600" spans="1:26" ht="12" customHeight="1" x14ac:dyDescent="0.25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</row>
    <row r="601" spans="1:26" ht="12" customHeight="1" x14ac:dyDescent="0.25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5"/>
      <c r="N601" s="215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</row>
    <row r="602" spans="1:26" ht="12" customHeight="1" x14ac:dyDescent="0.25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</row>
    <row r="603" spans="1:26" ht="12" customHeight="1" x14ac:dyDescent="0.25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</row>
    <row r="604" spans="1:26" ht="12" customHeight="1" x14ac:dyDescent="0.25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</row>
    <row r="605" spans="1:26" ht="12" customHeight="1" x14ac:dyDescent="0.25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</row>
    <row r="606" spans="1:26" ht="12" customHeight="1" x14ac:dyDescent="0.25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</row>
    <row r="607" spans="1:26" ht="12" customHeight="1" x14ac:dyDescent="0.25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5"/>
      <c r="N607" s="215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</row>
    <row r="608" spans="1:26" ht="12" customHeight="1" x14ac:dyDescent="0.25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5"/>
      <c r="N608" s="215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</row>
    <row r="609" spans="1:26" ht="12" customHeight="1" x14ac:dyDescent="0.25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</row>
    <row r="610" spans="1:26" ht="12" customHeight="1" x14ac:dyDescent="0.25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</row>
    <row r="611" spans="1:26" ht="12" customHeight="1" x14ac:dyDescent="0.25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5"/>
      <c r="N611" s="215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</row>
    <row r="612" spans="1:26" ht="12" customHeight="1" x14ac:dyDescent="0.25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</row>
    <row r="613" spans="1:26" ht="12" customHeight="1" x14ac:dyDescent="0.25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5"/>
      <c r="N613" s="215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</row>
    <row r="614" spans="1:26" ht="12" customHeight="1" x14ac:dyDescent="0.25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</row>
    <row r="615" spans="1:26" ht="12" customHeight="1" x14ac:dyDescent="0.25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</row>
    <row r="616" spans="1:26" ht="12" customHeight="1" x14ac:dyDescent="0.25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</row>
    <row r="617" spans="1:26" ht="12" customHeight="1" x14ac:dyDescent="0.25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5"/>
      <c r="N617" s="215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</row>
    <row r="618" spans="1:26" ht="12" customHeight="1" x14ac:dyDescent="0.25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</row>
    <row r="619" spans="1:26" ht="12" customHeight="1" x14ac:dyDescent="0.25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5"/>
      <c r="N619" s="215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</row>
    <row r="620" spans="1:26" ht="12" customHeight="1" x14ac:dyDescent="0.25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5"/>
      <c r="N620" s="215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</row>
    <row r="621" spans="1:26" ht="12" customHeight="1" x14ac:dyDescent="0.25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</row>
    <row r="622" spans="1:26" ht="12" customHeight="1" x14ac:dyDescent="0.25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5"/>
      <c r="N622" s="215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</row>
    <row r="623" spans="1:26" ht="12" customHeight="1" x14ac:dyDescent="0.25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5"/>
      <c r="N623" s="215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</row>
    <row r="624" spans="1:26" ht="12" customHeight="1" x14ac:dyDescent="0.25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</row>
    <row r="625" spans="1:26" ht="12" customHeight="1" x14ac:dyDescent="0.25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5"/>
      <c r="N625" s="215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</row>
    <row r="626" spans="1:26" ht="12" customHeight="1" x14ac:dyDescent="0.25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</row>
    <row r="627" spans="1:26" ht="12" customHeight="1" x14ac:dyDescent="0.25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</row>
    <row r="628" spans="1:26" ht="12" customHeight="1" x14ac:dyDescent="0.25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5"/>
      <c r="N628" s="215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</row>
    <row r="629" spans="1:26" ht="12" customHeight="1" x14ac:dyDescent="0.25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5"/>
      <c r="N629" s="215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</row>
    <row r="630" spans="1:26" ht="12" customHeight="1" x14ac:dyDescent="0.25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</row>
    <row r="631" spans="1:26" ht="12" customHeight="1" x14ac:dyDescent="0.25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5"/>
      <c r="N631" s="215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</row>
    <row r="632" spans="1:26" ht="12" customHeight="1" x14ac:dyDescent="0.25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5"/>
      <c r="N632" s="215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</row>
    <row r="633" spans="1:26" ht="12" customHeight="1" x14ac:dyDescent="0.25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</row>
    <row r="634" spans="1:26" ht="12" customHeight="1" x14ac:dyDescent="0.25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5"/>
      <c r="N634" s="215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</row>
    <row r="635" spans="1:26" ht="12" customHeight="1" x14ac:dyDescent="0.25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5"/>
      <c r="N635" s="215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</row>
    <row r="636" spans="1:26" ht="12" customHeight="1" x14ac:dyDescent="0.25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</row>
    <row r="637" spans="1:26" ht="12" customHeight="1" x14ac:dyDescent="0.25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</row>
    <row r="638" spans="1:26" ht="12" customHeight="1" x14ac:dyDescent="0.25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</row>
    <row r="639" spans="1:26" ht="12" customHeight="1" x14ac:dyDescent="0.25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</row>
    <row r="640" spans="1:26" ht="12" customHeight="1" x14ac:dyDescent="0.25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</row>
    <row r="641" spans="1:26" ht="12" customHeight="1" x14ac:dyDescent="0.25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</row>
    <row r="642" spans="1:26" ht="12" customHeight="1" x14ac:dyDescent="0.25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</row>
    <row r="643" spans="1:26" ht="12" customHeight="1" x14ac:dyDescent="0.25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</row>
    <row r="644" spans="1:26" ht="12" customHeight="1" x14ac:dyDescent="0.25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</row>
    <row r="645" spans="1:26" ht="12" customHeight="1" x14ac:dyDescent="0.25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</row>
    <row r="646" spans="1:26" ht="12" customHeight="1" x14ac:dyDescent="0.25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5"/>
      <c r="N646" s="215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</row>
    <row r="647" spans="1:26" ht="12" customHeight="1" x14ac:dyDescent="0.25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</row>
    <row r="648" spans="1:26" ht="12" customHeight="1" x14ac:dyDescent="0.25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</row>
    <row r="649" spans="1:26" ht="12" customHeight="1" x14ac:dyDescent="0.25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</row>
    <row r="650" spans="1:26" ht="12" customHeight="1" x14ac:dyDescent="0.25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</row>
    <row r="651" spans="1:26" ht="12" customHeight="1" x14ac:dyDescent="0.25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</row>
    <row r="652" spans="1:26" ht="12" customHeight="1" x14ac:dyDescent="0.25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5"/>
      <c r="N652" s="215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</row>
    <row r="653" spans="1:26" ht="12" customHeight="1" x14ac:dyDescent="0.25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5"/>
      <c r="N653" s="215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</row>
    <row r="654" spans="1:26" ht="12" customHeight="1" x14ac:dyDescent="0.25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</row>
    <row r="655" spans="1:26" ht="12" customHeight="1" x14ac:dyDescent="0.25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5"/>
      <c r="N655" s="215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</row>
    <row r="656" spans="1:26" ht="12" customHeight="1" x14ac:dyDescent="0.25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5"/>
      <c r="N656" s="215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</row>
    <row r="657" spans="1:26" ht="12" customHeight="1" x14ac:dyDescent="0.25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</row>
    <row r="658" spans="1:26" ht="12" customHeight="1" x14ac:dyDescent="0.25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5"/>
      <c r="N658" s="215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</row>
    <row r="659" spans="1:26" ht="12" customHeight="1" x14ac:dyDescent="0.25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5"/>
      <c r="N659" s="215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</row>
    <row r="660" spans="1:26" ht="12" customHeight="1" x14ac:dyDescent="0.25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</row>
    <row r="661" spans="1:26" ht="12" customHeight="1" x14ac:dyDescent="0.25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5"/>
      <c r="N661" s="215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</row>
    <row r="662" spans="1:26" ht="12" customHeight="1" x14ac:dyDescent="0.25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5"/>
      <c r="N662" s="215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</row>
    <row r="663" spans="1:26" ht="12" customHeight="1" x14ac:dyDescent="0.25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</row>
    <row r="664" spans="1:26" ht="12" customHeight="1" x14ac:dyDescent="0.25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5"/>
      <c r="N664" s="215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</row>
    <row r="665" spans="1:26" ht="12" customHeight="1" x14ac:dyDescent="0.25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5"/>
      <c r="N665" s="215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</row>
    <row r="666" spans="1:26" ht="12" customHeight="1" x14ac:dyDescent="0.25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</row>
    <row r="667" spans="1:26" ht="12" customHeight="1" x14ac:dyDescent="0.25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5"/>
      <c r="N667" s="215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</row>
    <row r="668" spans="1:26" ht="12" customHeight="1" x14ac:dyDescent="0.25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5"/>
      <c r="N668" s="215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</row>
    <row r="669" spans="1:26" ht="12" customHeight="1" x14ac:dyDescent="0.25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</row>
    <row r="670" spans="1:26" ht="12" customHeight="1" x14ac:dyDescent="0.25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5"/>
      <c r="N670" s="215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</row>
    <row r="671" spans="1:26" ht="12" customHeight="1" x14ac:dyDescent="0.25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5"/>
      <c r="N671" s="215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</row>
    <row r="672" spans="1:26" ht="12" customHeight="1" x14ac:dyDescent="0.25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</row>
    <row r="673" spans="1:26" ht="12" customHeight="1" x14ac:dyDescent="0.25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5"/>
      <c r="N673" s="215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</row>
    <row r="674" spans="1:26" ht="12" customHeight="1" x14ac:dyDescent="0.25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5"/>
      <c r="N674" s="215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</row>
    <row r="675" spans="1:26" ht="12" customHeight="1" x14ac:dyDescent="0.25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</row>
    <row r="676" spans="1:26" ht="12" customHeight="1" x14ac:dyDescent="0.25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5"/>
      <c r="N676" s="215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</row>
    <row r="677" spans="1:26" ht="12" customHeight="1" x14ac:dyDescent="0.25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5"/>
      <c r="N677" s="215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</row>
    <row r="678" spans="1:26" ht="12" customHeight="1" x14ac:dyDescent="0.25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</row>
    <row r="679" spans="1:26" ht="12" customHeight="1" x14ac:dyDescent="0.25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</row>
    <row r="680" spans="1:26" ht="12" customHeight="1" x14ac:dyDescent="0.25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5"/>
      <c r="N680" s="215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</row>
    <row r="681" spans="1:26" ht="12" customHeight="1" x14ac:dyDescent="0.25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5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</row>
    <row r="682" spans="1:26" ht="12" customHeight="1" x14ac:dyDescent="0.25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</row>
    <row r="683" spans="1:26" ht="12" customHeight="1" x14ac:dyDescent="0.25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</row>
    <row r="684" spans="1:26" ht="12" customHeight="1" x14ac:dyDescent="0.25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</row>
    <row r="685" spans="1:26" ht="12" customHeight="1" x14ac:dyDescent="0.25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5"/>
      <c r="N685" s="215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</row>
    <row r="686" spans="1:26" ht="12" customHeight="1" x14ac:dyDescent="0.25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5"/>
      <c r="N686" s="215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</row>
    <row r="687" spans="1:26" ht="12" customHeight="1" x14ac:dyDescent="0.25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</row>
    <row r="688" spans="1:26" ht="12" customHeight="1" x14ac:dyDescent="0.25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5"/>
      <c r="N688" s="215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</row>
    <row r="689" spans="1:26" ht="12" customHeight="1" x14ac:dyDescent="0.25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5"/>
      <c r="N689" s="215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</row>
    <row r="690" spans="1:26" ht="12" customHeight="1" x14ac:dyDescent="0.25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</row>
    <row r="691" spans="1:26" ht="12" customHeight="1" x14ac:dyDescent="0.25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5"/>
      <c r="N691" s="215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</row>
    <row r="692" spans="1:26" ht="12" customHeight="1" x14ac:dyDescent="0.25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</row>
    <row r="693" spans="1:26" ht="12" customHeight="1" x14ac:dyDescent="0.25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</row>
    <row r="694" spans="1:26" ht="12" customHeight="1" x14ac:dyDescent="0.25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</row>
    <row r="695" spans="1:26" ht="12" customHeight="1" x14ac:dyDescent="0.25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</row>
    <row r="696" spans="1:26" ht="12" customHeight="1" x14ac:dyDescent="0.25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</row>
    <row r="697" spans="1:26" ht="12" customHeight="1" x14ac:dyDescent="0.25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5"/>
      <c r="N697" s="215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</row>
    <row r="698" spans="1:26" ht="12" customHeight="1" x14ac:dyDescent="0.25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5"/>
      <c r="N698" s="215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</row>
    <row r="699" spans="1:26" ht="12" customHeight="1" x14ac:dyDescent="0.25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5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</row>
    <row r="700" spans="1:26" ht="12" customHeight="1" x14ac:dyDescent="0.25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5"/>
      <c r="N700" s="215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</row>
    <row r="701" spans="1:26" ht="12" customHeight="1" x14ac:dyDescent="0.25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5"/>
      <c r="N701" s="215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</row>
    <row r="702" spans="1:26" ht="12" customHeight="1" x14ac:dyDescent="0.25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</row>
    <row r="703" spans="1:26" ht="12" customHeight="1" x14ac:dyDescent="0.25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5"/>
      <c r="N703" s="215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</row>
    <row r="704" spans="1:26" ht="12" customHeight="1" x14ac:dyDescent="0.25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5"/>
      <c r="N704" s="215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</row>
    <row r="705" spans="1:26" ht="12" customHeight="1" x14ac:dyDescent="0.25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</row>
    <row r="706" spans="1:26" ht="12" customHeight="1" x14ac:dyDescent="0.25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</row>
    <row r="707" spans="1:26" ht="12" customHeight="1" x14ac:dyDescent="0.25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</row>
    <row r="708" spans="1:26" ht="12" customHeight="1" x14ac:dyDescent="0.25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</row>
    <row r="709" spans="1:26" ht="12" customHeight="1" x14ac:dyDescent="0.25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</row>
    <row r="710" spans="1:26" ht="12" customHeight="1" x14ac:dyDescent="0.25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</row>
    <row r="711" spans="1:26" ht="12" customHeight="1" x14ac:dyDescent="0.25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</row>
    <row r="712" spans="1:26" ht="12" customHeight="1" x14ac:dyDescent="0.25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5"/>
      <c r="N712" s="215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</row>
    <row r="713" spans="1:26" ht="12" customHeight="1" x14ac:dyDescent="0.25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</row>
    <row r="714" spans="1:26" ht="12" customHeight="1" x14ac:dyDescent="0.25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</row>
    <row r="715" spans="1:26" ht="12" customHeight="1" x14ac:dyDescent="0.25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5"/>
      <c r="N715" s="215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</row>
    <row r="716" spans="1:26" ht="12" customHeight="1" x14ac:dyDescent="0.25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5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</row>
    <row r="717" spans="1:26" ht="12" customHeight="1" x14ac:dyDescent="0.25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</row>
    <row r="718" spans="1:26" ht="12" customHeight="1" x14ac:dyDescent="0.25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5"/>
      <c r="N718" s="215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</row>
    <row r="719" spans="1:26" ht="12" customHeight="1" x14ac:dyDescent="0.25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5"/>
      <c r="N719" s="215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</row>
    <row r="720" spans="1:26" ht="12" customHeight="1" x14ac:dyDescent="0.25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5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</row>
    <row r="721" spans="1:26" ht="12" customHeight="1" x14ac:dyDescent="0.25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5"/>
      <c r="N721" s="215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</row>
    <row r="722" spans="1:26" ht="12" customHeight="1" x14ac:dyDescent="0.25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</row>
    <row r="723" spans="1:26" ht="12" customHeight="1" x14ac:dyDescent="0.25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</row>
    <row r="724" spans="1:26" ht="12" customHeight="1" x14ac:dyDescent="0.25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5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</row>
    <row r="725" spans="1:26" ht="12" customHeight="1" x14ac:dyDescent="0.25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5"/>
      <c r="N725" s="215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</row>
    <row r="726" spans="1:26" ht="12" customHeight="1" x14ac:dyDescent="0.25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</row>
    <row r="727" spans="1:26" ht="12" customHeight="1" x14ac:dyDescent="0.25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5"/>
      <c r="N727" s="215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</row>
    <row r="728" spans="1:26" ht="12" customHeight="1" x14ac:dyDescent="0.25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5"/>
      <c r="N728" s="215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</row>
    <row r="729" spans="1:26" ht="12" customHeight="1" x14ac:dyDescent="0.25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</row>
    <row r="730" spans="1:26" ht="12" customHeight="1" x14ac:dyDescent="0.25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5"/>
      <c r="N730" s="215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</row>
    <row r="731" spans="1:26" ht="12" customHeight="1" x14ac:dyDescent="0.25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5"/>
      <c r="N731" s="215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</row>
    <row r="732" spans="1:26" ht="12" customHeight="1" x14ac:dyDescent="0.25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</row>
    <row r="733" spans="1:26" ht="12" customHeight="1" x14ac:dyDescent="0.25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</row>
    <row r="734" spans="1:26" ht="12" customHeight="1" x14ac:dyDescent="0.25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</row>
    <row r="735" spans="1:26" ht="12" customHeight="1" x14ac:dyDescent="0.25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</row>
    <row r="736" spans="1:26" ht="12" customHeight="1" x14ac:dyDescent="0.25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5"/>
      <c r="N736" s="215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</row>
    <row r="737" spans="1:26" ht="12" customHeight="1" x14ac:dyDescent="0.25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5"/>
      <c r="N737" s="215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</row>
    <row r="738" spans="1:26" ht="12" customHeight="1" x14ac:dyDescent="0.25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</row>
    <row r="739" spans="1:26" ht="12" customHeight="1" x14ac:dyDescent="0.25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5"/>
      <c r="N739" s="215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</row>
    <row r="740" spans="1:26" ht="12" customHeight="1" x14ac:dyDescent="0.25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5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</row>
    <row r="741" spans="1:26" ht="12" customHeight="1" x14ac:dyDescent="0.25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</row>
    <row r="742" spans="1:26" ht="12" customHeight="1" x14ac:dyDescent="0.25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5"/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</row>
    <row r="743" spans="1:26" ht="12" customHeight="1" x14ac:dyDescent="0.25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5"/>
      <c r="N743" s="215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</row>
    <row r="744" spans="1:26" ht="12" customHeight="1" x14ac:dyDescent="0.25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</row>
    <row r="745" spans="1:26" ht="12" customHeight="1" x14ac:dyDescent="0.25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5"/>
      <c r="N745" s="215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</row>
    <row r="746" spans="1:26" ht="12" customHeight="1" x14ac:dyDescent="0.25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5"/>
      <c r="N746" s="215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</row>
    <row r="747" spans="1:26" ht="12" customHeight="1" x14ac:dyDescent="0.25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</row>
    <row r="748" spans="1:26" ht="12" customHeight="1" x14ac:dyDescent="0.25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5"/>
      <c r="N748" s="215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</row>
    <row r="749" spans="1:26" ht="12" customHeight="1" x14ac:dyDescent="0.25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5"/>
      <c r="N749" s="215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</row>
    <row r="750" spans="1:26" ht="12" customHeight="1" x14ac:dyDescent="0.25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</row>
    <row r="751" spans="1:26" ht="12" customHeight="1" x14ac:dyDescent="0.25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5"/>
      <c r="N751" s="215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</row>
    <row r="752" spans="1:26" ht="12" customHeight="1" x14ac:dyDescent="0.25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</row>
    <row r="753" spans="1:26" ht="12" customHeight="1" x14ac:dyDescent="0.25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</row>
    <row r="754" spans="1:26" ht="12" customHeight="1" x14ac:dyDescent="0.25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5"/>
      <c r="N754" s="215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</row>
    <row r="755" spans="1:26" ht="12" customHeight="1" x14ac:dyDescent="0.25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5"/>
      <c r="N755" s="215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</row>
    <row r="756" spans="1:26" ht="12" customHeight="1" x14ac:dyDescent="0.25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5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</row>
    <row r="757" spans="1:26" ht="12" customHeight="1" x14ac:dyDescent="0.25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5"/>
      <c r="N757" s="215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</row>
    <row r="758" spans="1:26" ht="12" customHeight="1" x14ac:dyDescent="0.25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5"/>
      <c r="N758" s="215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</row>
    <row r="759" spans="1:26" ht="12" customHeight="1" x14ac:dyDescent="0.25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</row>
    <row r="760" spans="1:26" ht="12" customHeight="1" x14ac:dyDescent="0.25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5"/>
      <c r="N760" s="215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</row>
    <row r="761" spans="1:26" ht="12" customHeight="1" x14ac:dyDescent="0.25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5"/>
      <c r="N761" s="215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</row>
    <row r="762" spans="1:26" ht="12" customHeight="1" x14ac:dyDescent="0.25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</row>
    <row r="763" spans="1:26" ht="12" customHeight="1" x14ac:dyDescent="0.25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5"/>
      <c r="N763" s="215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</row>
    <row r="764" spans="1:26" ht="12" customHeight="1" x14ac:dyDescent="0.25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5"/>
      <c r="N764" s="215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</row>
    <row r="765" spans="1:26" ht="12" customHeight="1" x14ac:dyDescent="0.25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5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</row>
    <row r="766" spans="1:26" ht="12" customHeight="1" x14ac:dyDescent="0.25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5"/>
      <c r="N766" s="215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</row>
    <row r="767" spans="1:26" ht="12" customHeight="1" x14ac:dyDescent="0.25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5"/>
      <c r="N767" s="215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</row>
    <row r="768" spans="1:26" ht="12" customHeight="1" x14ac:dyDescent="0.25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5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</row>
    <row r="769" spans="1:26" ht="12" customHeight="1" x14ac:dyDescent="0.25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5"/>
      <c r="N769" s="215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</row>
    <row r="770" spans="1:26" ht="12" customHeight="1" x14ac:dyDescent="0.25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5"/>
      <c r="N770" s="215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</row>
    <row r="771" spans="1:26" ht="12" customHeight="1" x14ac:dyDescent="0.25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</row>
    <row r="772" spans="1:26" ht="12" customHeight="1" x14ac:dyDescent="0.25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5"/>
      <c r="N772" s="215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</row>
    <row r="773" spans="1:26" ht="12" customHeight="1" x14ac:dyDescent="0.25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5"/>
      <c r="N773" s="215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</row>
    <row r="774" spans="1:26" ht="12" customHeight="1" x14ac:dyDescent="0.25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5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</row>
    <row r="775" spans="1:26" ht="12" customHeight="1" x14ac:dyDescent="0.25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5"/>
      <c r="N775" s="215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</row>
    <row r="776" spans="1:26" ht="12" customHeight="1" x14ac:dyDescent="0.25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5"/>
      <c r="N776" s="215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</row>
    <row r="777" spans="1:26" ht="12" customHeight="1" x14ac:dyDescent="0.25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</row>
    <row r="778" spans="1:26" ht="12" customHeight="1" x14ac:dyDescent="0.25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5"/>
      <c r="N778" s="215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</row>
    <row r="779" spans="1:26" ht="12" customHeight="1" x14ac:dyDescent="0.25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5"/>
      <c r="N779" s="215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</row>
    <row r="780" spans="1:26" ht="12" customHeight="1" x14ac:dyDescent="0.25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</row>
    <row r="781" spans="1:26" ht="12" customHeight="1" x14ac:dyDescent="0.25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</row>
    <row r="782" spans="1:26" ht="12" customHeight="1" x14ac:dyDescent="0.25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5"/>
      <c r="N782" s="215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</row>
    <row r="783" spans="1:26" ht="12" customHeight="1" x14ac:dyDescent="0.25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</row>
    <row r="784" spans="1:26" ht="12" customHeight="1" x14ac:dyDescent="0.25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</row>
    <row r="785" spans="1:26" ht="12" customHeight="1" x14ac:dyDescent="0.25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5"/>
      <c r="N785" s="215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</row>
    <row r="786" spans="1:26" ht="12" customHeight="1" x14ac:dyDescent="0.25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</row>
    <row r="787" spans="1:26" ht="12" customHeight="1" x14ac:dyDescent="0.25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5"/>
      <c r="N787" s="215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</row>
    <row r="788" spans="1:26" ht="12" customHeight="1" x14ac:dyDescent="0.25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5"/>
      <c r="N788" s="215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</row>
    <row r="789" spans="1:26" ht="12" customHeight="1" x14ac:dyDescent="0.25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5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</row>
    <row r="790" spans="1:26" ht="12" customHeight="1" x14ac:dyDescent="0.25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5"/>
      <c r="N790" s="215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</row>
    <row r="791" spans="1:26" ht="12" customHeight="1" x14ac:dyDescent="0.25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5"/>
      <c r="N791" s="215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</row>
    <row r="792" spans="1:26" ht="12" customHeight="1" x14ac:dyDescent="0.25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</row>
    <row r="793" spans="1:26" ht="12" customHeight="1" x14ac:dyDescent="0.25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5"/>
      <c r="N793" s="215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</row>
    <row r="794" spans="1:26" ht="12" customHeight="1" x14ac:dyDescent="0.25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5"/>
      <c r="N794" s="215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</row>
    <row r="795" spans="1:26" ht="12" customHeight="1" x14ac:dyDescent="0.25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</row>
    <row r="796" spans="1:26" ht="12" customHeight="1" x14ac:dyDescent="0.25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5"/>
      <c r="N796" s="215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</row>
    <row r="797" spans="1:26" ht="12" customHeight="1" x14ac:dyDescent="0.25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5"/>
      <c r="N797" s="215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</row>
    <row r="798" spans="1:26" ht="12" customHeight="1" x14ac:dyDescent="0.25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</row>
    <row r="799" spans="1:26" ht="12" customHeight="1" x14ac:dyDescent="0.25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5"/>
      <c r="N799" s="215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</row>
    <row r="800" spans="1:26" ht="12" customHeight="1" x14ac:dyDescent="0.25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5"/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</row>
    <row r="801" spans="1:26" ht="12" customHeight="1" x14ac:dyDescent="0.25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5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</row>
    <row r="802" spans="1:26" ht="12" customHeight="1" x14ac:dyDescent="0.25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5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</row>
    <row r="803" spans="1:26" ht="12" customHeight="1" x14ac:dyDescent="0.25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5"/>
      <c r="N803" s="215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</row>
    <row r="804" spans="1:26" ht="12" customHeight="1" x14ac:dyDescent="0.25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</row>
    <row r="805" spans="1:26" ht="12" customHeight="1" x14ac:dyDescent="0.25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5"/>
      <c r="N805" s="215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</row>
    <row r="806" spans="1:26" ht="12" customHeight="1" x14ac:dyDescent="0.25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5"/>
      <c r="N806" s="215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</row>
    <row r="807" spans="1:26" ht="12" customHeight="1" x14ac:dyDescent="0.25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5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</row>
    <row r="808" spans="1:26" ht="12" customHeight="1" x14ac:dyDescent="0.25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5"/>
      <c r="N808" s="215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</row>
    <row r="809" spans="1:26" ht="12" customHeight="1" x14ac:dyDescent="0.25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5"/>
      <c r="N809" s="215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</row>
    <row r="810" spans="1:26" ht="12" customHeight="1" x14ac:dyDescent="0.25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</row>
    <row r="811" spans="1:26" ht="12" customHeight="1" x14ac:dyDescent="0.25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5"/>
      <c r="N811" s="215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</row>
    <row r="812" spans="1:26" ht="12" customHeight="1" x14ac:dyDescent="0.25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5"/>
      <c r="N812" s="215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</row>
    <row r="813" spans="1:26" ht="12" customHeight="1" x14ac:dyDescent="0.25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5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</row>
    <row r="814" spans="1:26" ht="12" customHeight="1" x14ac:dyDescent="0.25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5"/>
      <c r="N814" s="215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</row>
    <row r="815" spans="1:26" ht="12" customHeight="1" x14ac:dyDescent="0.25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</row>
    <row r="816" spans="1:26" ht="12" customHeight="1" x14ac:dyDescent="0.25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5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</row>
    <row r="817" spans="1:26" ht="12" customHeight="1" x14ac:dyDescent="0.25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5"/>
      <c r="N817" s="215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</row>
    <row r="818" spans="1:26" ht="12" customHeight="1" x14ac:dyDescent="0.25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5"/>
      <c r="N818" s="215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</row>
    <row r="819" spans="1:26" ht="12" customHeight="1" x14ac:dyDescent="0.25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</row>
    <row r="820" spans="1:26" ht="12" customHeight="1" x14ac:dyDescent="0.25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</row>
    <row r="821" spans="1:26" ht="12" customHeight="1" x14ac:dyDescent="0.25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5"/>
      <c r="N821" s="215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</row>
    <row r="822" spans="1:26" ht="12" customHeight="1" x14ac:dyDescent="0.25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</row>
    <row r="823" spans="1:26" ht="12" customHeight="1" x14ac:dyDescent="0.25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5"/>
      <c r="N823" s="215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</row>
    <row r="824" spans="1:26" ht="12" customHeight="1" x14ac:dyDescent="0.25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5"/>
      <c r="N824" s="215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</row>
    <row r="825" spans="1:26" ht="12" customHeight="1" x14ac:dyDescent="0.25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</row>
    <row r="826" spans="1:26" ht="12" customHeight="1" x14ac:dyDescent="0.25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5"/>
      <c r="N826" s="215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</row>
    <row r="827" spans="1:26" ht="12" customHeight="1" x14ac:dyDescent="0.25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5"/>
      <c r="N827" s="215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</row>
    <row r="828" spans="1:26" ht="12" customHeight="1" x14ac:dyDescent="0.25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5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</row>
    <row r="829" spans="1:26" ht="12" customHeight="1" x14ac:dyDescent="0.25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5"/>
      <c r="N829" s="215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</row>
    <row r="830" spans="1:26" ht="12" customHeight="1" x14ac:dyDescent="0.25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5"/>
      <c r="N830" s="215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</row>
    <row r="831" spans="1:26" ht="12" customHeight="1" x14ac:dyDescent="0.25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</row>
    <row r="832" spans="1:26" ht="12" customHeight="1" x14ac:dyDescent="0.25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5"/>
      <c r="N832" s="215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</row>
    <row r="833" spans="1:26" ht="12" customHeight="1" x14ac:dyDescent="0.25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5"/>
      <c r="N833" s="215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</row>
    <row r="834" spans="1:26" ht="12" customHeight="1" x14ac:dyDescent="0.25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</row>
    <row r="835" spans="1:26" ht="12" customHeight="1" x14ac:dyDescent="0.25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5"/>
      <c r="N835" s="215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</row>
    <row r="836" spans="1:26" ht="12" customHeight="1" x14ac:dyDescent="0.25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5"/>
      <c r="N836" s="215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</row>
    <row r="837" spans="1:26" ht="12" customHeight="1" x14ac:dyDescent="0.25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</row>
    <row r="838" spans="1:26" ht="12" customHeight="1" x14ac:dyDescent="0.25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5"/>
      <c r="N838" s="215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</row>
    <row r="839" spans="1:26" ht="12" customHeight="1" x14ac:dyDescent="0.25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5"/>
      <c r="N839" s="215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</row>
    <row r="840" spans="1:26" ht="12" customHeight="1" x14ac:dyDescent="0.25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</row>
    <row r="841" spans="1:26" ht="12" customHeight="1" x14ac:dyDescent="0.25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5"/>
      <c r="N841" s="215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</row>
    <row r="842" spans="1:26" ht="12" customHeight="1" x14ac:dyDescent="0.25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5"/>
      <c r="N842" s="215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</row>
    <row r="843" spans="1:26" ht="12" customHeight="1" x14ac:dyDescent="0.25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</row>
    <row r="844" spans="1:26" ht="12" customHeight="1" x14ac:dyDescent="0.25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5"/>
      <c r="N844" s="215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</row>
    <row r="845" spans="1:26" ht="12" customHeight="1" x14ac:dyDescent="0.25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5"/>
      <c r="N845" s="215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</row>
    <row r="846" spans="1:26" ht="12" customHeight="1" x14ac:dyDescent="0.25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</row>
    <row r="847" spans="1:26" ht="12" customHeight="1" x14ac:dyDescent="0.25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5"/>
      <c r="N847" s="215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</row>
    <row r="848" spans="1:26" ht="12" customHeight="1" x14ac:dyDescent="0.25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5"/>
      <c r="N848" s="215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</row>
    <row r="849" spans="1:26" ht="12" customHeight="1" x14ac:dyDescent="0.25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</row>
    <row r="850" spans="1:26" ht="12" customHeight="1" x14ac:dyDescent="0.25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5"/>
      <c r="N850" s="215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</row>
    <row r="851" spans="1:26" ht="12" customHeight="1" x14ac:dyDescent="0.25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5"/>
      <c r="N851" s="215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</row>
    <row r="852" spans="1:26" ht="12" customHeight="1" x14ac:dyDescent="0.25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</row>
    <row r="853" spans="1:26" ht="12" customHeight="1" x14ac:dyDescent="0.25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5"/>
      <c r="N853" s="215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</row>
    <row r="854" spans="1:26" ht="12" customHeight="1" x14ac:dyDescent="0.25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5"/>
      <c r="N854" s="215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</row>
    <row r="855" spans="1:26" ht="12" customHeight="1" x14ac:dyDescent="0.25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</row>
    <row r="856" spans="1:26" ht="12" customHeight="1" x14ac:dyDescent="0.25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5"/>
      <c r="N856" s="215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</row>
    <row r="857" spans="1:26" ht="12" customHeight="1" x14ac:dyDescent="0.25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5"/>
      <c r="N857" s="215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</row>
    <row r="858" spans="1:26" ht="12" customHeight="1" x14ac:dyDescent="0.25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</row>
    <row r="859" spans="1:26" ht="12" customHeight="1" x14ac:dyDescent="0.25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5"/>
      <c r="N859" s="215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</row>
    <row r="860" spans="1:26" ht="12" customHeight="1" x14ac:dyDescent="0.25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5"/>
      <c r="N860" s="215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</row>
    <row r="861" spans="1:26" ht="12" customHeight="1" x14ac:dyDescent="0.25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</row>
    <row r="862" spans="1:26" ht="12" customHeight="1" x14ac:dyDescent="0.25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5"/>
      <c r="N862" s="215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</row>
    <row r="863" spans="1:26" ht="12" customHeight="1" x14ac:dyDescent="0.25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5"/>
      <c r="N863" s="215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</row>
    <row r="864" spans="1:26" ht="12" customHeight="1" x14ac:dyDescent="0.25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</row>
    <row r="865" spans="1:26" ht="12" customHeight="1" x14ac:dyDescent="0.25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5"/>
      <c r="N865" s="215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</row>
    <row r="866" spans="1:26" ht="12" customHeight="1" x14ac:dyDescent="0.25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5"/>
      <c r="N866" s="215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</row>
    <row r="867" spans="1:26" ht="12" customHeight="1" x14ac:dyDescent="0.25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</row>
    <row r="868" spans="1:26" ht="12" customHeight="1" x14ac:dyDescent="0.25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5"/>
      <c r="N868" s="215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</row>
    <row r="869" spans="1:26" ht="12" customHeight="1" x14ac:dyDescent="0.25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5"/>
      <c r="N869" s="215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</row>
    <row r="870" spans="1:26" ht="12" customHeight="1" x14ac:dyDescent="0.25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5"/>
      <c r="N870" s="215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</row>
    <row r="871" spans="1:26" ht="12" customHeight="1" x14ac:dyDescent="0.25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5"/>
      <c r="N871" s="215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</row>
    <row r="872" spans="1:26" ht="12" customHeight="1" x14ac:dyDescent="0.25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5"/>
      <c r="N872" s="215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</row>
    <row r="873" spans="1:26" ht="12" customHeight="1" x14ac:dyDescent="0.25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5"/>
      <c r="N873" s="215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</row>
    <row r="874" spans="1:26" ht="12" customHeight="1" x14ac:dyDescent="0.25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5"/>
      <c r="N874" s="215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</row>
    <row r="875" spans="1:26" ht="12" customHeight="1" x14ac:dyDescent="0.25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5"/>
      <c r="N875" s="215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</row>
    <row r="876" spans="1:26" ht="12" customHeight="1" x14ac:dyDescent="0.25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5"/>
      <c r="N876" s="215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</row>
    <row r="877" spans="1:26" ht="12" customHeight="1" x14ac:dyDescent="0.25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5"/>
      <c r="N877" s="215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</row>
    <row r="878" spans="1:26" ht="12" customHeight="1" x14ac:dyDescent="0.25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5"/>
      <c r="N878" s="215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</row>
    <row r="879" spans="1:26" ht="12" customHeight="1" x14ac:dyDescent="0.25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5"/>
      <c r="N879" s="215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</row>
    <row r="880" spans="1:26" ht="12" customHeight="1" x14ac:dyDescent="0.25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5"/>
      <c r="N880" s="215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</row>
    <row r="881" spans="1:26" ht="12" customHeight="1" x14ac:dyDescent="0.25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5"/>
      <c r="N881" s="215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</row>
    <row r="882" spans="1:26" ht="12" customHeight="1" x14ac:dyDescent="0.25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5"/>
      <c r="N882" s="215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</row>
    <row r="883" spans="1:26" ht="12" customHeight="1" x14ac:dyDescent="0.25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5"/>
      <c r="N883" s="215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</row>
    <row r="884" spans="1:26" ht="12" customHeight="1" x14ac:dyDescent="0.25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5"/>
      <c r="N884" s="215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</row>
    <row r="885" spans="1:26" ht="12" customHeight="1" x14ac:dyDescent="0.25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5"/>
      <c r="N885" s="215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</row>
    <row r="886" spans="1:26" ht="12" customHeight="1" x14ac:dyDescent="0.25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5"/>
      <c r="N886" s="215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</row>
    <row r="887" spans="1:26" ht="12" customHeight="1" x14ac:dyDescent="0.25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5"/>
      <c r="N887" s="215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</row>
    <row r="888" spans="1:26" ht="12" customHeight="1" x14ac:dyDescent="0.25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5"/>
      <c r="N888" s="215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</row>
    <row r="889" spans="1:26" ht="12" customHeight="1" x14ac:dyDescent="0.25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5"/>
      <c r="N889" s="215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</row>
    <row r="890" spans="1:26" ht="12" customHeight="1" x14ac:dyDescent="0.25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5"/>
      <c r="N890" s="215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</row>
    <row r="891" spans="1:26" ht="12" customHeight="1" x14ac:dyDescent="0.25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5"/>
      <c r="N891" s="215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</row>
    <row r="892" spans="1:26" ht="12" customHeight="1" x14ac:dyDescent="0.25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5"/>
      <c r="N892" s="215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</row>
    <row r="893" spans="1:26" ht="12" customHeight="1" x14ac:dyDescent="0.25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5"/>
      <c r="N893" s="215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</row>
    <row r="894" spans="1:26" ht="12" customHeight="1" x14ac:dyDescent="0.25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5"/>
      <c r="N894" s="215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</row>
    <row r="895" spans="1:26" ht="12" customHeight="1" x14ac:dyDescent="0.25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5"/>
      <c r="N895" s="215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</row>
    <row r="896" spans="1:26" ht="12" customHeight="1" x14ac:dyDescent="0.25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5"/>
      <c r="N896" s="215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</row>
    <row r="897" spans="1:26" ht="12" customHeight="1" x14ac:dyDescent="0.25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5"/>
      <c r="N897" s="215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</row>
    <row r="898" spans="1:26" ht="12" customHeight="1" x14ac:dyDescent="0.25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5"/>
      <c r="N898" s="215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</row>
    <row r="899" spans="1:26" ht="12" customHeight="1" x14ac:dyDescent="0.25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5"/>
      <c r="N899" s="215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</row>
    <row r="900" spans="1:26" ht="12" customHeight="1" x14ac:dyDescent="0.25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5"/>
      <c r="N900" s="215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</row>
    <row r="901" spans="1:26" ht="12" customHeight="1" x14ac:dyDescent="0.25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5"/>
      <c r="N901" s="215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</row>
    <row r="902" spans="1:26" ht="12" customHeight="1" x14ac:dyDescent="0.25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5"/>
      <c r="N902" s="215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</row>
    <row r="903" spans="1:26" ht="12" customHeight="1" x14ac:dyDescent="0.25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5"/>
      <c r="N903" s="215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</row>
    <row r="904" spans="1:26" ht="12" customHeight="1" x14ac:dyDescent="0.25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5"/>
      <c r="N904" s="215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</row>
    <row r="905" spans="1:26" ht="12" customHeight="1" x14ac:dyDescent="0.25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5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</row>
    <row r="906" spans="1:26" ht="12" customHeight="1" x14ac:dyDescent="0.25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</row>
    <row r="907" spans="1:26" ht="12" customHeight="1" x14ac:dyDescent="0.25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</row>
    <row r="908" spans="1:26" ht="12" customHeight="1" x14ac:dyDescent="0.25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5"/>
      <c r="N908" s="215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</row>
    <row r="909" spans="1:26" ht="12" customHeight="1" x14ac:dyDescent="0.25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5"/>
      <c r="N909" s="215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</row>
    <row r="910" spans="1:26" ht="12" customHeight="1" x14ac:dyDescent="0.25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5"/>
      <c r="N910" s="215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</row>
    <row r="911" spans="1:26" ht="12" customHeight="1" x14ac:dyDescent="0.25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5"/>
      <c r="N911" s="215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</row>
    <row r="912" spans="1:26" ht="12" customHeight="1" x14ac:dyDescent="0.25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</row>
    <row r="913" spans="1:26" ht="12" customHeight="1" x14ac:dyDescent="0.25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</row>
    <row r="914" spans="1:26" ht="12" customHeight="1" x14ac:dyDescent="0.25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</row>
    <row r="915" spans="1:26" ht="12" customHeight="1" x14ac:dyDescent="0.25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</row>
    <row r="916" spans="1:26" ht="12" customHeight="1" x14ac:dyDescent="0.25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</row>
    <row r="917" spans="1:26" ht="12" customHeight="1" x14ac:dyDescent="0.25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</row>
    <row r="918" spans="1:26" ht="12" customHeight="1" x14ac:dyDescent="0.25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</row>
    <row r="919" spans="1:26" ht="12" customHeight="1" x14ac:dyDescent="0.25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5"/>
      <c r="N919" s="215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</row>
    <row r="920" spans="1:26" ht="12" customHeight="1" x14ac:dyDescent="0.25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5"/>
      <c r="N920" s="215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</row>
    <row r="921" spans="1:26" ht="12" customHeight="1" x14ac:dyDescent="0.25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5"/>
      <c r="N921" s="215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</row>
    <row r="922" spans="1:26" ht="12" customHeight="1" x14ac:dyDescent="0.25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</row>
    <row r="923" spans="1:26" ht="12" customHeight="1" x14ac:dyDescent="0.25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5"/>
      <c r="N923" s="215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</row>
    <row r="924" spans="1:26" ht="12" customHeight="1" x14ac:dyDescent="0.25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5"/>
      <c r="N924" s="215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</row>
    <row r="925" spans="1:26" ht="12" customHeight="1" x14ac:dyDescent="0.25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5"/>
      <c r="N925" s="215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</row>
    <row r="926" spans="1:26" ht="12" customHeight="1" x14ac:dyDescent="0.25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5"/>
      <c r="N926" s="215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</row>
    <row r="927" spans="1:26" ht="12" customHeight="1" x14ac:dyDescent="0.25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5"/>
      <c r="N927" s="215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</row>
    <row r="928" spans="1:26" ht="12" customHeight="1" x14ac:dyDescent="0.25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5"/>
      <c r="N928" s="215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</row>
    <row r="929" spans="1:26" ht="12" customHeight="1" x14ac:dyDescent="0.25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5"/>
      <c r="N929" s="215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</row>
    <row r="930" spans="1:26" ht="12" customHeight="1" x14ac:dyDescent="0.25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5"/>
      <c r="N930" s="215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</row>
    <row r="931" spans="1:26" ht="12" customHeight="1" x14ac:dyDescent="0.25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5"/>
      <c r="N931" s="215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</row>
    <row r="932" spans="1:26" ht="12" customHeight="1" x14ac:dyDescent="0.25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5"/>
      <c r="N932" s="215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</row>
    <row r="933" spans="1:26" ht="12" customHeight="1" x14ac:dyDescent="0.25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5"/>
      <c r="N933" s="215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</row>
    <row r="934" spans="1:26" ht="12" customHeight="1" x14ac:dyDescent="0.25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5"/>
      <c r="N934" s="215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</row>
    <row r="935" spans="1:26" ht="12" customHeight="1" x14ac:dyDescent="0.25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5"/>
      <c r="N935" s="215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</row>
    <row r="936" spans="1:26" ht="12" customHeight="1" x14ac:dyDescent="0.25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5"/>
      <c r="N936" s="215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</row>
    <row r="937" spans="1:26" ht="12" customHeight="1" x14ac:dyDescent="0.25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5"/>
      <c r="N937" s="215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</row>
    <row r="938" spans="1:26" ht="12" customHeight="1" x14ac:dyDescent="0.25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5"/>
      <c r="N938" s="215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</row>
    <row r="939" spans="1:26" ht="12" customHeight="1" x14ac:dyDescent="0.25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5"/>
      <c r="N939" s="215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</row>
    <row r="940" spans="1:26" ht="12" customHeight="1" x14ac:dyDescent="0.25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5"/>
      <c r="N940" s="215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</row>
    <row r="941" spans="1:26" ht="12" customHeight="1" x14ac:dyDescent="0.25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5"/>
      <c r="N941" s="215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</row>
    <row r="942" spans="1:26" ht="12" customHeight="1" x14ac:dyDescent="0.25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5"/>
      <c r="N942" s="215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</row>
  </sheetData>
  <mergeCells count="1">
    <mergeCell ref="C2:D2"/>
  </mergeCells>
  <conditionalFormatting sqref="C87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pageOrder="overThenDown" orientation="landscape"/>
  <colBreaks count="2" manualBreakCount="2">
    <brk id="4" man="1"/>
    <brk id="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15B06-EA97-4487-9832-DF199341F712}">
  <sheetPr>
    <tabColor rgb="FFFFC000"/>
  </sheetPr>
  <dimension ref="A1:P50"/>
  <sheetViews>
    <sheetView workbookViewId="0">
      <selection activeCell="F6" sqref="F6"/>
    </sheetView>
  </sheetViews>
  <sheetFormatPr defaultRowHeight="15" x14ac:dyDescent="0.25"/>
  <cols>
    <col min="1" max="1" width="4" customWidth="1"/>
    <col min="2" max="2" width="25.85546875" customWidth="1"/>
    <col min="3" max="3" width="19.42578125" customWidth="1"/>
    <col min="4" max="4" width="19" customWidth="1"/>
    <col min="5" max="5" width="29.7109375" customWidth="1"/>
    <col min="6" max="6" width="20.5703125" customWidth="1"/>
    <col min="7" max="7" width="17.85546875" customWidth="1"/>
    <col min="8" max="8" width="15.42578125" customWidth="1"/>
    <col min="9" max="10" width="16.7109375" customWidth="1"/>
    <col min="11" max="14" width="14.7109375" customWidth="1"/>
    <col min="15" max="15" width="16.7109375" customWidth="1"/>
  </cols>
  <sheetData>
    <row r="1" spans="1:16" x14ac:dyDescent="0.25">
      <c r="A1" s="539"/>
      <c r="B1" s="354"/>
      <c r="C1" s="354"/>
      <c r="D1" s="354"/>
      <c r="E1" s="354"/>
      <c r="F1" s="354"/>
      <c r="G1" s="354"/>
      <c r="H1" s="354"/>
      <c r="I1" s="354"/>
      <c r="J1" s="354"/>
      <c r="K1" s="516"/>
      <c r="L1" s="516"/>
      <c r="M1" s="516"/>
      <c r="N1" s="516"/>
      <c r="O1" s="516"/>
      <c r="P1" s="516"/>
    </row>
    <row r="2" spans="1:16" ht="31.5" customHeight="1" x14ac:dyDescent="0.25">
      <c r="A2" s="354"/>
      <c r="B2" s="919" t="s">
        <v>0</v>
      </c>
      <c r="C2" s="539"/>
      <c r="D2" s="539"/>
      <c r="E2" s="539"/>
      <c r="F2" s="539"/>
      <c r="G2" s="539"/>
      <c r="H2" s="539"/>
      <c r="I2" s="539"/>
      <c r="J2" s="539"/>
      <c r="K2" s="424"/>
      <c r="L2" s="516"/>
      <c r="M2" s="516"/>
      <c r="N2" s="516"/>
      <c r="O2" s="516"/>
      <c r="P2" s="516"/>
    </row>
    <row r="3" spans="1:16" ht="15.75" thickBot="1" x14ac:dyDescent="0.3">
      <c r="A3" s="354"/>
      <c r="B3" s="354"/>
      <c r="C3" s="354"/>
      <c r="D3" s="354"/>
      <c r="E3" s="354"/>
      <c r="F3" s="354"/>
      <c r="G3" s="354"/>
      <c r="H3" s="354"/>
      <c r="I3" s="354"/>
      <c r="J3" s="354"/>
      <c r="K3" s="424"/>
      <c r="L3" s="424"/>
      <c r="M3" s="424"/>
      <c r="N3" s="424"/>
      <c r="O3" s="424"/>
      <c r="P3" s="516"/>
    </row>
    <row r="4" spans="1:16" ht="20.25" customHeight="1" thickBot="1" x14ac:dyDescent="0.3">
      <c r="A4" s="354"/>
      <c r="B4" s="1071" t="s">
        <v>267</v>
      </c>
      <c r="C4" s="1072"/>
      <c r="D4" s="1072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3"/>
      <c r="P4" s="424"/>
    </row>
    <row r="5" spans="1:16" ht="20.25" customHeight="1" thickBot="1" x14ac:dyDescent="0.3">
      <c r="A5" s="354"/>
      <c r="B5" s="877" t="s">
        <v>268</v>
      </c>
      <c r="C5" s="785" t="s">
        <v>269</v>
      </c>
      <c r="D5" s="785" t="s">
        <v>270</v>
      </c>
      <c r="E5" s="785" t="s">
        <v>271</v>
      </c>
      <c r="F5" s="785" t="s">
        <v>272</v>
      </c>
      <c r="G5" s="785" t="s">
        <v>273</v>
      </c>
      <c r="H5" s="785" t="s">
        <v>274</v>
      </c>
      <c r="I5" s="785" t="s">
        <v>275</v>
      </c>
      <c r="J5" s="785" t="s">
        <v>276</v>
      </c>
      <c r="K5" s="785" t="s">
        <v>226</v>
      </c>
      <c r="L5" s="785" t="s">
        <v>277</v>
      </c>
      <c r="M5" s="785" t="s">
        <v>278</v>
      </c>
      <c r="N5" s="785" t="s">
        <v>279</v>
      </c>
      <c r="O5" s="679" t="s">
        <v>280</v>
      </c>
      <c r="P5" s="424"/>
    </row>
    <row r="6" spans="1:16" ht="54.75" customHeight="1" x14ac:dyDescent="0.25">
      <c r="A6" s="354"/>
      <c r="B6" s="880" t="s">
        <v>149</v>
      </c>
      <c r="C6" s="881">
        <f>SUM('Parcel Data'!D5:D9)</f>
        <v>31.01</v>
      </c>
      <c r="D6" s="882">
        <f>C6*43560</f>
        <v>1350795.6</v>
      </c>
      <c r="E6" s="883" t="s">
        <v>281</v>
      </c>
      <c r="F6" s="884">
        <f>'Phase I Financial'!B13</f>
        <v>580.69594780219791</v>
      </c>
      <c r="G6" s="884">
        <v>0</v>
      </c>
      <c r="H6" s="885">
        <f>'Phase I Financial'!B20</f>
        <v>298800</v>
      </c>
      <c r="I6" s="886">
        <f>'Phase I Financial'!D47</f>
        <v>424716435.29407489</v>
      </c>
      <c r="J6" s="887">
        <f>'Phase I Financial'!C77</f>
        <v>314699711.75322872</v>
      </c>
      <c r="K6" s="879">
        <f>'Phase I Financial'!B92</f>
        <v>121815369.15184096</v>
      </c>
      <c r="L6" s="879">
        <f>'Phase I Financial'!B87</f>
        <v>188819827.05193722</v>
      </c>
      <c r="M6" s="909">
        <f>IF('Phase I Financial'!B81&gt;0,0,'Phase I Financial'!B81)</f>
        <v>0</v>
      </c>
      <c r="N6" s="911">
        <f>'Phase I Financial'!B110</f>
        <v>0.20634718503427307</v>
      </c>
      <c r="O6" s="912">
        <f>'Phase I Financial'!B111</f>
        <v>0.13311013290714868</v>
      </c>
      <c r="P6" s="424"/>
    </row>
    <row r="7" spans="1:16" ht="42" customHeight="1" thickBot="1" x14ac:dyDescent="0.3">
      <c r="A7" s="354"/>
      <c r="B7" s="888" t="s">
        <v>150</v>
      </c>
      <c r="C7" s="889">
        <f>SUM('Parcel Data'!D10:D16)</f>
        <v>40.56</v>
      </c>
      <c r="D7" s="890">
        <f>C7*43560</f>
        <v>1766793.6</v>
      </c>
      <c r="E7" s="891" t="s">
        <v>282</v>
      </c>
      <c r="F7" s="892">
        <f>'Phase II Financial'!B12</f>
        <v>187.73184065934066</v>
      </c>
      <c r="G7" s="892">
        <f>'Phase II Financial'!B20</f>
        <v>150</v>
      </c>
      <c r="H7" s="893">
        <f>'Phase II Financial'!B28</f>
        <v>41825</v>
      </c>
      <c r="I7" s="894">
        <f>'Phase II Financial'!D55</f>
        <v>239409960.55775985</v>
      </c>
      <c r="J7" s="895">
        <f>'Phase II Financial'!C86</f>
        <v>177764227.05757365</v>
      </c>
      <c r="K7" s="878">
        <f>'Phase II Financial'!B101</f>
        <v>54969577.987864628</v>
      </c>
      <c r="L7" s="878">
        <f>'Phase II Financial'!B96</f>
        <v>106658536.23454419</v>
      </c>
      <c r="M7" s="910">
        <f>IF('Phase II Financial'!B90&gt;0,0,'Phase II Financial'!B90)</f>
        <v>0</v>
      </c>
      <c r="N7" s="913">
        <f>'Phase II Financial'!B119</f>
        <v>0.24316862143317586</v>
      </c>
      <c r="O7" s="914">
        <f>'Phase II Financial'!B120</f>
        <v>0.11707089096451395</v>
      </c>
      <c r="P7" s="424"/>
    </row>
    <row r="8" spans="1:16" ht="16.5" thickTop="1" thickBot="1" x14ac:dyDescent="0.3">
      <c r="A8" s="354"/>
      <c r="B8" s="780" t="s">
        <v>152</v>
      </c>
      <c r="C8" s="896">
        <f>SUM(C6:C7)</f>
        <v>71.570000000000007</v>
      </c>
      <c r="D8" s="897">
        <f>SUM(D6:D7)</f>
        <v>3117589.2</v>
      </c>
      <c r="E8" s="898"/>
      <c r="F8" s="899">
        <f t="shared" ref="F8:M8" si="0">SUM(F6:F7)</f>
        <v>768.42778846153851</v>
      </c>
      <c r="G8" s="900">
        <f t="shared" si="0"/>
        <v>150</v>
      </c>
      <c r="H8" s="901">
        <f t="shared" si="0"/>
        <v>340625</v>
      </c>
      <c r="I8" s="902">
        <f t="shared" si="0"/>
        <v>664126395.85183477</v>
      </c>
      <c r="J8" s="903">
        <f t="shared" si="0"/>
        <v>492463938.81080234</v>
      </c>
      <c r="K8" s="915">
        <f t="shared" si="0"/>
        <v>176784947.1397056</v>
      </c>
      <c r="L8" s="915">
        <f t="shared" si="0"/>
        <v>295478363.28648138</v>
      </c>
      <c r="M8" s="916">
        <f t="shared" si="0"/>
        <v>0</v>
      </c>
      <c r="N8" s="917">
        <f>'All Components Draw'!B6</f>
        <v>0.21732566280346899</v>
      </c>
      <c r="O8" s="918">
        <f>'All Components Draw'!B10</f>
        <v>0.12766980777316128</v>
      </c>
      <c r="P8" s="424"/>
    </row>
    <row r="9" spans="1:16" ht="27" customHeight="1" x14ac:dyDescent="0.25">
      <c r="A9" s="354"/>
      <c r="B9" s="354"/>
      <c r="C9" s="354"/>
      <c r="D9" s="354"/>
      <c r="E9" s="354"/>
      <c r="F9" s="354"/>
      <c r="G9" s="354"/>
      <c r="H9" s="354"/>
      <c r="I9" s="354"/>
      <c r="J9" s="354"/>
      <c r="K9" s="424"/>
      <c r="L9" s="424"/>
      <c r="M9" s="424"/>
      <c r="N9" s="424"/>
      <c r="O9" s="424"/>
      <c r="P9" s="516"/>
    </row>
    <row r="10" spans="1:16" ht="33" customHeight="1" x14ac:dyDescent="0.25">
      <c r="A10" s="354"/>
      <c r="B10" s="354"/>
      <c r="C10" s="354"/>
      <c r="D10" s="354"/>
      <c r="E10" s="354"/>
      <c r="F10" s="354"/>
      <c r="G10" s="539"/>
      <c r="H10" s="539"/>
      <c r="I10" s="539"/>
      <c r="J10" s="539"/>
      <c r="K10" s="516"/>
      <c r="L10" s="516"/>
      <c r="M10" s="516"/>
      <c r="N10" s="516"/>
      <c r="O10" s="516"/>
      <c r="P10" s="516"/>
    </row>
    <row r="11" spans="1:16" ht="21.75" customHeight="1" x14ac:dyDescent="0.25">
      <c r="A11" s="354"/>
      <c r="B11" s="737" t="s">
        <v>283</v>
      </c>
      <c r="C11" s="738"/>
      <c r="D11" s="738"/>
      <c r="E11" s="738"/>
      <c r="F11" s="739"/>
      <c r="G11" s="354"/>
      <c r="H11" s="539"/>
      <c r="I11" s="539"/>
      <c r="J11" s="539"/>
      <c r="K11" s="516"/>
      <c r="L11" s="516"/>
      <c r="M11" s="516"/>
      <c r="N11" s="516"/>
      <c r="O11" s="516"/>
      <c r="P11" s="516"/>
    </row>
    <row r="12" spans="1:16" ht="22.5" customHeight="1" x14ac:dyDescent="0.25">
      <c r="A12" s="354"/>
      <c r="B12" s="740" t="s">
        <v>268</v>
      </c>
      <c r="C12" s="741" t="s">
        <v>284</v>
      </c>
      <c r="D12" s="742" t="s">
        <v>285</v>
      </c>
      <c r="E12" s="742" t="s">
        <v>286</v>
      </c>
      <c r="F12" s="743" t="s">
        <v>287</v>
      </c>
      <c r="G12" s="354"/>
      <c r="H12" s="539"/>
      <c r="I12" s="539"/>
      <c r="J12" s="539"/>
      <c r="K12" s="516"/>
      <c r="L12" s="516"/>
      <c r="M12" s="516"/>
      <c r="N12" s="516"/>
      <c r="O12" s="516"/>
      <c r="P12" s="516"/>
    </row>
    <row r="13" spans="1:16" x14ac:dyDescent="0.25">
      <c r="A13" s="539"/>
      <c r="B13" s="904" t="s">
        <v>149</v>
      </c>
      <c r="C13" s="905" t="str">
        <f>Assumptions!H86</f>
        <v>1/1/24 to 12/31/25</v>
      </c>
      <c r="D13" s="905" t="str">
        <f>Assumptions!H87</f>
        <v>1/1/26 to 6/30/26</v>
      </c>
      <c r="E13" s="905" t="str">
        <f>Assumptions!H88</f>
        <v>7/1/26 to 6/30/29</v>
      </c>
      <c r="F13" s="906" t="str">
        <f>Assumptions!H89</f>
        <v>7/1/29 to 12/31/29</v>
      </c>
      <c r="G13" s="354"/>
      <c r="H13" s="539"/>
      <c r="I13" s="539"/>
      <c r="J13" s="539"/>
      <c r="K13" s="516"/>
      <c r="L13" s="516"/>
      <c r="M13" s="516"/>
      <c r="N13" s="516"/>
      <c r="O13" s="516"/>
      <c r="P13" s="516"/>
    </row>
    <row r="14" spans="1:16" x14ac:dyDescent="0.25">
      <c r="A14" s="539"/>
      <c r="B14" s="907" t="s">
        <v>150</v>
      </c>
      <c r="C14" s="757" t="str">
        <f>Assumptions!I86</f>
        <v>1/1/24 to 12/31/27</v>
      </c>
      <c r="D14" s="757" t="str">
        <f>Assumptions!I87</f>
        <v>1/1/28 to 6/30/28</v>
      </c>
      <c r="E14" s="757" t="str">
        <f>Assumptions!I88</f>
        <v>7/1/28 to 6/30/31</v>
      </c>
      <c r="F14" s="908" t="str">
        <f>Assumptions!I89</f>
        <v>7/1/31 to 12/31/31</v>
      </c>
      <c r="G14" s="354"/>
      <c r="H14" s="539"/>
      <c r="I14" s="539"/>
      <c r="J14" s="539"/>
      <c r="K14" s="516"/>
      <c r="L14" s="516"/>
      <c r="M14" s="516"/>
      <c r="N14" s="516"/>
      <c r="O14" s="516"/>
      <c r="P14" s="516"/>
    </row>
    <row r="15" spans="1:16" x14ac:dyDescent="0.25">
      <c r="A15" s="516"/>
      <c r="B15" s="516"/>
      <c r="C15" s="516"/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</row>
    <row r="16" spans="1:16" x14ac:dyDescent="0.25">
      <c r="A16" s="516"/>
      <c r="B16" s="516"/>
      <c r="C16" s="516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  <c r="P16" s="516"/>
    </row>
    <row r="17" spans="1:16" x14ac:dyDescent="0.25">
      <c r="A17" s="516"/>
      <c r="B17" s="516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</row>
    <row r="18" spans="1:16" x14ac:dyDescent="0.25">
      <c r="A18" s="516"/>
      <c r="B18" s="516"/>
      <c r="C18" s="516"/>
      <c r="D18" s="516"/>
      <c r="E18" s="516"/>
      <c r="F18" s="516"/>
      <c r="G18" s="516"/>
      <c r="H18" s="516"/>
      <c r="I18" s="516"/>
      <c r="J18" s="516"/>
      <c r="K18" s="516"/>
      <c r="L18" s="516"/>
      <c r="M18" s="516"/>
      <c r="N18" s="516"/>
      <c r="O18" s="516"/>
      <c r="P18" s="516"/>
    </row>
    <row r="19" spans="1:16" x14ac:dyDescent="0.25">
      <c r="A19" s="516"/>
      <c r="B19" s="516"/>
      <c r="C19" s="516"/>
      <c r="D19" s="516"/>
      <c r="E19" s="516"/>
      <c r="F19" s="516"/>
      <c r="G19" s="516"/>
      <c r="H19" s="516"/>
      <c r="I19" s="516"/>
      <c r="J19" s="516"/>
      <c r="K19" s="516"/>
      <c r="L19" s="516"/>
      <c r="M19" s="516"/>
      <c r="N19" s="516"/>
      <c r="O19" s="516"/>
      <c r="P19" s="516"/>
    </row>
    <row r="20" spans="1:16" x14ac:dyDescent="0.25">
      <c r="A20" s="516"/>
      <c r="B20" s="516"/>
      <c r="C20" s="516"/>
      <c r="D20" s="516"/>
      <c r="E20" s="516"/>
      <c r="F20" s="516"/>
      <c r="G20" s="516"/>
      <c r="H20" s="516"/>
      <c r="I20" s="516"/>
      <c r="J20" s="516"/>
      <c r="K20" s="516"/>
      <c r="L20" s="516"/>
      <c r="M20" s="516"/>
      <c r="N20" s="516"/>
      <c r="O20" s="516"/>
      <c r="P20" s="516"/>
    </row>
    <row r="21" spans="1:16" x14ac:dyDescent="0.25">
      <c r="A21" s="516"/>
      <c r="B21" s="516"/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</row>
    <row r="22" spans="1:16" x14ac:dyDescent="0.25">
      <c r="A22" s="516"/>
      <c r="B22" s="516"/>
      <c r="C22" s="516"/>
      <c r="D22" s="516"/>
      <c r="E22" s="516"/>
      <c r="F22" s="516"/>
      <c r="G22" s="516"/>
      <c r="H22" s="516"/>
      <c r="I22" s="516"/>
      <c r="J22" s="516"/>
      <c r="K22" s="516"/>
      <c r="L22" s="516"/>
      <c r="M22" s="516"/>
      <c r="N22" s="516"/>
      <c r="O22" s="516"/>
      <c r="P22" s="516"/>
    </row>
    <row r="23" spans="1:16" x14ac:dyDescent="0.25">
      <c r="A23" s="516"/>
      <c r="B23" s="516"/>
      <c r="C23" s="516"/>
      <c r="D23" s="516"/>
      <c r="E23" s="516"/>
      <c r="F23" s="516"/>
      <c r="G23" s="516"/>
      <c r="H23" s="516"/>
      <c r="I23" s="516"/>
      <c r="J23" s="516"/>
      <c r="K23" s="516"/>
      <c r="L23" s="516"/>
      <c r="M23" s="516"/>
      <c r="N23" s="516"/>
      <c r="O23" s="516"/>
      <c r="P23" s="516"/>
    </row>
    <row r="24" spans="1:16" x14ac:dyDescent="0.25">
      <c r="A24" s="516"/>
      <c r="B24" s="516"/>
      <c r="C24" s="516"/>
      <c r="D24" s="516"/>
      <c r="E24" s="516"/>
      <c r="F24" s="516"/>
      <c r="G24" s="516"/>
      <c r="H24" s="516"/>
      <c r="I24" s="516"/>
      <c r="J24" s="516"/>
      <c r="K24" s="516"/>
      <c r="L24" s="516"/>
      <c r="M24" s="516"/>
      <c r="N24" s="516"/>
      <c r="O24" s="516"/>
      <c r="P24" s="516"/>
    </row>
    <row r="25" spans="1:16" x14ac:dyDescent="0.25">
      <c r="A25" s="516"/>
      <c r="B25" s="516"/>
      <c r="C25" s="516"/>
      <c r="D25" s="516"/>
      <c r="E25" s="516"/>
      <c r="F25" s="516"/>
      <c r="G25" s="516"/>
      <c r="H25" s="516"/>
      <c r="I25" s="516"/>
      <c r="J25" s="516"/>
      <c r="K25" s="516"/>
      <c r="L25" s="516"/>
      <c r="M25" s="516"/>
      <c r="N25" s="516"/>
      <c r="O25" s="516"/>
      <c r="P25" s="516"/>
    </row>
    <row r="26" spans="1:16" x14ac:dyDescent="0.25">
      <c r="A26" s="516"/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516"/>
      <c r="P26" s="516"/>
    </row>
    <row r="27" spans="1:16" x14ac:dyDescent="0.25">
      <c r="A27" s="516"/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516"/>
      <c r="O27" s="516"/>
      <c r="P27" s="516"/>
    </row>
    <row r="28" spans="1:16" x14ac:dyDescent="0.25">
      <c r="A28" s="516"/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</row>
    <row r="29" spans="1:16" x14ac:dyDescent="0.25">
      <c r="A29" s="516"/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</row>
    <row r="30" spans="1:16" x14ac:dyDescent="0.25">
      <c r="A30" s="516"/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</row>
    <row r="31" spans="1:16" x14ac:dyDescent="0.25">
      <c r="A31" s="516"/>
      <c r="B31" s="516"/>
      <c r="C31" s="516"/>
      <c r="D31" s="516"/>
      <c r="E31" s="516"/>
      <c r="F31" s="516"/>
      <c r="G31" s="516"/>
      <c r="H31" s="516"/>
      <c r="I31" s="516"/>
      <c r="J31" s="516"/>
      <c r="K31" s="516"/>
      <c r="L31" s="516"/>
      <c r="M31" s="516"/>
      <c r="N31" s="516"/>
      <c r="O31" s="516"/>
      <c r="P31" s="516"/>
    </row>
    <row r="32" spans="1:16" x14ac:dyDescent="0.25">
      <c r="A32" s="516"/>
      <c r="B32" s="516"/>
      <c r="C32" s="516"/>
      <c r="D32" s="516"/>
      <c r="E32" s="516"/>
      <c r="F32" s="516"/>
      <c r="G32" s="516"/>
      <c r="H32" s="516"/>
      <c r="I32" s="516"/>
      <c r="J32" s="516"/>
      <c r="K32" s="516"/>
      <c r="L32" s="516"/>
      <c r="M32" s="516"/>
      <c r="N32" s="516"/>
      <c r="O32" s="516"/>
      <c r="P32" s="516"/>
    </row>
    <row r="33" spans="1:16" x14ac:dyDescent="0.25">
      <c r="A33" s="516"/>
      <c r="B33" s="516"/>
      <c r="C33" s="516"/>
      <c r="D33" s="516"/>
      <c r="E33" s="516"/>
      <c r="F33" s="516"/>
      <c r="G33" s="516"/>
      <c r="H33" s="516"/>
      <c r="I33" s="516"/>
      <c r="J33" s="516"/>
      <c r="K33" s="516"/>
      <c r="L33" s="516"/>
      <c r="M33" s="516"/>
      <c r="N33" s="516"/>
      <c r="O33" s="516"/>
      <c r="P33" s="516"/>
    </row>
    <row r="34" spans="1:16" x14ac:dyDescent="0.25">
      <c r="A34" s="516"/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  <c r="P34" s="516"/>
    </row>
    <row r="35" spans="1:16" x14ac:dyDescent="0.25">
      <c r="A35" s="516"/>
      <c r="B35" s="516"/>
      <c r="C35" s="516"/>
      <c r="D35" s="516"/>
      <c r="E35" s="516"/>
      <c r="F35" s="516"/>
      <c r="G35" s="516"/>
      <c r="H35" s="516"/>
      <c r="I35" s="516"/>
      <c r="J35" s="516"/>
      <c r="K35" s="516"/>
      <c r="L35" s="516"/>
      <c r="M35" s="516"/>
      <c r="N35" s="516"/>
      <c r="O35" s="516"/>
      <c r="P35" s="516"/>
    </row>
    <row r="36" spans="1:16" x14ac:dyDescent="0.25">
      <c r="A36" s="516"/>
      <c r="B36" s="516"/>
      <c r="C36" s="516"/>
      <c r="D36" s="516"/>
      <c r="E36" s="516"/>
      <c r="F36" s="516"/>
      <c r="G36" s="516"/>
      <c r="H36" s="516"/>
      <c r="I36" s="516"/>
      <c r="J36" s="516"/>
      <c r="K36" s="516"/>
      <c r="L36" s="516"/>
      <c r="M36" s="516"/>
      <c r="N36" s="516"/>
      <c r="O36" s="516"/>
      <c r="P36" s="516"/>
    </row>
    <row r="37" spans="1:16" x14ac:dyDescent="0.25">
      <c r="A37" s="516"/>
      <c r="B37" s="516"/>
      <c r="C37" s="516"/>
      <c r="D37" s="516"/>
      <c r="E37" s="516"/>
      <c r="F37" s="516"/>
      <c r="G37" s="516"/>
      <c r="H37" s="516"/>
      <c r="I37" s="516"/>
      <c r="J37" s="516"/>
      <c r="K37" s="516"/>
      <c r="L37" s="516"/>
      <c r="M37" s="516"/>
      <c r="N37" s="516"/>
      <c r="O37" s="516"/>
      <c r="P37" s="516"/>
    </row>
    <row r="38" spans="1:16" x14ac:dyDescent="0.25">
      <c r="A38" s="516"/>
      <c r="B38" s="516"/>
      <c r="C38" s="516"/>
      <c r="D38" s="516"/>
      <c r="E38" s="516"/>
      <c r="F38" s="516"/>
      <c r="G38" s="516"/>
      <c r="H38" s="516"/>
      <c r="I38" s="516"/>
      <c r="J38" s="516"/>
      <c r="K38" s="516"/>
      <c r="L38" s="516"/>
      <c r="M38" s="516"/>
      <c r="N38" s="516"/>
      <c r="O38" s="516"/>
      <c r="P38" s="516"/>
    </row>
    <row r="39" spans="1:16" x14ac:dyDescent="0.25">
      <c r="A39" s="516"/>
      <c r="B39" s="516"/>
      <c r="C39" s="516"/>
      <c r="D39" s="516"/>
      <c r="E39" s="516"/>
      <c r="F39" s="516"/>
      <c r="G39" s="516"/>
      <c r="H39" s="516"/>
      <c r="I39" s="516"/>
      <c r="J39" s="516"/>
      <c r="K39" s="516"/>
      <c r="L39" s="516"/>
      <c r="M39" s="516"/>
      <c r="N39" s="516"/>
      <c r="O39" s="516"/>
      <c r="P39" s="516"/>
    </row>
    <row r="40" spans="1:16" x14ac:dyDescent="0.25">
      <c r="A40" s="516"/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6"/>
      <c r="P40" s="516"/>
    </row>
    <row r="41" spans="1:16" x14ac:dyDescent="0.25">
      <c r="A41" s="516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6"/>
      <c r="P41" s="516"/>
    </row>
    <row r="42" spans="1:16" x14ac:dyDescent="0.25">
      <c r="A42" s="516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</row>
    <row r="43" spans="1:16" x14ac:dyDescent="0.25">
      <c r="A43" s="516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6"/>
      <c r="P43" s="516"/>
    </row>
    <row r="44" spans="1:16" x14ac:dyDescent="0.25">
      <c r="A44" s="516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16"/>
    </row>
    <row r="45" spans="1:16" x14ac:dyDescent="0.25">
      <c r="A45" s="516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</row>
    <row r="46" spans="1:16" x14ac:dyDescent="0.25">
      <c r="A46" s="516"/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6"/>
      <c r="P46" s="516"/>
    </row>
    <row r="47" spans="1:16" x14ac:dyDescent="0.25">
      <c r="A47" s="516"/>
      <c r="B47" s="516"/>
      <c r="C47" s="516"/>
      <c r="D47" s="516"/>
      <c r="E47" s="516"/>
      <c r="F47" s="516"/>
      <c r="G47" s="516"/>
      <c r="H47" s="516"/>
      <c r="I47" s="516"/>
      <c r="J47" s="516"/>
      <c r="K47" s="516"/>
      <c r="L47" s="516"/>
      <c r="M47" s="516"/>
      <c r="N47" s="516"/>
      <c r="O47" s="516"/>
      <c r="P47" s="516"/>
    </row>
    <row r="48" spans="1:16" x14ac:dyDescent="0.25">
      <c r="A48" s="516"/>
      <c r="B48" s="516"/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516"/>
      <c r="N48" s="516"/>
      <c r="O48" s="516"/>
      <c r="P48" s="516"/>
    </row>
    <row r="49" spans="1:16" x14ac:dyDescent="0.25">
      <c r="A49" s="516"/>
      <c r="B49" s="516"/>
      <c r="C49" s="516"/>
      <c r="D49" s="516"/>
      <c r="E49" s="516"/>
      <c r="F49" s="516"/>
      <c r="G49" s="516"/>
      <c r="H49" s="516"/>
      <c r="I49" s="516"/>
      <c r="J49" s="516"/>
      <c r="K49" s="516"/>
      <c r="L49" s="516"/>
      <c r="M49" s="516"/>
      <c r="N49" s="516"/>
      <c r="O49" s="516"/>
      <c r="P49" s="516"/>
    </row>
    <row r="50" spans="1:16" x14ac:dyDescent="0.25">
      <c r="A50" s="516"/>
      <c r="B50" s="516"/>
      <c r="C50" s="516"/>
      <c r="D50" s="516"/>
      <c r="E50" s="516"/>
      <c r="F50" s="516"/>
      <c r="G50" s="516"/>
      <c r="H50" s="516"/>
      <c r="I50" s="516"/>
      <c r="J50" s="516"/>
      <c r="K50" s="516"/>
      <c r="L50" s="516"/>
      <c r="M50" s="516"/>
      <c r="N50" s="516"/>
      <c r="O50" s="516"/>
      <c r="P50" s="516"/>
    </row>
  </sheetData>
  <mergeCells count="1">
    <mergeCell ref="B4:O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9A579-210C-4A68-9C64-A98CCEF08C9E}">
  <sheetPr>
    <tabColor rgb="FF8EA9DB"/>
  </sheetPr>
  <dimension ref="A1:BW100"/>
  <sheetViews>
    <sheetView topLeftCell="A22" workbookViewId="0">
      <selection activeCell="D44" sqref="D44"/>
    </sheetView>
  </sheetViews>
  <sheetFormatPr defaultRowHeight="15" x14ac:dyDescent="0.25"/>
  <cols>
    <col min="1" max="1" width="17.7109375" customWidth="1"/>
    <col min="2" max="2" width="37.7109375" customWidth="1"/>
    <col min="3" max="3" width="29.28515625" customWidth="1"/>
    <col min="4" max="4" width="24.7109375" customWidth="1"/>
    <col min="5" max="5" width="29.28515625" customWidth="1"/>
    <col min="6" max="6" width="27.7109375" customWidth="1"/>
    <col min="7" max="7" width="32.7109375" customWidth="1"/>
    <col min="8" max="8" width="42.7109375" customWidth="1"/>
    <col min="9" max="9" width="34.28515625" customWidth="1"/>
  </cols>
  <sheetData>
    <row r="1" spans="1:75" x14ac:dyDescent="0.25">
      <c r="A1" s="919" t="s">
        <v>0</v>
      </c>
      <c r="C1" s="539"/>
      <c r="D1" s="539"/>
      <c r="E1" s="539"/>
      <c r="F1" s="539"/>
      <c r="G1" s="539"/>
      <c r="H1" s="539"/>
      <c r="I1" s="354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</row>
    <row r="2" spans="1:75" x14ac:dyDescent="0.25">
      <c r="A2" s="354"/>
      <c r="B2" s="354"/>
      <c r="C2" s="354"/>
      <c r="D2" s="354"/>
      <c r="E2" s="354"/>
      <c r="F2" s="354"/>
      <c r="G2" s="354"/>
      <c r="H2" s="354"/>
      <c r="I2" s="354"/>
      <c r="J2" s="21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</row>
    <row r="3" spans="1:75" x14ac:dyDescent="0.25">
      <c r="A3" s="744" t="s">
        <v>288</v>
      </c>
      <c r="B3" s="745"/>
      <c r="C3" s="745"/>
      <c r="D3" s="745"/>
      <c r="E3" s="745"/>
      <c r="F3" s="745"/>
      <c r="G3" s="745"/>
      <c r="H3" s="746"/>
      <c r="I3" s="544"/>
      <c r="J3" s="215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</row>
    <row r="4" spans="1:75" x14ac:dyDescent="0.25">
      <c r="A4" s="747" t="s">
        <v>289</v>
      </c>
      <c r="B4" s="748" t="s">
        <v>290</v>
      </c>
      <c r="C4" s="749" t="s">
        <v>291</v>
      </c>
      <c r="D4" s="749" t="s">
        <v>292</v>
      </c>
      <c r="E4" s="749" t="s">
        <v>293</v>
      </c>
      <c r="F4" s="749" t="s">
        <v>294</v>
      </c>
      <c r="G4" s="749" t="s">
        <v>295</v>
      </c>
      <c r="H4" s="750" t="s">
        <v>296</v>
      </c>
      <c r="I4" s="424"/>
      <c r="J4" s="215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</row>
    <row r="5" spans="1:75" x14ac:dyDescent="0.25">
      <c r="A5" s="751" t="s">
        <v>297</v>
      </c>
      <c r="B5" s="563" t="s">
        <v>298</v>
      </c>
      <c r="C5" s="563" t="s">
        <v>299</v>
      </c>
      <c r="D5" s="752">
        <v>9.0299999999999994</v>
      </c>
      <c r="E5" s="753">
        <v>395231</v>
      </c>
      <c r="F5" s="659">
        <v>84455</v>
      </c>
      <c r="G5" s="754">
        <v>1690000</v>
      </c>
      <c r="H5" s="565"/>
      <c r="I5" s="424"/>
      <c r="J5" s="21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</row>
    <row r="6" spans="1:75" x14ac:dyDescent="0.25">
      <c r="A6" s="751" t="s">
        <v>300</v>
      </c>
      <c r="B6" s="563" t="s">
        <v>301</v>
      </c>
      <c r="C6" s="563" t="s">
        <v>299</v>
      </c>
      <c r="D6" s="752">
        <v>0.08</v>
      </c>
      <c r="E6" s="753">
        <v>3715</v>
      </c>
      <c r="F6" s="659">
        <v>0</v>
      </c>
      <c r="G6" s="754">
        <v>0</v>
      </c>
      <c r="H6" s="565"/>
      <c r="I6" s="424"/>
      <c r="J6" s="215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</row>
    <row r="7" spans="1:75" x14ac:dyDescent="0.25">
      <c r="A7" s="751" t="s">
        <v>302</v>
      </c>
      <c r="B7" s="563" t="s">
        <v>301</v>
      </c>
      <c r="C7" s="563" t="s">
        <v>299</v>
      </c>
      <c r="D7" s="752">
        <v>13.64</v>
      </c>
      <c r="E7" s="753">
        <v>593020</v>
      </c>
      <c r="F7" s="659">
        <v>52830</v>
      </c>
      <c r="G7" s="754">
        <v>5</v>
      </c>
      <c r="H7" s="565"/>
      <c r="I7" s="424"/>
      <c r="J7" s="21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</row>
    <row r="8" spans="1:75" x14ac:dyDescent="0.25">
      <c r="A8" s="751" t="s">
        <v>303</v>
      </c>
      <c r="B8" s="563" t="s">
        <v>301</v>
      </c>
      <c r="C8" s="563" t="s">
        <v>304</v>
      </c>
      <c r="D8" s="752">
        <v>1.23</v>
      </c>
      <c r="E8" s="753">
        <v>53143</v>
      </c>
      <c r="F8" s="659">
        <v>0</v>
      </c>
      <c r="G8" s="754">
        <v>5</v>
      </c>
      <c r="H8" s="565"/>
      <c r="I8" s="424"/>
      <c r="J8" s="215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</row>
    <row r="9" spans="1:75" x14ac:dyDescent="0.25">
      <c r="A9" s="751" t="s">
        <v>305</v>
      </c>
      <c r="B9" s="563" t="s">
        <v>301</v>
      </c>
      <c r="C9" s="563" t="s">
        <v>299</v>
      </c>
      <c r="D9" s="752">
        <v>7.03</v>
      </c>
      <c r="E9" s="753">
        <v>306109</v>
      </c>
      <c r="F9" s="659">
        <v>0</v>
      </c>
      <c r="G9" s="754">
        <v>5</v>
      </c>
      <c r="H9" s="565" t="s">
        <v>306</v>
      </c>
      <c r="I9" s="424"/>
      <c r="J9" s="21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</row>
    <row r="10" spans="1:75" x14ac:dyDescent="0.25">
      <c r="A10" s="751" t="s">
        <v>307</v>
      </c>
      <c r="B10" s="563" t="s">
        <v>301</v>
      </c>
      <c r="C10" s="563" t="s">
        <v>308</v>
      </c>
      <c r="D10" s="752">
        <v>3</v>
      </c>
      <c r="E10" s="753">
        <v>73763</v>
      </c>
      <c r="F10" s="659">
        <v>21698</v>
      </c>
      <c r="G10" s="754">
        <v>5</v>
      </c>
      <c r="H10" s="565"/>
      <c r="I10" s="424"/>
      <c r="J10" s="21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</row>
    <row r="11" spans="1:75" x14ac:dyDescent="0.25">
      <c r="A11" s="751" t="s">
        <v>309</v>
      </c>
      <c r="B11" s="563" t="s">
        <v>301</v>
      </c>
      <c r="C11" s="563" t="s">
        <v>299</v>
      </c>
      <c r="D11" s="755">
        <v>6.49</v>
      </c>
      <c r="E11" s="753">
        <v>282300</v>
      </c>
      <c r="F11" s="659">
        <v>0</v>
      </c>
      <c r="G11" s="754">
        <v>0</v>
      </c>
      <c r="H11" s="565" t="s">
        <v>310</v>
      </c>
      <c r="I11" s="424"/>
      <c r="J11" s="2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</row>
    <row r="12" spans="1:75" x14ac:dyDescent="0.25">
      <c r="A12" s="751" t="s">
        <v>311</v>
      </c>
      <c r="B12" s="563" t="s">
        <v>301</v>
      </c>
      <c r="C12" s="563" t="s">
        <v>312</v>
      </c>
      <c r="D12" s="755">
        <v>11.08</v>
      </c>
      <c r="E12" s="753">
        <v>482604</v>
      </c>
      <c r="F12" s="659">
        <v>0</v>
      </c>
      <c r="G12" s="754">
        <v>0</v>
      </c>
      <c r="H12" s="565"/>
      <c r="I12" s="424"/>
      <c r="J12" s="215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</row>
    <row r="13" spans="1:75" x14ac:dyDescent="0.25">
      <c r="A13" s="751" t="s">
        <v>313</v>
      </c>
      <c r="B13" s="563" t="s">
        <v>301</v>
      </c>
      <c r="C13" s="563" t="s">
        <v>314</v>
      </c>
      <c r="D13" s="755">
        <v>6.49</v>
      </c>
      <c r="E13" s="753">
        <v>318024</v>
      </c>
      <c r="F13" s="659">
        <v>96662</v>
      </c>
      <c r="G13" s="754">
        <v>5</v>
      </c>
      <c r="H13" s="565" t="s">
        <v>310</v>
      </c>
      <c r="I13" s="424"/>
      <c r="J13" s="215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</row>
    <row r="14" spans="1:75" x14ac:dyDescent="0.25">
      <c r="A14" s="751" t="s">
        <v>315</v>
      </c>
      <c r="B14" s="563" t="s">
        <v>298</v>
      </c>
      <c r="C14" s="563" t="s">
        <v>299</v>
      </c>
      <c r="D14" s="755">
        <v>1.07</v>
      </c>
      <c r="E14" s="753">
        <v>46369</v>
      </c>
      <c r="F14" s="659">
        <v>12372</v>
      </c>
      <c r="G14" s="754">
        <v>313000</v>
      </c>
      <c r="H14" s="565" t="s">
        <v>316</v>
      </c>
      <c r="I14" s="424"/>
      <c r="J14" s="21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</row>
    <row r="15" spans="1:75" x14ac:dyDescent="0.25">
      <c r="A15" s="751" t="s">
        <v>317</v>
      </c>
      <c r="B15" s="563" t="s">
        <v>301</v>
      </c>
      <c r="C15" s="563" t="s">
        <v>299</v>
      </c>
      <c r="D15" s="755">
        <v>11.08</v>
      </c>
      <c r="E15" s="753">
        <v>10349</v>
      </c>
      <c r="F15" s="659">
        <v>0</v>
      </c>
      <c r="G15" s="754">
        <v>0</v>
      </c>
      <c r="H15" s="565"/>
      <c r="I15" s="424"/>
      <c r="J15" s="215"/>
      <c r="K15" s="21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</row>
    <row r="16" spans="1:75" x14ac:dyDescent="0.25">
      <c r="A16" s="756" t="s">
        <v>318</v>
      </c>
      <c r="B16" s="571" t="s">
        <v>301</v>
      </c>
      <c r="C16" s="571" t="s">
        <v>319</v>
      </c>
      <c r="D16" s="757">
        <v>1.35</v>
      </c>
      <c r="E16" s="758">
        <v>58627</v>
      </c>
      <c r="F16" s="759">
        <v>2415</v>
      </c>
      <c r="G16" s="760">
        <v>5</v>
      </c>
      <c r="H16" s="573" t="s">
        <v>320</v>
      </c>
      <c r="I16" s="424"/>
      <c r="J16" s="215"/>
      <c r="K16" s="761"/>
      <c r="L16" s="215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</row>
    <row r="17" spans="1:75" x14ac:dyDescent="0.25">
      <c r="A17" s="215"/>
      <c r="B17" s="215"/>
      <c r="C17" s="215"/>
      <c r="D17" s="215"/>
      <c r="E17" s="215"/>
      <c r="F17" s="215"/>
      <c r="G17" s="215"/>
      <c r="H17" s="762"/>
      <c r="I17" s="354"/>
      <c r="J17" s="215"/>
      <c r="K17" s="2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</row>
    <row r="18" spans="1:75" x14ac:dyDescent="0.25">
      <c r="A18" s="744" t="s">
        <v>321</v>
      </c>
      <c r="B18" s="745"/>
      <c r="C18" s="745"/>
      <c r="D18" s="745"/>
      <c r="E18" s="745"/>
      <c r="F18" s="745"/>
      <c r="G18" s="745"/>
      <c r="H18" s="763"/>
      <c r="I18" s="354"/>
      <c r="J18" s="215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</row>
    <row r="19" spans="1:75" x14ac:dyDescent="0.25">
      <c r="A19" s="747" t="s">
        <v>289</v>
      </c>
      <c r="B19" s="748" t="s">
        <v>322</v>
      </c>
      <c r="C19" s="749" t="s">
        <v>291</v>
      </c>
      <c r="D19" s="749" t="s">
        <v>292</v>
      </c>
      <c r="E19" s="749" t="s">
        <v>293</v>
      </c>
      <c r="F19" s="749" t="s">
        <v>323</v>
      </c>
      <c r="G19" s="749" t="s">
        <v>295</v>
      </c>
      <c r="H19" s="750" t="s">
        <v>296</v>
      </c>
      <c r="I19" s="424"/>
      <c r="J19" s="21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</row>
    <row r="20" spans="1:75" x14ac:dyDescent="0.25">
      <c r="A20" s="751" t="s">
        <v>324</v>
      </c>
      <c r="B20" s="563" t="s">
        <v>325</v>
      </c>
      <c r="C20" s="563" t="s">
        <v>299</v>
      </c>
      <c r="D20" s="755">
        <v>7.01</v>
      </c>
      <c r="E20" s="764">
        <v>305684</v>
      </c>
      <c r="F20" s="659">
        <v>0</v>
      </c>
      <c r="G20" s="754">
        <v>0</v>
      </c>
      <c r="H20" s="565"/>
      <c r="I20" s="424"/>
      <c r="J20" s="21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</row>
    <row r="21" spans="1:75" x14ac:dyDescent="0.25">
      <c r="A21" s="756" t="s">
        <v>326</v>
      </c>
      <c r="B21" s="571" t="s">
        <v>327</v>
      </c>
      <c r="C21" s="571" t="s">
        <v>304</v>
      </c>
      <c r="D21" s="757">
        <v>21.26</v>
      </c>
      <c r="E21" s="765">
        <v>923665</v>
      </c>
      <c r="F21" s="759">
        <v>275669</v>
      </c>
      <c r="G21" s="760">
        <v>0</v>
      </c>
      <c r="H21" s="573" t="s">
        <v>328</v>
      </c>
      <c r="I21" s="424"/>
      <c r="J21" s="21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</row>
    <row r="22" spans="1:75" x14ac:dyDescent="0.25">
      <c r="A22" s="214"/>
      <c r="B22" s="214"/>
      <c r="C22" s="215"/>
      <c r="D22" s="215"/>
      <c r="E22" s="215"/>
      <c r="F22" s="215"/>
      <c r="G22" s="215"/>
      <c r="H22" s="215"/>
      <c r="I22" s="354"/>
      <c r="J22" s="21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</row>
    <row r="23" spans="1:75" x14ac:dyDescent="0.25">
      <c r="A23" s="766" t="s">
        <v>329</v>
      </c>
      <c r="B23" s="745"/>
      <c r="C23" s="745"/>
      <c r="D23" s="745"/>
      <c r="E23" s="745"/>
      <c r="F23" s="745"/>
      <c r="G23" s="745"/>
      <c r="H23" s="763"/>
      <c r="I23" s="354"/>
      <c r="J23" s="21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</row>
    <row r="24" spans="1:75" x14ac:dyDescent="0.25">
      <c r="A24" s="547" t="s">
        <v>289</v>
      </c>
      <c r="B24" s="548"/>
      <c r="C24" s="549" t="s">
        <v>291</v>
      </c>
      <c r="D24" s="549" t="s">
        <v>292</v>
      </c>
      <c r="E24" s="549" t="s">
        <v>330</v>
      </c>
      <c r="F24" s="549" t="s">
        <v>331</v>
      </c>
      <c r="G24" s="549" t="s">
        <v>295</v>
      </c>
      <c r="H24" s="550" t="s">
        <v>332</v>
      </c>
      <c r="I24" s="424"/>
      <c r="J24" s="215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</row>
    <row r="25" spans="1:75" x14ac:dyDescent="0.25">
      <c r="A25" s="767" t="s">
        <v>333</v>
      </c>
      <c r="B25" s="768"/>
      <c r="C25" s="556" t="s">
        <v>334</v>
      </c>
      <c r="D25" s="769">
        <v>14.8</v>
      </c>
      <c r="E25" s="770">
        <f t="shared" ref="E25:E36" si="0">D25*43560</f>
        <v>644688</v>
      </c>
      <c r="F25" s="771">
        <f t="shared" ref="F25:F36" si="1">G25/E25</f>
        <v>9.1155256496165595</v>
      </c>
      <c r="G25" s="771">
        <v>5876670</v>
      </c>
      <c r="H25" s="772">
        <f t="shared" ref="H25:H36" si="2">F25*43560</f>
        <v>397072.29729729734</v>
      </c>
      <c r="I25" s="424"/>
      <c r="J25" s="21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</row>
    <row r="26" spans="1:75" x14ac:dyDescent="0.25">
      <c r="A26" s="751" t="s">
        <v>335</v>
      </c>
      <c r="B26" s="773"/>
      <c r="C26" s="563" t="s">
        <v>334</v>
      </c>
      <c r="D26" s="774">
        <v>21.26</v>
      </c>
      <c r="E26" s="764">
        <f t="shared" si="0"/>
        <v>926085.60000000009</v>
      </c>
      <c r="F26" s="754">
        <f t="shared" si="1"/>
        <v>8.4495428932271484</v>
      </c>
      <c r="G26" s="754">
        <v>7825000</v>
      </c>
      <c r="H26" s="775">
        <f t="shared" si="2"/>
        <v>368062.08842897456</v>
      </c>
      <c r="I26" s="424"/>
      <c r="J26" s="215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</row>
    <row r="27" spans="1:75" x14ac:dyDescent="0.25">
      <c r="A27" s="751" t="s">
        <v>336</v>
      </c>
      <c r="B27" s="773"/>
      <c r="C27" s="563" t="s">
        <v>337</v>
      </c>
      <c r="D27" s="776">
        <v>20.68</v>
      </c>
      <c r="E27" s="764">
        <f t="shared" si="0"/>
        <v>900820.79999999993</v>
      </c>
      <c r="F27" s="754">
        <f t="shared" si="1"/>
        <v>12.211085712052832</v>
      </c>
      <c r="G27" s="754">
        <v>11000000</v>
      </c>
      <c r="H27" s="775">
        <f t="shared" si="2"/>
        <v>531914.89361702139</v>
      </c>
      <c r="I27" s="424"/>
      <c r="J27" s="215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</row>
    <row r="28" spans="1:75" x14ac:dyDescent="0.25">
      <c r="A28" s="751" t="s">
        <v>338</v>
      </c>
      <c r="B28" s="773"/>
      <c r="C28" s="563" t="s">
        <v>299</v>
      </c>
      <c r="D28" s="776">
        <v>93.95</v>
      </c>
      <c r="E28" s="764">
        <f t="shared" si="0"/>
        <v>4092462</v>
      </c>
      <c r="F28" s="754">
        <f t="shared" si="1"/>
        <v>2.19916519689126</v>
      </c>
      <c r="G28" s="754">
        <v>9000000</v>
      </c>
      <c r="H28" s="775">
        <f t="shared" si="2"/>
        <v>95795.635976583289</v>
      </c>
      <c r="I28" s="424"/>
      <c r="J28" s="215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</row>
    <row r="29" spans="1:75" x14ac:dyDescent="0.25">
      <c r="A29" s="751" t="s">
        <v>339</v>
      </c>
      <c r="B29" s="773"/>
      <c r="C29" s="563" t="s">
        <v>319</v>
      </c>
      <c r="D29" s="776">
        <v>12.66</v>
      </c>
      <c r="E29" s="764">
        <f t="shared" si="0"/>
        <v>551469.6</v>
      </c>
      <c r="F29" s="754">
        <f t="shared" si="1"/>
        <v>45.333414570812245</v>
      </c>
      <c r="G29" s="754">
        <v>25000000</v>
      </c>
      <c r="H29" s="775">
        <f t="shared" si="2"/>
        <v>1974723.5387045813</v>
      </c>
      <c r="I29" s="424"/>
      <c r="J29" s="215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</row>
    <row r="30" spans="1:75" x14ac:dyDescent="0.25">
      <c r="A30" s="751" t="s">
        <v>340</v>
      </c>
      <c r="B30" s="773"/>
      <c r="C30" s="563" t="s">
        <v>299</v>
      </c>
      <c r="D30" s="776">
        <v>6.82</v>
      </c>
      <c r="E30" s="764">
        <f t="shared" si="0"/>
        <v>297079.2</v>
      </c>
      <c r="F30" s="754">
        <f t="shared" si="1"/>
        <v>4.2581237595900348</v>
      </c>
      <c r="G30" s="754">
        <v>1265000</v>
      </c>
      <c r="H30" s="775">
        <f t="shared" si="2"/>
        <v>185483.87096774191</v>
      </c>
      <c r="I30" s="424"/>
      <c r="J30" s="215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</row>
    <row r="31" spans="1:75" x14ac:dyDescent="0.25">
      <c r="A31" s="751" t="s">
        <v>341</v>
      </c>
      <c r="B31" s="773"/>
      <c r="C31" s="563" t="s">
        <v>299</v>
      </c>
      <c r="D31" s="776">
        <v>3.05</v>
      </c>
      <c r="E31" s="764">
        <f t="shared" si="0"/>
        <v>132858</v>
      </c>
      <c r="F31" s="754">
        <f t="shared" si="1"/>
        <v>9.5214439476734558</v>
      </c>
      <c r="G31" s="754">
        <v>1265000</v>
      </c>
      <c r="H31" s="775">
        <f t="shared" si="2"/>
        <v>414754.09836065571</v>
      </c>
      <c r="I31" s="424"/>
      <c r="J31" s="215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</row>
    <row r="32" spans="1:75" x14ac:dyDescent="0.25">
      <c r="A32" s="751" t="s">
        <v>342</v>
      </c>
      <c r="B32" s="773"/>
      <c r="C32" s="563" t="s">
        <v>314</v>
      </c>
      <c r="D32" s="776">
        <v>41.64</v>
      </c>
      <c r="E32" s="764">
        <f t="shared" si="0"/>
        <v>1813838.4000000001</v>
      </c>
      <c r="F32" s="754">
        <f t="shared" si="1"/>
        <v>5.6785654113398412</v>
      </c>
      <c r="G32" s="754">
        <v>10300000</v>
      </c>
      <c r="H32" s="775">
        <f t="shared" si="2"/>
        <v>247358.30931796349</v>
      </c>
      <c r="I32" s="424"/>
      <c r="J32" s="215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</row>
    <row r="33" spans="1:75" x14ac:dyDescent="0.25">
      <c r="A33" s="751" t="s">
        <v>343</v>
      </c>
      <c r="B33" s="773"/>
      <c r="C33" s="563" t="s">
        <v>334</v>
      </c>
      <c r="D33" s="776">
        <v>44.73</v>
      </c>
      <c r="E33" s="764">
        <f t="shared" si="0"/>
        <v>1948438.7999999998</v>
      </c>
      <c r="F33" s="754">
        <f t="shared" si="1"/>
        <v>3.0160916524552892</v>
      </c>
      <c r="G33" s="754">
        <v>5876670</v>
      </c>
      <c r="H33" s="775">
        <f t="shared" si="2"/>
        <v>131380.9523809524</v>
      </c>
      <c r="I33" s="424"/>
      <c r="J33" s="21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</row>
    <row r="34" spans="1:75" x14ac:dyDescent="0.25">
      <c r="A34" s="751" t="s">
        <v>344</v>
      </c>
      <c r="B34" s="773"/>
      <c r="C34" s="563" t="s">
        <v>319</v>
      </c>
      <c r="D34" s="776">
        <v>2.1800000000000002</v>
      </c>
      <c r="E34" s="764">
        <f t="shared" si="0"/>
        <v>94960.8</v>
      </c>
      <c r="F34" s="754">
        <f t="shared" si="1"/>
        <v>66.159667989317697</v>
      </c>
      <c r="G34" s="754">
        <v>6282575</v>
      </c>
      <c r="H34" s="775">
        <f t="shared" si="2"/>
        <v>2881915.1376146791</v>
      </c>
      <c r="I34" s="424"/>
      <c r="J34" s="21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</row>
    <row r="35" spans="1:75" x14ac:dyDescent="0.25">
      <c r="A35" s="751" t="s">
        <v>345</v>
      </c>
      <c r="B35" s="773"/>
      <c r="C35" s="563" t="s">
        <v>308</v>
      </c>
      <c r="D35" s="776">
        <v>2.17</v>
      </c>
      <c r="E35" s="764">
        <f t="shared" si="0"/>
        <v>94525.2</v>
      </c>
      <c r="F35" s="754">
        <f t="shared" si="1"/>
        <v>37.027163126869873</v>
      </c>
      <c r="G35" s="754">
        <v>3500000</v>
      </c>
      <c r="H35" s="775">
        <f t="shared" si="2"/>
        <v>1612903.2258064516</v>
      </c>
      <c r="I35" s="424"/>
      <c r="J35" s="21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</row>
    <row r="36" spans="1:75" x14ac:dyDescent="0.25">
      <c r="A36" s="756" t="s">
        <v>346</v>
      </c>
      <c r="B36" s="777"/>
      <c r="C36" s="778" t="s">
        <v>299</v>
      </c>
      <c r="D36" s="572">
        <v>3.06</v>
      </c>
      <c r="E36" s="765">
        <f t="shared" si="0"/>
        <v>133293.6</v>
      </c>
      <c r="F36" s="760">
        <f t="shared" si="1"/>
        <v>11.253353499342804</v>
      </c>
      <c r="G36" s="760">
        <v>1500000</v>
      </c>
      <c r="H36" s="779">
        <f t="shared" si="2"/>
        <v>490196.07843137253</v>
      </c>
      <c r="I36" s="424"/>
      <c r="J36" s="215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</row>
    <row r="37" spans="1:75" x14ac:dyDescent="0.25">
      <c r="A37" s="780" t="s">
        <v>347</v>
      </c>
      <c r="B37" s="777"/>
      <c r="C37" s="777"/>
      <c r="D37" s="781">
        <f>AVERAGE(D25:D36)</f>
        <v>22.250000000000004</v>
      </c>
      <c r="E37" s="782">
        <f>AVERAGE(E25:E36)</f>
        <v>969209.99999999988</v>
      </c>
      <c r="F37" s="783">
        <f>AVERAGE(F25:F36)</f>
        <v>17.851928617432424</v>
      </c>
      <c r="G37" s="783">
        <f>AVERAGE(G25:G36)</f>
        <v>7390909.583333333</v>
      </c>
      <c r="H37" s="784">
        <f>AVERAGE(H25:H36)</f>
        <v>777630.01057535631</v>
      </c>
      <c r="I37" s="424"/>
      <c r="J37" s="215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</row>
    <row r="38" spans="1:75" x14ac:dyDescent="0.25">
      <c r="A38" s="215"/>
      <c r="B38" s="215"/>
      <c r="C38" s="215"/>
      <c r="D38" s="215"/>
      <c r="E38" s="215"/>
      <c r="F38" s="215"/>
      <c r="G38" s="354"/>
      <c r="H38" s="354"/>
      <c r="I38" s="35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</row>
    <row r="39" spans="1:75" x14ac:dyDescent="0.25">
      <c r="A39" s="541" t="s">
        <v>348</v>
      </c>
      <c r="B39" s="542"/>
      <c r="C39" s="453"/>
      <c r="D39" s="453"/>
      <c r="E39" s="542"/>
      <c r="F39" s="543"/>
      <c r="G39" s="354"/>
      <c r="H39" s="539"/>
      <c r="I39" s="53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</row>
    <row r="40" spans="1:75" x14ac:dyDescent="0.25">
      <c r="A40" s="744" t="s">
        <v>91</v>
      </c>
      <c r="B40" s="745" t="s">
        <v>349</v>
      </c>
      <c r="C40" s="785" t="s">
        <v>350</v>
      </c>
      <c r="D40" s="785" t="s">
        <v>351</v>
      </c>
      <c r="E40" s="785" t="s">
        <v>352</v>
      </c>
      <c r="F40" s="679" t="s">
        <v>353</v>
      </c>
      <c r="G40" s="354"/>
      <c r="H40" s="539"/>
      <c r="I40" s="5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</row>
    <row r="41" spans="1:75" x14ac:dyDescent="0.25">
      <c r="A41" s="555" t="s">
        <v>149</v>
      </c>
      <c r="B41" s="354"/>
      <c r="C41" s="354"/>
      <c r="D41" s="354"/>
      <c r="E41" s="354"/>
      <c r="F41" s="786"/>
      <c r="G41" s="354"/>
      <c r="H41" s="539"/>
      <c r="I41" s="53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</row>
    <row r="42" spans="1:75" x14ac:dyDescent="0.25">
      <c r="A42" s="390"/>
      <c r="B42" s="787" t="s">
        <v>354</v>
      </c>
      <c r="C42" s="788">
        <f>G5</f>
        <v>1690000</v>
      </c>
      <c r="D42" s="789">
        <f>F5</f>
        <v>84455</v>
      </c>
      <c r="E42" s="790"/>
      <c r="F42" s="791">
        <f>C42*1.2</f>
        <v>2028000</v>
      </c>
      <c r="G42" s="354"/>
      <c r="H42" s="539"/>
      <c r="I42" s="53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</row>
    <row r="43" spans="1:75" x14ac:dyDescent="0.25">
      <c r="A43" s="689"/>
      <c r="B43" s="787" t="s">
        <v>355</v>
      </c>
      <c r="C43" s="792"/>
      <c r="D43" s="793">
        <f>SUM(E6:E9)</f>
        <v>955987</v>
      </c>
      <c r="E43" s="792">
        <f>F37</f>
        <v>17.851928617432424</v>
      </c>
      <c r="F43" s="791">
        <f>D43*E43*1.2</f>
        <v>20479454.019832045</v>
      </c>
      <c r="G43" s="354"/>
      <c r="H43" s="539"/>
      <c r="I43" s="53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</row>
    <row r="44" spans="1:75" x14ac:dyDescent="0.25">
      <c r="A44" s="794" t="s">
        <v>356</v>
      </c>
      <c r="B44" s="563"/>
      <c r="C44" s="795"/>
      <c r="D44" s="796">
        <f>D42+D43</f>
        <v>1040442</v>
      </c>
      <c r="E44" s="754"/>
      <c r="F44" s="797"/>
      <c r="G44" s="354"/>
      <c r="H44" s="539"/>
      <c r="I44" s="53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</row>
    <row r="45" spans="1:75" x14ac:dyDescent="0.25">
      <c r="A45" s="562" t="s">
        <v>150</v>
      </c>
      <c r="B45" s="354"/>
      <c r="C45" s="556"/>
      <c r="D45" s="354"/>
      <c r="E45" s="798"/>
      <c r="F45" s="786"/>
      <c r="G45" s="354"/>
      <c r="H45" s="539"/>
      <c r="I45" s="53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</row>
    <row r="46" spans="1:75" x14ac:dyDescent="0.25">
      <c r="A46" s="689"/>
      <c r="B46" s="799" t="s">
        <v>354</v>
      </c>
      <c r="C46" s="800">
        <f>G14</f>
        <v>313000</v>
      </c>
      <c r="D46" s="789">
        <f>F14</f>
        <v>12372</v>
      </c>
      <c r="E46" s="790"/>
      <c r="F46" s="791">
        <f>C46*1.2</f>
        <v>375600</v>
      </c>
      <c r="G46" s="354"/>
      <c r="H46" s="539"/>
      <c r="I46" s="53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</row>
    <row r="47" spans="1:75" x14ac:dyDescent="0.25">
      <c r="A47" s="689"/>
      <c r="B47" s="799" t="s">
        <v>355</v>
      </c>
      <c r="C47" s="801"/>
      <c r="D47" s="802">
        <f>SUM(E10:E16)</f>
        <v>1272036</v>
      </c>
      <c r="E47" s="792">
        <f>F37</f>
        <v>17.851928617432424</v>
      </c>
      <c r="F47" s="791">
        <f>D47*E47*1.2</f>
        <v>27249955.044965126</v>
      </c>
      <c r="G47" s="354"/>
      <c r="H47" s="539"/>
      <c r="I47" s="53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</row>
    <row r="48" spans="1:75" x14ac:dyDescent="0.25">
      <c r="A48" s="702" t="s">
        <v>357</v>
      </c>
      <c r="B48" s="571"/>
      <c r="C48" s="803"/>
      <c r="D48" s="804">
        <f>D46+D47</f>
        <v>1284408</v>
      </c>
      <c r="E48" s="760"/>
      <c r="F48" s="805"/>
      <c r="G48" s="354"/>
      <c r="H48" s="539"/>
      <c r="I48" s="53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</row>
    <row r="49" spans="1:75" x14ac:dyDescent="0.25">
      <c r="A49" s="354"/>
      <c r="B49" s="354"/>
      <c r="C49" s="354"/>
      <c r="D49" s="354"/>
      <c r="E49" s="354"/>
      <c r="F49" s="354"/>
      <c r="G49" s="539"/>
      <c r="H49" s="539"/>
      <c r="I49" s="53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</row>
    <row r="50" spans="1:75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</row>
    <row r="51" spans="1:75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</row>
    <row r="52" spans="1:75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</row>
    <row r="53" spans="1:75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</row>
    <row r="54" spans="1:75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</row>
    <row r="55" spans="1:75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</row>
    <row r="56" spans="1:75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</row>
    <row r="57" spans="1:75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</row>
    <row r="58" spans="1:75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</row>
    <row r="59" spans="1:75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</row>
    <row r="60" spans="1:75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</row>
    <row r="61" spans="1:75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</row>
    <row r="62" spans="1:75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</row>
    <row r="63" spans="1:75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</row>
    <row r="64" spans="1:75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</row>
    <row r="65" spans="1:75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</row>
    <row r="66" spans="1:75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</row>
    <row r="67" spans="1:75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</row>
    <row r="68" spans="1:75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</row>
    <row r="69" spans="1:75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</row>
    <row r="70" spans="1:75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</row>
    <row r="71" spans="1:75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</row>
    <row r="72" spans="1:75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</row>
    <row r="73" spans="1:75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</row>
    <row r="74" spans="1:75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</row>
    <row r="75" spans="1:75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</row>
    <row r="76" spans="1:75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</row>
    <row r="77" spans="1:75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</row>
    <row r="78" spans="1:75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</row>
    <row r="79" spans="1:75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</row>
    <row r="80" spans="1:75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</row>
    <row r="81" spans="1:75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</row>
    <row r="82" spans="1:75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</row>
    <row r="83" spans="1:75" x14ac:dyDescent="0.25">
      <c r="A83" s="516"/>
      <c r="B83" s="516"/>
      <c r="C83" s="516"/>
      <c r="D83" s="516"/>
      <c r="E83" s="516"/>
      <c r="F83" s="516"/>
      <c r="G83" s="516"/>
      <c r="H83" s="516"/>
      <c r="I83" s="516"/>
    </row>
    <row r="84" spans="1:75" x14ac:dyDescent="0.25">
      <c r="A84" s="516"/>
      <c r="B84" s="516"/>
      <c r="C84" s="516"/>
      <c r="D84" s="516"/>
      <c r="E84" s="516"/>
      <c r="F84" s="516"/>
      <c r="G84" s="516"/>
      <c r="H84" s="516"/>
      <c r="I84" s="516"/>
    </row>
    <row r="85" spans="1:75" x14ac:dyDescent="0.25">
      <c r="A85" s="516"/>
      <c r="B85" s="516"/>
      <c r="C85" s="516"/>
      <c r="D85" s="516"/>
      <c r="E85" s="516"/>
      <c r="F85" s="516"/>
      <c r="G85" s="516"/>
      <c r="H85" s="516"/>
      <c r="I85" s="516"/>
    </row>
    <row r="86" spans="1:75" x14ac:dyDescent="0.25">
      <c r="A86" s="516"/>
      <c r="B86" s="516"/>
      <c r="C86" s="516"/>
      <c r="D86" s="516"/>
      <c r="E86" s="516"/>
      <c r="F86" s="516"/>
      <c r="G86" s="516"/>
      <c r="H86" s="516"/>
      <c r="I86" s="516"/>
    </row>
    <row r="87" spans="1:75" x14ac:dyDescent="0.25">
      <c r="A87" s="516"/>
      <c r="B87" s="516"/>
      <c r="C87" s="516"/>
      <c r="D87" s="516"/>
      <c r="E87" s="516"/>
      <c r="F87" s="516"/>
      <c r="G87" s="516"/>
      <c r="H87" s="516"/>
      <c r="I87" s="516"/>
    </row>
    <row r="88" spans="1:75" x14ac:dyDescent="0.25">
      <c r="A88" s="516"/>
      <c r="B88" s="516"/>
      <c r="C88" s="516"/>
      <c r="D88" s="516"/>
      <c r="E88" s="516"/>
      <c r="F88" s="516"/>
      <c r="G88" s="516"/>
      <c r="H88" s="516"/>
      <c r="I88" s="516"/>
    </row>
    <row r="89" spans="1:75" x14ac:dyDescent="0.25">
      <c r="A89" s="516"/>
      <c r="B89" s="516"/>
      <c r="C89" s="516"/>
      <c r="D89" s="516"/>
      <c r="E89" s="516"/>
      <c r="F89" s="516"/>
      <c r="G89" s="516"/>
      <c r="H89" s="516"/>
      <c r="I89" s="516"/>
    </row>
    <row r="90" spans="1:75" x14ac:dyDescent="0.25">
      <c r="A90" s="516"/>
      <c r="B90" s="516"/>
      <c r="C90" s="516"/>
      <c r="D90" s="516"/>
      <c r="E90" s="516"/>
      <c r="F90" s="516"/>
      <c r="G90" s="516"/>
      <c r="H90" s="516"/>
      <c r="I90" s="516"/>
    </row>
    <row r="91" spans="1:75" x14ac:dyDescent="0.25">
      <c r="A91" s="516"/>
      <c r="B91" s="516"/>
      <c r="C91" s="516"/>
      <c r="D91" s="516"/>
      <c r="E91" s="516"/>
      <c r="F91" s="516"/>
      <c r="G91" s="516"/>
      <c r="H91" s="516"/>
      <c r="I91" s="516"/>
    </row>
    <row r="92" spans="1:75" x14ac:dyDescent="0.25">
      <c r="A92" s="516"/>
      <c r="B92" s="516"/>
      <c r="C92" s="516"/>
      <c r="D92" s="516"/>
      <c r="E92" s="516"/>
      <c r="F92" s="516"/>
      <c r="G92" s="516"/>
      <c r="H92" s="516"/>
      <c r="I92" s="516"/>
    </row>
    <row r="93" spans="1:75" x14ac:dyDescent="0.25">
      <c r="A93" s="516"/>
      <c r="B93" s="516"/>
      <c r="C93" s="516"/>
      <c r="D93" s="516"/>
      <c r="E93" s="516"/>
      <c r="F93" s="516"/>
      <c r="G93" s="516"/>
      <c r="H93" s="516"/>
      <c r="I93" s="516"/>
    </row>
    <row r="94" spans="1:75" x14ac:dyDescent="0.25">
      <c r="A94" s="516"/>
      <c r="B94" s="516"/>
      <c r="C94" s="516"/>
      <c r="D94" s="516"/>
      <c r="E94" s="516"/>
      <c r="F94" s="516"/>
      <c r="G94" s="516"/>
      <c r="H94" s="516"/>
      <c r="I94" s="516"/>
    </row>
    <row r="95" spans="1:75" x14ac:dyDescent="0.25">
      <c r="A95" s="516"/>
      <c r="B95" s="516"/>
      <c r="C95" s="516"/>
      <c r="D95" s="516"/>
      <c r="E95" s="516"/>
      <c r="F95" s="516"/>
      <c r="G95" s="516"/>
      <c r="H95" s="516"/>
      <c r="I95" s="516"/>
    </row>
    <row r="96" spans="1:75" x14ac:dyDescent="0.25">
      <c r="A96" s="516"/>
      <c r="B96" s="516"/>
      <c r="C96" s="516"/>
      <c r="D96" s="516"/>
      <c r="E96" s="516"/>
      <c r="F96" s="516"/>
      <c r="G96" s="516"/>
      <c r="H96" s="516"/>
      <c r="I96" s="516"/>
    </row>
    <row r="97" spans="1:9" x14ac:dyDescent="0.25">
      <c r="A97" s="516"/>
      <c r="B97" s="516"/>
      <c r="C97" s="516"/>
      <c r="D97" s="516"/>
      <c r="E97" s="516"/>
      <c r="F97" s="516"/>
      <c r="G97" s="516"/>
      <c r="H97" s="516"/>
      <c r="I97" s="516"/>
    </row>
    <row r="98" spans="1:9" x14ac:dyDescent="0.25">
      <c r="A98" s="516"/>
      <c r="B98" s="516"/>
      <c r="C98" s="516"/>
      <c r="D98" s="516"/>
      <c r="E98" s="516"/>
      <c r="F98" s="516"/>
      <c r="G98" s="516"/>
      <c r="H98" s="516"/>
      <c r="I98" s="516"/>
    </row>
    <row r="99" spans="1:9" x14ac:dyDescent="0.25">
      <c r="A99" s="516"/>
      <c r="B99" s="516"/>
      <c r="C99" s="516"/>
      <c r="D99" s="516"/>
      <c r="E99" s="516"/>
      <c r="F99" s="516"/>
      <c r="G99" s="516"/>
      <c r="H99" s="516"/>
      <c r="I99" s="516"/>
    </row>
    <row r="100" spans="1:9" x14ac:dyDescent="0.25">
      <c r="A100" s="516"/>
      <c r="B100" s="516"/>
      <c r="C100" s="516"/>
      <c r="D100" s="516"/>
      <c r="E100" s="516"/>
      <c r="F100" s="516"/>
      <c r="G100" s="516"/>
      <c r="H100" s="516"/>
      <c r="I100" s="51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6923C"/>
    <pageSetUpPr fitToPage="1"/>
  </sheetPr>
  <dimension ref="A1:BU1015"/>
  <sheetViews>
    <sheetView showGridLines="0" workbookViewId="0">
      <selection activeCell="H40" sqref="H40"/>
    </sheetView>
  </sheetViews>
  <sheetFormatPr defaultColWidth="14.42578125" defaultRowHeight="15" customHeight="1" x14ac:dyDescent="0.25"/>
  <cols>
    <col min="1" max="1" width="38.140625" customWidth="1"/>
    <col min="2" max="2" width="26.7109375" customWidth="1"/>
    <col min="3" max="3" width="22.42578125" customWidth="1"/>
    <col min="4" max="4" width="15.7109375" customWidth="1"/>
    <col min="5" max="5" width="18.140625" customWidth="1"/>
    <col min="6" max="6" width="26.140625" customWidth="1"/>
    <col min="7" max="7" width="14.85546875" customWidth="1"/>
    <col min="8" max="73" width="8.85546875" customWidth="1"/>
  </cols>
  <sheetData>
    <row r="1" spans="1:73" ht="23.25" customHeight="1" x14ac:dyDescent="0.25">
      <c r="A1" s="484"/>
      <c r="B1" s="485"/>
      <c r="C1" s="356"/>
      <c r="D1" s="486"/>
      <c r="E1" s="215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ht="23.25" customHeight="1" x14ac:dyDescent="0.25">
      <c r="A2" s="1081" t="s">
        <v>358</v>
      </c>
      <c r="B2" s="1082"/>
      <c r="C2" s="1082"/>
      <c r="D2" s="1083" t="s">
        <v>149</v>
      </c>
      <c r="E2" s="1084"/>
      <c r="F2" s="21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23.25" customHeight="1" x14ac:dyDescent="0.25">
      <c r="A3" s="436"/>
      <c r="B3" s="437"/>
      <c r="C3" s="437"/>
      <c r="D3" s="487">
        <v>0</v>
      </c>
      <c r="E3" s="488" t="s">
        <v>359</v>
      </c>
      <c r="F3" s="2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27" customHeight="1" x14ac:dyDescent="0.25">
      <c r="A4" s="481" t="s">
        <v>360</v>
      </c>
      <c r="B4" s="482" t="s">
        <v>155</v>
      </c>
      <c r="C4" s="489" t="s">
        <v>361</v>
      </c>
      <c r="D4" s="482" t="s">
        <v>362</v>
      </c>
      <c r="E4" s="483" t="s">
        <v>363</v>
      </c>
      <c r="F4" s="21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23.25" customHeight="1" x14ac:dyDescent="0.25">
      <c r="A5" s="220" t="s">
        <v>364</v>
      </c>
      <c r="B5" s="290">
        <f>Assumptions!D6</f>
        <v>148.92000000000002</v>
      </c>
      <c r="C5" s="221">
        <f>Assumptions!D7</f>
        <v>500</v>
      </c>
      <c r="D5" s="490">
        <f>Assumptions!D8*(1+D$3)</f>
        <v>2.9</v>
      </c>
      <c r="E5" s="491">
        <f>12*B5*C5*D5</f>
        <v>2591208.0000000005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23.25" customHeight="1" x14ac:dyDescent="0.25">
      <c r="A6" s="10" t="s">
        <v>365</v>
      </c>
      <c r="B6" s="289">
        <f>Assumptions!D11</f>
        <v>148.92000000000002</v>
      </c>
      <c r="C6" s="12">
        <f>Assumptions!D12</f>
        <v>750</v>
      </c>
      <c r="D6" s="13">
        <f>Assumptions!D13*(1+D$3)</f>
        <v>2.9</v>
      </c>
      <c r="E6" s="14">
        <f t="shared" ref="E6:E8" si="0">12*B6*C6*D6</f>
        <v>3886812.0000000005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23.25" customHeight="1" x14ac:dyDescent="0.25">
      <c r="A7" s="220" t="s">
        <v>366</v>
      </c>
      <c r="B7" s="290">
        <f>Assumptions!D16</f>
        <v>122.32714285714286</v>
      </c>
      <c r="C7" s="221">
        <f>Assumptions!D17</f>
        <v>1050</v>
      </c>
      <c r="D7" s="13">
        <f>Assumptions!D18*(1+D$3)</f>
        <v>2.85</v>
      </c>
      <c r="E7" s="14">
        <f t="shared" si="0"/>
        <v>4392767.7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23.25" customHeight="1" x14ac:dyDescent="0.25">
      <c r="A8" s="220" t="s">
        <v>367</v>
      </c>
      <c r="B8" s="289">
        <f>Assumptions!D21</f>
        <v>44.389615384615382</v>
      </c>
      <c r="C8" s="12">
        <f>Assumptions!D22</f>
        <v>1300</v>
      </c>
      <c r="D8" s="13">
        <f>Assumptions!D23*(1+D$3)</f>
        <v>3</v>
      </c>
      <c r="E8" s="14">
        <f t="shared" si="0"/>
        <v>2077434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23.25" customHeight="1" x14ac:dyDescent="0.25">
      <c r="A9" s="220" t="s">
        <v>368</v>
      </c>
      <c r="B9" s="289">
        <f>Assumptions!D28</f>
        <v>37.230000000000004</v>
      </c>
      <c r="C9" s="12">
        <f>Assumptions!D29</f>
        <v>500</v>
      </c>
      <c r="D9" s="13">
        <f>Assumptions!D30*(1+D$3)</f>
        <v>0.74642500000000012</v>
      </c>
      <c r="E9" s="14">
        <f>12*B9*C9*D9</f>
        <v>166736.41650000005</v>
      </c>
      <c r="F9" s="2"/>
      <c r="G9" s="5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23.25" customHeight="1" x14ac:dyDescent="0.25">
      <c r="A10" s="220" t="s">
        <v>369</v>
      </c>
      <c r="B10" s="289">
        <f>Assumptions!D33</f>
        <v>37.230000000000004</v>
      </c>
      <c r="C10" s="12">
        <f>Assumptions!D34</f>
        <v>750</v>
      </c>
      <c r="D10" s="13">
        <f>Assumptions!D35*(1+D$3)</f>
        <v>0.68434166666666674</v>
      </c>
      <c r="E10" s="14">
        <f>12*B10*C10*D10</f>
        <v>229302.36225000006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ht="23.25" customHeight="1" x14ac:dyDescent="0.25">
      <c r="A11" s="220" t="s">
        <v>370</v>
      </c>
      <c r="B11" s="289">
        <f>Assumptions!D38</f>
        <v>30.581785714285715</v>
      </c>
      <c r="C11" s="12">
        <f>Assumptions!D39</f>
        <v>1050</v>
      </c>
      <c r="D11" s="13">
        <f>Assumptions!D40*(1+D$3)</f>
        <v>0.62219047619047618</v>
      </c>
      <c r="E11" s="14">
        <f>12*B11*C11*D11</f>
        <v>239748.96728571429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ht="23.25" customHeight="1" x14ac:dyDescent="0.25">
      <c r="A12" s="220" t="s">
        <v>371</v>
      </c>
      <c r="B12" s="289">
        <f>Assumptions!D43</f>
        <v>11.097403846153846</v>
      </c>
      <c r="C12" s="12">
        <f>Assumptions!D44</f>
        <v>1300</v>
      </c>
      <c r="D12" s="13">
        <f>Assumptions!D45*(1+D$3)</f>
        <v>0.62817307692307689</v>
      </c>
      <c r="E12" s="14">
        <f>12*B12*C12*D12</f>
        <v>108749.00899038461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</row>
    <row r="13" spans="1:73" ht="23.25" customHeight="1" x14ac:dyDescent="0.25">
      <c r="A13" s="16" t="s">
        <v>372</v>
      </c>
      <c r="B13" s="17">
        <f>SUM(B5:B12)</f>
        <v>580.69594780219791</v>
      </c>
      <c r="C13" s="18">
        <f>(B5*C5)+(B6*C6)+(B7*C7)+(B8*C8)+(B9*C9)+(B10*C10)+(B11*C11)+(B12*C12)</f>
        <v>465375</v>
      </c>
      <c r="D13" s="472"/>
      <c r="E13" s="19">
        <f>SUM(E5:E12)</f>
        <v>13692758.455026101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</row>
    <row r="14" spans="1:73" ht="23.25" customHeight="1" x14ac:dyDescent="0.25">
      <c r="A14" s="20" t="s">
        <v>373</v>
      </c>
      <c r="B14" s="471"/>
      <c r="C14" s="21">
        <f>C13/B13</f>
        <v>801.40907089387917</v>
      </c>
      <c r="D14" s="22">
        <f>(E13/12)/C13</f>
        <v>2.4519220082417585</v>
      </c>
      <c r="E14" s="473"/>
      <c r="F14" s="2"/>
      <c r="G14" s="2"/>
      <c r="H14" s="2"/>
      <c r="I14" s="2"/>
      <c r="J14" s="2"/>
      <c r="K14" s="2"/>
      <c r="L14" s="2"/>
      <c r="M14" s="2"/>
      <c r="N14" s="2"/>
      <c r="O14" s="2" t="s">
        <v>374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</row>
    <row r="15" spans="1:73" ht="23.25" customHeight="1" x14ac:dyDescent="0.25">
      <c r="A15" s="222"/>
      <c r="B15" s="223"/>
      <c r="C15" s="224"/>
      <c r="D15" s="225"/>
      <c r="E15" s="2"/>
      <c r="F15" s="2"/>
      <c r="G15" s="5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</row>
    <row r="16" spans="1:73" ht="23.25" customHeight="1" x14ac:dyDescent="0.25">
      <c r="A16" s="438" t="s">
        <v>375</v>
      </c>
      <c r="B16" s="439" t="s">
        <v>376</v>
      </c>
      <c r="C16" s="439" t="s">
        <v>377</v>
      </c>
      <c r="D16" s="439" t="s">
        <v>363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</row>
    <row r="17" spans="1:73" ht="23.25" customHeight="1" x14ac:dyDescent="0.25">
      <c r="A17" s="23" t="s">
        <v>128</v>
      </c>
      <c r="B17" s="294">
        <f>Assumptions!D50</f>
        <v>78600</v>
      </c>
      <c r="C17" s="24">
        <f>Assumptions!D51</f>
        <v>33</v>
      </c>
      <c r="D17" s="4">
        <f t="shared" ref="D17" si="1">B17*C17</f>
        <v>2593800</v>
      </c>
      <c r="E17" s="2"/>
      <c r="F17" s="2"/>
      <c r="G17" s="2"/>
      <c r="H17" s="51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</row>
    <row r="18" spans="1:73" ht="23.25" customHeight="1" x14ac:dyDescent="0.25">
      <c r="A18" s="287" t="s">
        <v>378</v>
      </c>
      <c r="B18" s="295">
        <f>Assumptions!D63</f>
        <v>114000</v>
      </c>
      <c r="C18" s="288">
        <f>Assumptions!D64</f>
        <v>28</v>
      </c>
      <c r="D18" s="4">
        <f>B18*C18</f>
        <v>3192000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</row>
    <row r="19" spans="1:73" ht="23.25" customHeight="1" x14ac:dyDescent="0.25">
      <c r="A19" s="25" t="s">
        <v>65</v>
      </c>
      <c r="B19" s="296">
        <f>Assumptions!D56</f>
        <v>106200</v>
      </c>
      <c r="C19" s="26">
        <f>Assumptions!D57</f>
        <v>31</v>
      </c>
      <c r="D19" s="7">
        <f>B19*C19</f>
        <v>3292200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</row>
    <row r="20" spans="1:73" ht="23.25" customHeight="1" x14ac:dyDescent="0.25">
      <c r="A20" s="27" t="s">
        <v>379</v>
      </c>
      <c r="B20" s="226">
        <f>SUM(B17:B19)</f>
        <v>298800</v>
      </c>
      <c r="C20" s="227">
        <f>IF(B20=0,0,D20/B20)</f>
        <v>30.38152610441767</v>
      </c>
      <c r="D20" s="218">
        <f>SUM(D17:D19)</f>
        <v>9078000</v>
      </c>
      <c r="E20" s="2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</row>
    <row r="21" spans="1:73" ht="23.25" customHeight="1" x14ac:dyDescent="0.25">
      <c r="A21" s="440" t="s">
        <v>380</v>
      </c>
      <c r="B21" s="441" t="str">
        <f>D2</f>
        <v>Phase I</v>
      </c>
      <c r="C21" s="21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</row>
    <row r="22" spans="1:73" ht="23.25" customHeight="1" x14ac:dyDescent="0.25">
      <c r="A22" s="3" t="s">
        <v>138</v>
      </c>
      <c r="B22" s="423">
        <f>((Assumptions!D6+Assumptions!D28)*Assumptions!B82)+((Assumptions!D11+Assumptions!D33)*Assumptions!B83)+((Assumptions!D16+Assumptions!D21+Assumptions!D38+Assumptions!D43)*Assumptions!B84)</f>
        <v>835.62939560439565</v>
      </c>
      <c r="C22" s="389"/>
      <c r="D22" s="28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</row>
    <row r="23" spans="1:73" ht="23.25" customHeight="1" x14ac:dyDescent="0.25">
      <c r="A23" s="6" t="s">
        <v>139</v>
      </c>
      <c r="B23" s="423">
        <f>(Assumptions!D50*Assumptions!H50*Assumptions!B85)+(Assumptions!D50*Assumptions!H51*Assumptions!B86)+(Assumptions!D56*Assumptions!B88)+(Assumptions!D65*Assumptions!B89)</f>
        <v>1205.5999999999999</v>
      </c>
      <c r="C23" s="389"/>
      <c r="D23" s="2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</row>
    <row r="24" spans="1:73" ht="23.25" customHeight="1" x14ac:dyDescent="0.25">
      <c r="A24" s="228" t="s">
        <v>381</v>
      </c>
      <c r="B24" s="229">
        <f>Assumptions!B98</f>
        <v>1135.507097069597</v>
      </c>
      <c r="C24" s="389"/>
      <c r="D24" s="28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</row>
    <row r="25" spans="1:73" ht="23.25" hidden="1" customHeight="1" x14ac:dyDescent="0.25">
      <c r="A25" s="363"/>
      <c r="B25" s="364"/>
      <c r="C25" s="215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</row>
    <row r="26" spans="1:73" ht="23.25" hidden="1" customHeight="1" x14ac:dyDescent="0.25">
      <c r="A26" s="365"/>
      <c r="B26" s="356"/>
      <c r="C26" s="357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</row>
    <row r="27" spans="1:73" ht="23.25" hidden="1" customHeight="1" x14ac:dyDescent="0.25">
      <c r="A27" s="365"/>
      <c r="B27" s="356"/>
      <c r="C27" s="214"/>
      <c r="D27" s="2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</row>
    <row r="28" spans="1:73" ht="23.25" hidden="1" customHeight="1" x14ac:dyDescent="0.25">
      <c r="A28" s="366"/>
      <c r="B28" s="356"/>
      <c r="C28" s="357"/>
      <c r="D28" s="30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</row>
    <row r="29" spans="1:73" ht="23.25" hidden="1" customHeight="1" x14ac:dyDescent="0.25">
      <c r="A29" s="367"/>
      <c r="B29" s="356"/>
      <c r="C29" s="357"/>
      <c r="D29" s="3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</row>
    <row r="30" spans="1:73" ht="23.25" customHeight="1" x14ac:dyDescent="0.25">
      <c r="A30" s="368"/>
      <c r="B30" s="356"/>
      <c r="C30" s="357"/>
      <c r="D30" s="355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</row>
    <row r="31" spans="1:73" ht="15" customHeight="1" x14ac:dyDescent="0.25">
      <c r="A31" s="1085" t="s">
        <v>382</v>
      </c>
      <c r="B31" s="1082"/>
      <c r="C31" s="469" t="str">
        <f>D2</f>
        <v>Phase I</v>
      </c>
      <c r="D31" s="470"/>
      <c r="E31" s="2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</row>
    <row r="32" spans="1:73" ht="23.25" customHeight="1" x14ac:dyDescent="0.25">
      <c r="A32" s="481" t="s">
        <v>383</v>
      </c>
      <c r="B32" s="482" t="s">
        <v>384</v>
      </c>
      <c r="C32" s="482" t="s">
        <v>385</v>
      </c>
      <c r="D32" s="483" t="s">
        <v>386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</row>
    <row r="33" spans="1:73" ht="23.25" customHeight="1" x14ac:dyDescent="0.25">
      <c r="A33" s="31" t="s">
        <v>387</v>
      </c>
      <c r="B33" s="32">
        <f>D33/B13</f>
        <v>23579.910462351389</v>
      </c>
      <c r="C33" s="33">
        <f>D33/C13</f>
        <v>29.423064098901104</v>
      </c>
      <c r="D33" s="34">
        <f>E13</f>
        <v>13692758.455026101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</row>
    <row r="34" spans="1:73" ht="23.25" customHeight="1" x14ac:dyDescent="0.25">
      <c r="A34" s="35" t="s">
        <v>388</v>
      </c>
      <c r="B34" s="1086" t="s">
        <v>389</v>
      </c>
      <c r="C34" s="1087"/>
      <c r="D34" s="36">
        <f>D20</f>
        <v>9078000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</row>
    <row r="35" spans="1:73" ht="23.25" customHeight="1" x14ac:dyDescent="0.25">
      <c r="A35" s="37"/>
      <c r="B35" s="1088" t="s">
        <v>390</v>
      </c>
      <c r="C35" s="1089"/>
      <c r="D35" s="38">
        <f>SUM(D33:D34)</f>
        <v>22770758.455026101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</row>
    <row r="36" spans="1:73" ht="23.25" customHeight="1" x14ac:dyDescent="0.25">
      <c r="A36" s="39" t="s">
        <v>391</v>
      </c>
      <c r="B36" s="38" t="s">
        <v>392</v>
      </c>
      <c r="C36" s="38" t="s">
        <v>393</v>
      </c>
      <c r="D36" s="38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</row>
    <row r="37" spans="1:73" ht="23.25" customHeight="1" x14ac:dyDescent="0.25">
      <c r="A37" s="37" t="s">
        <v>394</v>
      </c>
      <c r="B37" s="40">
        <f>Assumptions!B101</f>
        <v>150</v>
      </c>
      <c r="C37" s="41">
        <f>D37/C13</f>
        <v>3.2320879120879122</v>
      </c>
      <c r="D37" s="40">
        <f>B37*B22*12</f>
        <v>1504132.9120879122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</row>
    <row r="38" spans="1:73" ht="23.25" customHeight="1" x14ac:dyDescent="0.25">
      <c r="A38" s="37" t="s">
        <v>395</v>
      </c>
      <c r="B38" s="56">
        <v>300</v>
      </c>
      <c r="C38" s="41">
        <f>D38/C13</f>
        <v>1.742949234488316</v>
      </c>
      <c r="D38" s="40">
        <f>B38*Assumptions!B97*12</f>
        <v>811125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</row>
    <row r="39" spans="1:73" ht="23.25" customHeight="1" x14ac:dyDescent="0.25">
      <c r="A39" s="37" t="s">
        <v>396</v>
      </c>
      <c r="B39" s="56">
        <v>175</v>
      </c>
      <c r="C39" s="41">
        <f>D39/C13</f>
        <v>1.3531951073369277</v>
      </c>
      <c r="D39" s="40">
        <f>((Assumptions!B98-Assumptions!B93)*'Phase I Financial'!B39)*12</f>
        <v>629743.17307692277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</row>
    <row r="40" spans="1:73" ht="23.25" customHeight="1" x14ac:dyDescent="0.25">
      <c r="A40" s="37" t="s">
        <v>397</v>
      </c>
      <c r="B40" s="40">
        <f>D40/B13</f>
        <v>2744.9013513605137</v>
      </c>
      <c r="C40" s="41">
        <f>D40/C13</f>
        <v>3.4250939389778723</v>
      </c>
      <c r="D40" s="40">
        <f>0.07*D35</f>
        <v>1593953.0918518272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</row>
    <row r="41" spans="1:73" ht="23.25" customHeight="1" x14ac:dyDescent="0.25">
      <c r="A41" s="42" t="s">
        <v>398</v>
      </c>
      <c r="B41" s="1090"/>
      <c r="C41" s="1091"/>
      <c r="D41" s="43">
        <f>SUM(D37:D40)</f>
        <v>4538954.1770166624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</row>
    <row r="42" spans="1:73" ht="23.25" customHeight="1" x14ac:dyDescent="0.25">
      <c r="A42" s="44">
        <v>0.06</v>
      </c>
      <c r="B42" s="1092"/>
      <c r="C42" s="1093"/>
      <c r="D42" s="45">
        <f>-A42*D35</f>
        <v>-1366245.507301566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</row>
    <row r="43" spans="1:73" ht="23.25" customHeight="1" x14ac:dyDescent="0.25">
      <c r="A43" s="46" t="s">
        <v>399</v>
      </c>
      <c r="B43" s="47">
        <f>D43/B13</f>
        <v>44676.507943496632</v>
      </c>
      <c r="C43" s="48">
        <f>D43/C13</f>
        <v>55.747444802022457</v>
      </c>
      <c r="D43" s="230">
        <f>D35+D41+D42</f>
        <v>25943467.1247412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</row>
    <row r="44" spans="1:73" ht="23.25" customHeight="1" x14ac:dyDescent="0.25">
      <c r="A44" s="438" t="s">
        <v>400</v>
      </c>
      <c r="B44" s="439" t="s">
        <v>384</v>
      </c>
      <c r="C44" s="439" t="s">
        <v>401</v>
      </c>
      <c r="D44" s="445" t="s">
        <v>386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</row>
    <row r="45" spans="1:73" ht="23.25" customHeight="1" x14ac:dyDescent="0.25">
      <c r="A45" s="231" t="s">
        <v>402</v>
      </c>
      <c r="B45" s="232">
        <f>D45/B13</f>
        <v>-11763.862934402199</v>
      </c>
      <c r="C45" s="232">
        <f>D45/C13</f>
        <v>-14.678974024190879</v>
      </c>
      <c r="D45" s="232">
        <f>-0.3*D35</f>
        <v>-6831227.53650783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</row>
    <row r="46" spans="1:73" ht="23.25" customHeight="1" x14ac:dyDescent="0.25">
      <c r="A46" s="49" t="s">
        <v>403</v>
      </c>
      <c r="B46" s="233">
        <f>D46/B13</f>
        <v>32912.645009094434</v>
      </c>
      <c r="C46" s="234"/>
      <c r="D46" s="233">
        <f>D43+D45</f>
        <v>19112239.58823337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</row>
    <row r="47" spans="1:73" ht="23.25" customHeight="1" x14ac:dyDescent="0.25">
      <c r="A47" s="474" t="s">
        <v>404</v>
      </c>
      <c r="B47" s="475" t="s">
        <v>405</v>
      </c>
      <c r="C47" s="476">
        <v>4.4999999999999998E-2</v>
      </c>
      <c r="D47" s="537">
        <f>D46/C47</f>
        <v>424716435.29407489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</row>
    <row r="48" spans="1:73" ht="23.25" customHeight="1" x14ac:dyDescent="0.25">
      <c r="A48" s="1094" t="s">
        <v>406</v>
      </c>
      <c r="B48" s="1095"/>
      <c r="C48" s="1096" t="str">
        <f>D2</f>
        <v>Phase I</v>
      </c>
      <c r="D48" s="1097"/>
      <c r="E48" s="215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</row>
    <row r="49" spans="1:73" ht="23.25" customHeight="1" x14ac:dyDescent="0.25">
      <c r="A49" s="477"/>
      <c r="B49" s="478" t="s">
        <v>407</v>
      </c>
      <c r="C49" s="478" t="s">
        <v>408</v>
      </c>
      <c r="D49" s="479" t="s">
        <v>384</v>
      </c>
      <c r="E49" s="21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</row>
    <row r="50" spans="1:73" ht="23.25" customHeight="1" x14ac:dyDescent="0.25">
      <c r="A50" s="235" t="s">
        <v>409</v>
      </c>
      <c r="B50" s="480">
        <v>225</v>
      </c>
      <c r="C50" s="236">
        <f>B50*(C13+B20+14350+12000+8000)</f>
        <v>179668125</v>
      </c>
      <c r="D50" s="236">
        <f t="shared" ref="D50:D52" si="2">C50/$B$13</f>
        <v>309401.37550469051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</row>
    <row r="51" spans="1:73" ht="23.25" customHeight="1" x14ac:dyDescent="0.25">
      <c r="A51" s="235" t="s">
        <v>410</v>
      </c>
      <c r="B51" s="50">
        <f>Assumptions!C100</f>
        <v>22500</v>
      </c>
      <c r="C51" s="236">
        <f>B24*B51</f>
        <v>25548909.684065931</v>
      </c>
      <c r="D51" s="40">
        <f t="shared" si="2"/>
        <v>43997.05178030386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</row>
    <row r="52" spans="1:73" ht="23.25" customHeight="1" x14ac:dyDescent="0.25">
      <c r="A52" s="235" t="s">
        <v>411</v>
      </c>
      <c r="B52" s="51">
        <v>0.05</v>
      </c>
      <c r="C52" s="236">
        <f>B52*C50</f>
        <v>8983406.25</v>
      </c>
      <c r="D52" s="40">
        <f t="shared" si="2"/>
        <v>15470.068775234526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</row>
    <row r="53" spans="1:73" ht="23.25" customHeight="1" x14ac:dyDescent="0.25">
      <c r="A53" s="235" t="s">
        <v>412</v>
      </c>
      <c r="B53" s="427" t="s">
        <v>413</v>
      </c>
      <c r="C53" s="236">
        <f>10*'Parcel Data'!D44</f>
        <v>10404420</v>
      </c>
      <c r="D53" s="40">
        <f>C53/$B$13</f>
        <v>17917.156197453009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</row>
    <row r="54" spans="1:73" ht="23.25" customHeight="1" x14ac:dyDescent="0.25">
      <c r="A54" s="235" t="s">
        <v>414</v>
      </c>
      <c r="B54" s="52" t="s">
        <v>415</v>
      </c>
      <c r="C54" s="397">
        <f>('Parcel Data'!F42+('Parcel Data'!F43*0.7))</f>
        <v>16363617.813882431</v>
      </c>
      <c r="D54" s="40">
        <f>C54/$B$13</f>
        <v>28179.321512083909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</row>
    <row r="55" spans="1:73" ht="28.15" customHeight="1" x14ac:dyDescent="0.25">
      <c r="A55" s="235" t="s">
        <v>416</v>
      </c>
      <c r="B55" s="53">
        <v>5000</v>
      </c>
      <c r="C55" s="236">
        <f>B13*B55</f>
        <v>2903479.7390109897</v>
      </c>
      <c r="D55" s="236">
        <f>C55/B13</f>
        <v>5000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</row>
    <row r="56" spans="1:73" ht="21" hidden="1" customHeight="1" x14ac:dyDescent="0.25">
      <c r="A56" s="235" t="s">
        <v>417</v>
      </c>
      <c r="B56" s="54"/>
      <c r="C56" s="237"/>
      <c r="D56" s="4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</row>
    <row r="57" spans="1:73" ht="23.25" customHeight="1" x14ac:dyDescent="0.25">
      <c r="A57" s="933" t="s">
        <v>418</v>
      </c>
      <c r="B57" s="812">
        <v>520</v>
      </c>
      <c r="C57" s="236">
        <f>Assumptions!B106*'Phase I Financial'!B57</f>
        <v>735800</v>
      </c>
      <c r="D57" s="40">
        <f t="shared" ref="D57:D62" si="3">C57/$B$13</f>
        <v>1267.1002833493769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</row>
    <row r="58" spans="1:73" ht="23.25" customHeight="1" x14ac:dyDescent="0.25">
      <c r="A58" s="933" t="s">
        <v>419</v>
      </c>
      <c r="B58" s="812">
        <v>400</v>
      </c>
      <c r="C58" s="236">
        <f>Assumptions!B107*'Phase I Financial'!B58</f>
        <v>876000</v>
      </c>
      <c r="D58" s="40">
        <f t="shared" si="3"/>
        <v>1508.5347216825962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</row>
    <row r="59" spans="1:73" ht="23.25" customHeight="1" x14ac:dyDescent="0.25">
      <c r="A59" s="933" t="s">
        <v>420</v>
      </c>
      <c r="B59" s="812">
        <v>120</v>
      </c>
      <c r="C59" s="502">
        <f>Assumptions!B108*'Phase I Financial'!B59</f>
        <v>150000</v>
      </c>
      <c r="D59" s="40">
        <f t="shared" si="3"/>
        <v>258.31074001414316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</row>
    <row r="60" spans="1:73" ht="23.25" customHeight="1" x14ac:dyDescent="0.25">
      <c r="A60" s="933" t="s">
        <v>421</v>
      </c>
      <c r="B60" s="812">
        <v>150</v>
      </c>
      <c r="C60" s="236">
        <f>Assumptions!B109*'Phase I Financial'!B60</f>
        <v>90000</v>
      </c>
      <c r="D60" s="40">
        <f t="shared" si="3"/>
        <v>154.9864440084859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</row>
    <row r="61" spans="1:73" ht="23.25" customHeight="1" x14ac:dyDescent="0.25">
      <c r="A61" s="933" t="s">
        <v>422</v>
      </c>
      <c r="B61" s="813">
        <v>25</v>
      </c>
      <c r="C61" s="236">
        <f>Assumptions!B111*'Phase I Financial'!B61</f>
        <v>2190000</v>
      </c>
      <c r="D61" s="40">
        <f t="shared" si="3"/>
        <v>3771.3368042064903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</row>
    <row r="62" spans="1:73" ht="23.25" customHeight="1" x14ac:dyDescent="0.25">
      <c r="A62" s="933" t="s">
        <v>423</v>
      </c>
      <c r="B62" s="813">
        <v>30</v>
      </c>
      <c r="C62" s="236">
        <f>Assumptions!B111*'Phase I Financial'!B62</f>
        <v>2628000</v>
      </c>
      <c r="D62" s="40">
        <f t="shared" si="3"/>
        <v>4525.6041650477882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</row>
    <row r="63" spans="1:73" ht="23.25" customHeight="1" x14ac:dyDescent="0.25">
      <c r="A63" s="3" t="s">
        <v>424</v>
      </c>
      <c r="B63" s="55" t="s">
        <v>425</v>
      </c>
      <c r="C63" s="56">
        <v>400000</v>
      </c>
      <c r="D63" s="40">
        <f t="shared" ref="D63:D76" si="4">C63/$B$13</f>
        <v>688.8286400377151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</row>
    <row r="64" spans="1:73" ht="23.25" customHeight="1" x14ac:dyDescent="0.25">
      <c r="A64" s="3" t="s">
        <v>426</v>
      </c>
      <c r="B64" s="55" t="s">
        <v>425</v>
      </c>
      <c r="C64" s="56">
        <v>475000</v>
      </c>
      <c r="D64" s="40">
        <f t="shared" si="4"/>
        <v>817.98401004478671</v>
      </c>
      <c r="E64" s="5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</row>
    <row r="65" spans="1:73" ht="23.25" customHeight="1" x14ac:dyDescent="0.25">
      <c r="A65" s="3" t="s">
        <v>427</v>
      </c>
      <c r="B65" s="58">
        <v>0.04</v>
      </c>
      <c r="C65" s="40">
        <f>B65*(C50+C52)</f>
        <v>7546061.25</v>
      </c>
      <c r="D65" s="40">
        <f t="shared" si="4"/>
        <v>12994.857771197001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</row>
    <row r="66" spans="1:73" ht="23.25" customHeight="1" x14ac:dyDescent="0.25">
      <c r="A66" s="3" t="s">
        <v>135</v>
      </c>
      <c r="B66" s="59">
        <v>0.03</v>
      </c>
      <c r="C66" s="40">
        <f>B66*SUM(C50:C65)</f>
        <v>7768884.5921087805</v>
      </c>
      <c r="D66" s="40">
        <f t="shared" si="4"/>
        <v>13378.575520480626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</row>
    <row r="67" spans="1:73" ht="23.25" customHeight="1" x14ac:dyDescent="0.25">
      <c r="A67" s="3" t="s">
        <v>428</v>
      </c>
      <c r="B67" s="58">
        <v>0.03</v>
      </c>
      <c r="C67" s="40">
        <f>B67*(C50+C52)</f>
        <v>5659545.9375</v>
      </c>
      <c r="D67" s="40">
        <f t="shared" si="4"/>
        <v>9746.1433283977512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</row>
    <row r="68" spans="1:73" ht="23.25" customHeight="1" x14ac:dyDescent="0.25">
      <c r="A68" s="3" t="s">
        <v>429</v>
      </c>
      <c r="B68" s="60" t="s">
        <v>425</v>
      </c>
      <c r="C68" s="56">
        <v>2500000</v>
      </c>
      <c r="D68" s="40">
        <f t="shared" si="4"/>
        <v>4305.1790002357193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</row>
    <row r="69" spans="1:73" ht="23.25" customHeight="1" x14ac:dyDescent="0.25">
      <c r="A69" s="3" t="s">
        <v>430</v>
      </c>
      <c r="B69" s="61">
        <v>3000</v>
      </c>
      <c r="C69" s="40">
        <f>B69*B13</f>
        <v>1742087.8434065937</v>
      </c>
      <c r="D69" s="40">
        <f t="shared" si="4"/>
        <v>3000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</row>
    <row r="70" spans="1:73" ht="23.25" customHeight="1" x14ac:dyDescent="0.25">
      <c r="A70" s="3" t="s">
        <v>431</v>
      </c>
      <c r="B70" s="55" t="s">
        <v>425</v>
      </c>
      <c r="C70" s="56">
        <v>800000</v>
      </c>
      <c r="D70" s="40">
        <f t="shared" si="4"/>
        <v>1377.6572800754302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</row>
    <row r="71" spans="1:73" ht="23.25" customHeight="1" x14ac:dyDescent="0.25">
      <c r="A71" s="3" t="s">
        <v>432</v>
      </c>
      <c r="B71" s="62">
        <v>6</v>
      </c>
      <c r="C71" s="40">
        <f>-B71*(D45/12)</f>
        <v>3415613.768253915</v>
      </c>
      <c r="D71" s="40">
        <f t="shared" si="4"/>
        <v>5881.9314672010996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</row>
    <row r="72" spans="1:73" ht="23.25" customHeight="1" x14ac:dyDescent="0.25">
      <c r="A72" s="3" t="s">
        <v>433</v>
      </c>
      <c r="B72" s="63">
        <v>45</v>
      </c>
      <c r="C72" s="40">
        <f>B20*B72</f>
        <v>13446000</v>
      </c>
      <c r="D72" s="40">
        <f t="shared" si="4"/>
        <v>23154.974734867796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</row>
    <row r="73" spans="1:73" ht="23.25" customHeight="1" x14ac:dyDescent="0.25">
      <c r="A73" s="3" t="s">
        <v>434</v>
      </c>
      <c r="B73" s="816">
        <v>0.06</v>
      </c>
      <c r="C73" s="40">
        <f>B73*D20*10</f>
        <v>5446800</v>
      </c>
      <c r="D73" s="40">
        <f t="shared" si="4"/>
        <v>9379.7795913935679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</row>
    <row r="74" spans="1:73" ht="23.25" customHeight="1" x14ac:dyDescent="0.25">
      <c r="A74" s="3" t="s">
        <v>435</v>
      </c>
      <c r="B74" s="931">
        <v>1.4999999999999999E-2</v>
      </c>
      <c r="C74" s="56">
        <v>2829965</v>
      </c>
      <c r="D74" s="40">
        <f t="shared" si="4"/>
        <v>4873.4023557608316</v>
      </c>
      <c r="E74" s="1098"/>
      <c r="F74" s="1070"/>
      <c r="G74" s="51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</row>
    <row r="75" spans="1:73" ht="18" customHeight="1" x14ac:dyDescent="0.25">
      <c r="A75" s="64" t="s">
        <v>436</v>
      </c>
      <c r="B75" s="932">
        <v>0.05</v>
      </c>
      <c r="C75" s="56">
        <v>9432973</v>
      </c>
      <c r="D75" s="40">
        <f t="shared" si="4"/>
        <v>16244.254907756214</v>
      </c>
      <c r="E75" s="1098"/>
      <c r="F75" s="1070"/>
      <c r="G75" s="515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</row>
    <row r="76" spans="1:73" ht="23.25" customHeight="1" x14ac:dyDescent="0.25">
      <c r="A76" s="6" t="s">
        <v>437</v>
      </c>
      <c r="B76" s="814">
        <v>1.4999999999999999E-2</v>
      </c>
      <c r="C76" s="65">
        <f>B76*C50</f>
        <v>2695021.875</v>
      </c>
      <c r="D76" s="65">
        <f t="shared" si="4"/>
        <v>4641.0206325703575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</row>
    <row r="77" spans="1:73" ht="23.25" customHeight="1" x14ac:dyDescent="0.25">
      <c r="A77" s="66" t="s">
        <v>438</v>
      </c>
      <c r="B77" s="67"/>
      <c r="C77" s="68">
        <f>SUM(C50:C76)</f>
        <v>314699711.75322872</v>
      </c>
      <c r="D77" s="68">
        <f>ROUND(C77/$B$13,-3)</f>
        <v>542000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</row>
    <row r="78" spans="1:73" ht="23.25" customHeight="1" x14ac:dyDescent="0.25">
      <c r="A78" s="69" t="s">
        <v>439</v>
      </c>
      <c r="B78" s="70">
        <f>D46/C77</f>
        <v>6.0731671731622694E-2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</row>
    <row r="79" spans="1:73" ht="23.25" customHeight="1" x14ac:dyDescent="0.25">
      <c r="A79" s="71" t="s">
        <v>440</v>
      </c>
      <c r="B79" s="72">
        <f>(D47/C77)-1</f>
        <v>0.349592705147171</v>
      </c>
      <c r="C79" s="73"/>
      <c r="D79" s="74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</row>
    <row r="80" spans="1:73" ht="23.25" customHeight="1" x14ac:dyDescent="0.25">
      <c r="A80" s="75">
        <v>0.3</v>
      </c>
      <c r="B80" s="76">
        <f>(D47/(1+A80))</f>
        <v>326704950.22621143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</row>
    <row r="81" spans="1:73" ht="23.25" customHeight="1" x14ac:dyDescent="0.25">
      <c r="A81" s="77">
        <v>0.3</v>
      </c>
      <c r="B81" s="76">
        <f>ROUND((D47/(1+A81))-C77,-3)</f>
        <v>12005000</v>
      </c>
      <c r="C81" s="78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</row>
    <row r="82" spans="1:73" ht="23.25" customHeight="1" x14ac:dyDescent="0.25">
      <c r="A82" s="79"/>
      <c r="B82" s="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</row>
    <row r="83" spans="1:73" ht="15" customHeight="1" x14ac:dyDescent="0.25">
      <c r="A83" s="1074" t="s">
        <v>441</v>
      </c>
      <c r="B83" s="1075"/>
      <c r="C83" s="447" t="str">
        <f>D2</f>
        <v>Phase I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</row>
    <row r="84" spans="1:73" ht="23.25" customHeight="1" x14ac:dyDescent="0.25">
      <c r="A84" s="238"/>
      <c r="B84" s="239" t="s">
        <v>95</v>
      </c>
      <c r="C84" s="240" t="s">
        <v>401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</row>
    <row r="85" spans="1:73" ht="23.25" customHeight="1" x14ac:dyDescent="0.25">
      <c r="A85" s="217" t="s">
        <v>442</v>
      </c>
      <c r="B85" s="242">
        <f>IF(B81&lt;0,B81,0)</f>
        <v>0</v>
      </c>
      <c r="C85" s="412">
        <f>B85/(C13+B20)</f>
        <v>0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</row>
    <row r="86" spans="1:73" ht="23.25" customHeight="1" x14ac:dyDescent="0.25">
      <c r="A86" s="217" t="s">
        <v>443</v>
      </c>
      <c r="B86" s="242">
        <f>C77+B85</f>
        <v>314699711.75322872</v>
      </c>
      <c r="C86" s="412">
        <f>B86/(C13+B20)</f>
        <v>411.81628783096636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</row>
    <row r="87" spans="1:73" ht="23.25" customHeight="1" x14ac:dyDescent="0.25">
      <c r="A87" s="244">
        <f>Assumptions!H56</f>
        <v>0.6</v>
      </c>
      <c r="B87" s="245">
        <f t="shared" ref="B87:B92" si="5">A87*C$77</f>
        <v>188819827.05193722</v>
      </c>
      <c r="C87" s="413">
        <f>B87/(C13+B20)</f>
        <v>247.08977269857979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</row>
    <row r="88" spans="1:73" ht="23.25" customHeight="1" x14ac:dyDescent="0.25">
      <c r="A88" s="244" t="s">
        <v>121</v>
      </c>
      <c r="B88" s="245">
        <f>Assumptions!H59</f>
        <v>2787340.5494505498</v>
      </c>
      <c r="C88" s="413">
        <f>B88/(C13+B20)</f>
        <v>3.6475160132830173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</row>
    <row r="89" spans="1:73" ht="23.25" customHeight="1" x14ac:dyDescent="0.25">
      <c r="A89" s="409" t="s">
        <v>444</v>
      </c>
      <c r="B89" s="245">
        <f>Assumptions!H63</f>
        <v>780000</v>
      </c>
      <c r="C89" s="414">
        <f>B89/(C13+B20)</f>
        <v>1.0207086073216214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</row>
    <row r="90" spans="1:73" ht="23.25" customHeight="1" x14ac:dyDescent="0.25">
      <c r="A90" s="921" t="s">
        <v>66</v>
      </c>
      <c r="B90" s="245">
        <f>Assumptions!H67</f>
        <v>324375</v>
      </c>
      <c r="C90" s="920">
        <f>B90/(C13+B20)</f>
        <v>0.42447737756403964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</row>
    <row r="91" spans="1:73" ht="23.25" customHeight="1" x14ac:dyDescent="0.25">
      <c r="A91" s="409" t="s">
        <v>445</v>
      </c>
      <c r="B91" s="245">
        <f>Assumptions!H71</f>
        <v>172800</v>
      </c>
      <c r="C91" s="414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</row>
    <row r="92" spans="1:73" ht="23.25" customHeight="1" x14ac:dyDescent="0.25">
      <c r="A92" s="430">
        <f>Assumptions!H80</f>
        <v>0.38708446370412403</v>
      </c>
      <c r="B92" s="245">
        <f t="shared" si="5"/>
        <v>121815369.15184096</v>
      </c>
      <c r="C92" s="415">
        <f>B92/(C13+B20)</f>
        <v>159.40768691967278</v>
      </c>
      <c r="D92" s="74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</row>
    <row r="93" spans="1:73" ht="23.25" customHeight="1" x14ac:dyDescent="0.25">
      <c r="A93" s="217" t="s">
        <v>446</v>
      </c>
      <c r="B93" s="246">
        <f>B87+B92+B88+B89+B90</f>
        <v>314526911.75322872</v>
      </c>
      <c r="C93" s="247">
        <f>B93/(C13+B20)</f>
        <v>411.59016161642126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</row>
    <row r="94" spans="1:73" ht="23.25" customHeight="1" x14ac:dyDescent="0.25">
      <c r="A94" s="248"/>
      <c r="B94" s="249"/>
      <c r="C94" s="250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</row>
    <row r="95" spans="1:73" ht="15" customHeight="1" x14ac:dyDescent="0.25">
      <c r="A95" s="1074" t="s">
        <v>447</v>
      </c>
      <c r="B95" s="1075"/>
      <c r="C95" s="447" t="str">
        <f>D2</f>
        <v>Phase I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</row>
    <row r="96" spans="1:73" ht="23.25" customHeight="1" x14ac:dyDescent="0.25">
      <c r="A96" s="251"/>
      <c r="B96" s="80" t="s">
        <v>448</v>
      </c>
      <c r="C96" s="80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</row>
    <row r="97" spans="1:73" ht="23.25" customHeight="1" x14ac:dyDescent="0.25">
      <c r="A97" s="81" t="s">
        <v>449</v>
      </c>
      <c r="B97" s="82">
        <f>D47</f>
        <v>424716435.29407489</v>
      </c>
      <c r="C97" s="8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</row>
    <row r="98" spans="1:73" ht="23.25" customHeight="1" x14ac:dyDescent="0.25">
      <c r="A98" s="84">
        <v>0.02</v>
      </c>
      <c r="B98" s="85">
        <f>-A98*B97</f>
        <v>-8494328.7058814988</v>
      </c>
      <c r="C98" s="86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</row>
    <row r="99" spans="1:73" ht="23.25" customHeight="1" x14ac:dyDescent="0.25">
      <c r="A99" s="252" t="s">
        <v>450</v>
      </c>
      <c r="B99" s="87">
        <f>B97+B98</f>
        <v>416222106.58819342</v>
      </c>
      <c r="C99" s="88"/>
      <c r="D99" s="2"/>
      <c r="E99" s="89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</row>
    <row r="100" spans="1:73" ht="23.25" customHeight="1" x14ac:dyDescent="0.25">
      <c r="A100" s="81" t="s">
        <v>451</v>
      </c>
      <c r="B100" s="82">
        <f>-B87</f>
        <v>-188819827.05193722</v>
      </c>
      <c r="C100" s="8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</row>
    <row r="101" spans="1:73" ht="23.25" customHeight="1" x14ac:dyDescent="0.25">
      <c r="A101" s="90" t="s">
        <v>452</v>
      </c>
      <c r="B101" s="91">
        <f t="shared" ref="B101" si="6">-B92</f>
        <v>-121815369.15184096</v>
      </c>
      <c r="C101" s="86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</row>
    <row r="102" spans="1:73" ht="23.25" customHeight="1" x14ac:dyDescent="0.25">
      <c r="A102" s="219" t="s">
        <v>453</v>
      </c>
      <c r="B102" s="92">
        <f>ROUND(B99+B100+B101,-2)</f>
        <v>105586900</v>
      </c>
      <c r="C102" s="93"/>
      <c r="D102" s="94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</row>
    <row r="103" spans="1:73" ht="23.25" customHeight="1" x14ac:dyDescent="0.25">
      <c r="A103" s="1076" t="s">
        <v>454</v>
      </c>
      <c r="B103" s="1077"/>
      <c r="C103" s="1078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</row>
    <row r="104" spans="1:73" ht="23.25" customHeight="1" x14ac:dyDescent="0.25">
      <c r="A104" s="95" t="s">
        <v>455</v>
      </c>
      <c r="B104" s="96">
        <f>ROUND((B97)/B$13,-2)</f>
        <v>731400</v>
      </c>
      <c r="C104" s="96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</row>
    <row r="105" spans="1:73" ht="23.25" customHeight="1" x14ac:dyDescent="0.25">
      <c r="A105" s="492" t="s">
        <v>456</v>
      </c>
      <c r="B105" s="493">
        <f>ROUND((B99)/B$13,-2)</f>
        <v>716800</v>
      </c>
      <c r="C105" s="49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</row>
    <row r="106" spans="1:73" ht="23.25" customHeight="1" x14ac:dyDescent="0.25">
      <c r="A106" s="1079" t="s">
        <v>457</v>
      </c>
      <c r="B106" s="1075"/>
      <c r="C106" s="1080"/>
      <c r="D106" s="215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</row>
    <row r="107" spans="1:73" ht="23.25" hidden="1" customHeight="1" x14ac:dyDescent="0.25">
      <c r="A107" s="248"/>
      <c r="B107" s="99"/>
      <c r="C107" s="9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</row>
    <row r="108" spans="1:73" ht="23.25" customHeight="1" x14ac:dyDescent="0.25">
      <c r="A108" s="253"/>
      <c r="B108" s="80" t="s">
        <v>448</v>
      </c>
      <c r="C108" s="80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</row>
    <row r="109" spans="1:73" ht="23.25" customHeight="1" x14ac:dyDescent="0.25">
      <c r="A109" s="100" t="s">
        <v>458</v>
      </c>
      <c r="B109" s="411">
        <f>(B102+B92)/B92</f>
        <v>1.8667781474141212</v>
      </c>
      <c r="C109" s="10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</row>
    <row r="110" spans="1:73" ht="23.25" customHeight="1" x14ac:dyDescent="0.25">
      <c r="A110" s="102" t="s">
        <v>459</v>
      </c>
      <c r="B110" s="410">
        <f>'Phase I Draw'!B39</f>
        <v>0.20634718503427307</v>
      </c>
      <c r="C110" s="103"/>
      <c r="D110" s="104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</row>
    <row r="111" spans="1:73" ht="23.25" customHeight="1" x14ac:dyDescent="0.25">
      <c r="A111" s="102" t="s">
        <v>460</v>
      </c>
      <c r="B111" s="410">
        <f>'Phase I Draw'!B44</f>
        <v>0.13311013290714868</v>
      </c>
      <c r="C111" s="103"/>
      <c r="D111" s="104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</row>
    <row r="112" spans="1:73" ht="23.25" customHeight="1" x14ac:dyDescent="0.25">
      <c r="A112" s="100" t="s">
        <v>461</v>
      </c>
      <c r="B112" s="106">
        <f>D46/B87</f>
        <v>0.10121945288603783</v>
      </c>
      <c r="C112" s="105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</row>
    <row r="113" spans="1:73" ht="23.25" customHeight="1" x14ac:dyDescent="0.25">
      <c r="A113" s="100" t="s">
        <v>462</v>
      </c>
      <c r="B113" s="106">
        <f>C47</f>
        <v>4.4999999999999998E-2</v>
      </c>
      <c r="C113" s="106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</row>
    <row r="114" spans="1:73" ht="23.2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</row>
    <row r="115" spans="1:73" ht="23.2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</row>
    <row r="116" spans="1:73" ht="23.2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</row>
    <row r="117" spans="1:73" ht="23.2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</row>
    <row r="118" spans="1:73" ht="23.2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</row>
    <row r="119" spans="1:73" ht="23.2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</row>
    <row r="120" spans="1:73" ht="23.2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</row>
    <row r="121" spans="1:73" ht="23.2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</row>
    <row r="122" spans="1:73" ht="23.2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</row>
    <row r="123" spans="1:73" ht="23.2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</row>
    <row r="124" spans="1:73" ht="23.2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</row>
    <row r="125" spans="1:73" ht="23.2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</row>
    <row r="126" spans="1:73" ht="23.2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</row>
    <row r="127" spans="1:73" ht="23.2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</row>
    <row r="128" spans="1:73" ht="23.2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</row>
    <row r="129" spans="1:73" ht="23.2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</row>
    <row r="130" spans="1:73" ht="23.2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</row>
    <row r="131" spans="1:73" ht="23.2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</row>
    <row r="132" spans="1:73" ht="23.2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</row>
    <row r="133" spans="1:73" ht="23.2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</row>
    <row r="134" spans="1:73" ht="23.2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</row>
    <row r="135" spans="1:73" ht="23.2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</row>
    <row r="136" spans="1:73" ht="23.2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</row>
    <row r="137" spans="1:73" ht="23.2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</row>
    <row r="138" spans="1:73" ht="23.2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</row>
    <row r="139" spans="1:73" ht="23.2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ht="23.2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23.2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ht="23.2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ht="23.2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ht="23.2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ht="23.2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ht="23.2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ht="23.2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ht="23.2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ht="23.2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ht="23.2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ht="23.2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ht="23.2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ht="23.2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ht="23.2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ht="23.2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ht="23.2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ht="23.2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ht="23.2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</row>
    <row r="159" spans="1:73" ht="23.2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</row>
    <row r="160" spans="1:73" ht="23.2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</row>
    <row r="161" spans="1:73" ht="23.2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</row>
    <row r="162" spans="1:73" ht="23.2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</row>
    <row r="163" spans="1:73" ht="23.2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</row>
    <row r="164" spans="1:73" ht="23.2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</row>
    <row r="165" spans="1:73" ht="23.2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</row>
    <row r="166" spans="1:73" ht="23.2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</row>
    <row r="167" spans="1:73" ht="23.2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</row>
    <row r="168" spans="1:73" ht="23.2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</row>
    <row r="169" spans="1:73" ht="23.2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</row>
    <row r="170" spans="1:73" ht="23.2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</row>
    <row r="171" spans="1:73" ht="23.2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</row>
    <row r="172" spans="1:73" ht="23.2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</row>
    <row r="173" spans="1:73" ht="23.2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</row>
    <row r="174" spans="1:73" ht="23.2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</row>
    <row r="175" spans="1:73" ht="23.2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</row>
    <row r="176" spans="1:73" ht="23.2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</row>
    <row r="177" spans="1:73" ht="23.2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</row>
    <row r="178" spans="1:73" ht="23.2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</row>
    <row r="179" spans="1:73" ht="23.2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</row>
    <row r="180" spans="1:73" ht="23.2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</row>
    <row r="181" spans="1:73" ht="23.2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</row>
    <row r="182" spans="1:73" ht="23.2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</row>
    <row r="183" spans="1:73" ht="23.2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</row>
    <row r="184" spans="1:73" ht="23.2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</row>
    <row r="185" spans="1:73" ht="23.2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</row>
    <row r="186" spans="1:73" ht="23.2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</row>
    <row r="187" spans="1:73" ht="23.2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</row>
    <row r="188" spans="1:73" ht="23.2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</row>
    <row r="189" spans="1:73" ht="23.2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</row>
    <row r="190" spans="1:73" ht="23.2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</row>
    <row r="191" spans="1:73" ht="23.2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</row>
    <row r="192" spans="1:73" ht="23.2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</row>
    <row r="193" spans="1:73" ht="23.2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</row>
    <row r="194" spans="1:73" ht="23.2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</row>
    <row r="195" spans="1:73" ht="23.2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</row>
    <row r="196" spans="1:73" ht="23.2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</row>
    <row r="197" spans="1:73" ht="23.2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</row>
    <row r="198" spans="1:73" ht="23.2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</row>
    <row r="199" spans="1:73" ht="23.2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</row>
    <row r="200" spans="1:73" ht="23.2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</row>
    <row r="201" spans="1:73" ht="23.2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1:73" ht="23.2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</row>
    <row r="203" spans="1:73" ht="23.2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</row>
    <row r="204" spans="1:73" ht="23.2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</row>
    <row r="205" spans="1:73" ht="23.2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</row>
    <row r="206" spans="1:73" ht="23.2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</row>
    <row r="207" spans="1:73" ht="23.2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</row>
    <row r="208" spans="1:73" ht="23.2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</row>
    <row r="209" spans="1:73" ht="23.2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</row>
    <row r="210" spans="1:73" ht="23.2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</row>
    <row r="211" spans="1:73" ht="23.2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</row>
    <row r="212" spans="1:73" ht="23.2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</row>
    <row r="213" spans="1:73" ht="23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</row>
    <row r="214" spans="1:73" ht="23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</row>
    <row r="215" spans="1:73" ht="23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</row>
    <row r="216" spans="1:73" ht="23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</row>
    <row r="217" spans="1:73" ht="23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</row>
    <row r="218" spans="1:73" ht="23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</row>
    <row r="219" spans="1:73" ht="23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</row>
    <row r="220" spans="1:73" ht="23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</row>
    <row r="221" spans="1:73" ht="23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</row>
    <row r="222" spans="1:73" ht="23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</row>
    <row r="223" spans="1:73" ht="23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</row>
    <row r="224" spans="1:73" ht="23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</row>
    <row r="225" spans="1:73" ht="23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</row>
    <row r="226" spans="1:73" ht="23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</row>
    <row r="227" spans="1:73" ht="23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</row>
    <row r="228" spans="1:73" ht="23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</row>
    <row r="229" spans="1:73" ht="23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</row>
    <row r="230" spans="1:73" ht="23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</row>
    <row r="231" spans="1:73" ht="23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</row>
    <row r="232" spans="1:73" ht="23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</row>
    <row r="233" spans="1:73" ht="23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</row>
    <row r="234" spans="1:73" ht="23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</row>
    <row r="235" spans="1:73" ht="23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</row>
    <row r="236" spans="1:73" ht="23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</row>
    <row r="237" spans="1:73" ht="23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</row>
    <row r="238" spans="1:73" ht="23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</row>
    <row r="239" spans="1:73" ht="23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</row>
    <row r="240" spans="1:73" ht="23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</row>
    <row r="241" spans="1:73" ht="23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</row>
    <row r="242" spans="1:73" ht="23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</row>
    <row r="243" spans="1:73" ht="23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</row>
    <row r="244" spans="1:73" ht="23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</row>
    <row r="245" spans="1:73" ht="23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</row>
    <row r="246" spans="1:73" ht="23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</row>
    <row r="247" spans="1:73" ht="23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</row>
    <row r="248" spans="1:73" ht="23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</row>
    <row r="249" spans="1:73" ht="23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</row>
    <row r="250" spans="1:73" ht="23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</row>
    <row r="251" spans="1:73" ht="23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</row>
    <row r="252" spans="1:73" ht="23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</row>
    <row r="253" spans="1:73" ht="23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</row>
    <row r="254" spans="1:73" ht="23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</row>
    <row r="255" spans="1:73" ht="23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</row>
    <row r="256" spans="1:73" ht="23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</row>
    <row r="257" spans="1:73" ht="23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</row>
    <row r="258" spans="1:73" ht="23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</row>
    <row r="259" spans="1:73" ht="23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</row>
    <row r="260" spans="1:73" ht="23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</row>
    <row r="261" spans="1:73" ht="23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</row>
    <row r="262" spans="1:73" ht="23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</row>
    <row r="263" spans="1:73" ht="23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</row>
    <row r="264" spans="1:73" ht="23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</row>
    <row r="265" spans="1:73" ht="23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</row>
    <row r="266" spans="1:73" ht="23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</row>
    <row r="267" spans="1:73" ht="23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</row>
    <row r="268" spans="1:73" ht="23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</row>
    <row r="269" spans="1:73" ht="23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</row>
    <row r="270" spans="1:73" ht="23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</row>
    <row r="271" spans="1:73" ht="23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</row>
    <row r="272" spans="1:73" ht="23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</row>
    <row r="273" spans="1:73" ht="23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</row>
    <row r="274" spans="1:73" ht="23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</row>
    <row r="275" spans="1:73" ht="23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</row>
    <row r="276" spans="1:73" ht="23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</row>
    <row r="277" spans="1:73" ht="23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</row>
    <row r="278" spans="1:73" ht="23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</row>
    <row r="279" spans="1:73" ht="23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</row>
    <row r="280" spans="1:73" ht="23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</row>
    <row r="281" spans="1:73" ht="23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</row>
    <row r="282" spans="1:73" ht="23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</row>
    <row r="283" spans="1:73" ht="23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</row>
    <row r="284" spans="1:73" ht="23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</row>
    <row r="285" spans="1:73" ht="23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</row>
    <row r="286" spans="1:73" ht="23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</row>
    <row r="287" spans="1:73" ht="23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</row>
    <row r="288" spans="1:73" ht="23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</row>
    <row r="289" spans="1:73" ht="23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</row>
    <row r="290" spans="1:73" ht="23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</row>
    <row r="291" spans="1:73" ht="23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</row>
    <row r="292" spans="1:73" ht="23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</row>
    <row r="293" spans="1:73" ht="23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</row>
    <row r="294" spans="1:73" ht="23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</row>
    <row r="295" spans="1:73" ht="23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</row>
    <row r="296" spans="1:73" ht="23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</row>
    <row r="297" spans="1:73" ht="23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</row>
    <row r="298" spans="1:73" ht="23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</row>
    <row r="299" spans="1:73" ht="23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</row>
    <row r="300" spans="1:73" ht="23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</row>
    <row r="301" spans="1:73" ht="23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</row>
    <row r="302" spans="1:73" ht="23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</row>
    <row r="303" spans="1:73" ht="23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</row>
    <row r="304" spans="1:73" ht="23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</row>
    <row r="305" spans="1:73" ht="23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</row>
    <row r="306" spans="1:73" ht="23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</row>
    <row r="307" spans="1:73" ht="23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</row>
    <row r="308" spans="1:73" ht="23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</row>
    <row r="309" spans="1:73" ht="23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</row>
    <row r="310" spans="1:73" ht="23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</row>
    <row r="311" spans="1:73" ht="23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</row>
    <row r="312" spans="1:73" ht="23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</row>
    <row r="313" spans="1:73" ht="23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</row>
    <row r="314" spans="1:73" ht="23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</row>
    <row r="315" spans="1:73" ht="23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</row>
    <row r="316" spans="1:73" ht="23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</row>
    <row r="317" spans="1:73" ht="23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</row>
    <row r="318" spans="1:73" ht="23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</row>
    <row r="319" spans="1:73" ht="23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</row>
    <row r="320" spans="1:73" ht="23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</row>
    <row r="321" spans="1:73" ht="23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</row>
    <row r="322" spans="1:73" ht="23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</row>
    <row r="323" spans="1:73" ht="23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</row>
    <row r="324" spans="1:73" ht="23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</row>
    <row r="325" spans="1:73" ht="23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</row>
    <row r="326" spans="1:73" ht="23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</row>
    <row r="327" spans="1:73" ht="23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</row>
    <row r="328" spans="1:73" ht="23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</row>
    <row r="329" spans="1:73" ht="23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</row>
    <row r="330" spans="1:73" ht="23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</row>
    <row r="331" spans="1:73" ht="23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</row>
    <row r="332" spans="1:73" ht="23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</row>
    <row r="333" spans="1:73" ht="23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</row>
    <row r="334" spans="1:73" ht="23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</row>
    <row r="335" spans="1:73" ht="23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</row>
    <row r="336" spans="1:73" ht="23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</row>
    <row r="337" spans="1:73" ht="23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</row>
    <row r="338" spans="1:73" ht="23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</row>
    <row r="339" spans="1:73" ht="23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</row>
    <row r="340" spans="1:73" ht="23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</row>
    <row r="341" spans="1:73" ht="23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</row>
    <row r="342" spans="1:73" ht="23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</row>
    <row r="343" spans="1:73" ht="23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</row>
    <row r="344" spans="1:73" ht="23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</row>
    <row r="345" spans="1:73" ht="23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</row>
    <row r="346" spans="1:73" ht="23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</row>
    <row r="347" spans="1:73" ht="23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</row>
    <row r="348" spans="1:73" ht="23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</row>
    <row r="349" spans="1:73" ht="23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</row>
    <row r="350" spans="1:73" ht="23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</row>
    <row r="351" spans="1:73" ht="23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</row>
    <row r="352" spans="1:73" ht="23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</row>
    <row r="353" spans="1:73" ht="23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</row>
    <row r="354" spans="1:73" ht="23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</row>
    <row r="355" spans="1:73" ht="23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</row>
    <row r="356" spans="1:73" ht="23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</row>
    <row r="357" spans="1:73" ht="23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</row>
    <row r="358" spans="1:73" ht="23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</row>
    <row r="359" spans="1:73" ht="23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</row>
    <row r="360" spans="1:73" ht="23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</row>
    <row r="361" spans="1:73" ht="23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</row>
    <row r="362" spans="1:73" ht="23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</row>
    <row r="363" spans="1:73" ht="23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</row>
    <row r="364" spans="1:73" ht="23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</row>
    <row r="365" spans="1:73" ht="23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</row>
    <row r="366" spans="1:73" ht="23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</row>
    <row r="367" spans="1:73" ht="23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</row>
    <row r="368" spans="1:73" ht="23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</row>
    <row r="369" spans="1:73" ht="23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</row>
    <row r="370" spans="1:73" ht="23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</row>
    <row r="371" spans="1:73" ht="23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</row>
    <row r="372" spans="1:73" ht="23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</row>
    <row r="373" spans="1:73" ht="23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</row>
    <row r="374" spans="1:73" ht="23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</row>
    <row r="375" spans="1:73" ht="23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</row>
    <row r="376" spans="1:73" ht="23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</row>
    <row r="377" spans="1:73" ht="23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</row>
    <row r="378" spans="1:73" ht="23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</row>
    <row r="379" spans="1:73" ht="23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</row>
    <row r="380" spans="1:73" ht="23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</row>
    <row r="381" spans="1:73" ht="23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</row>
    <row r="382" spans="1:73" ht="23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</row>
    <row r="383" spans="1:73" ht="23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</row>
    <row r="384" spans="1:73" ht="23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</row>
    <row r="385" spans="1:73" ht="23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</row>
    <row r="386" spans="1:73" ht="23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</row>
    <row r="387" spans="1:73" ht="23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</row>
    <row r="388" spans="1:73" ht="23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</row>
    <row r="389" spans="1:73" ht="23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</row>
    <row r="390" spans="1:73" ht="23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</row>
    <row r="391" spans="1:73" ht="23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</row>
    <row r="392" spans="1:73" ht="23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</row>
    <row r="393" spans="1:73" ht="23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</row>
    <row r="394" spans="1:73" ht="23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</row>
    <row r="395" spans="1:73" ht="23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</row>
    <row r="396" spans="1:73" ht="23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</row>
    <row r="397" spans="1:73" ht="23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</row>
    <row r="398" spans="1:73" ht="23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</row>
    <row r="399" spans="1:73" ht="23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</row>
    <row r="400" spans="1:73" ht="23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</row>
    <row r="401" spans="1:73" ht="23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</row>
    <row r="402" spans="1:73" ht="23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</row>
    <row r="403" spans="1:73" ht="23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</row>
    <row r="404" spans="1:73" ht="23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</row>
    <row r="405" spans="1:73" ht="23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</row>
    <row r="406" spans="1:73" ht="23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</row>
    <row r="407" spans="1:73" ht="23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</row>
    <row r="408" spans="1:73" ht="23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</row>
    <row r="409" spans="1:73" ht="23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</row>
    <row r="410" spans="1:73" ht="23.2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</row>
    <row r="411" spans="1:73" ht="23.2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</row>
    <row r="412" spans="1:73" ht="23.2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</row>
    <row r="413" spans="1:73" ht="23.2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</row>
    <row r="414" spans="1:73" ht="23.2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</row>
    <row r="415" spans="1:73" ht="23.2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</row>
    <row r="416" spans="1:73" ht="23.2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</row>
    <row r="417" spans="1:73" ht="23.2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</row>
    <row r="418" spans="1:73" ht="23.2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</row>
    <row r="419" spans="1:73" ht="23.2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</row>
    <row r="420" spans="1:73" ht="23.2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</row>
    <row r="421" spans="1:73" ht="23.2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</row>
    <row r="422" spans="1:73" ht="23.2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</row>
    <row r="423" spans="1:73" ht="23.2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</row>
    <row r="424" spans="1:73" ht="23.2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</row>
    <row r="425" spans="1:73" ht="23.2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</row>
    <row r="426" spans="1:73" ht="23.2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</row>
    <row r="427" spans="1:73" ht="23.2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</row>
    <row r="428" spans="1:73" ht="23.2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</row>
    <row r="429" spans="1:73" ht="23.2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</row>
    <row r="430" spans="1:73" ht="23.2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</row>
    <row r="431" spans="1:73" ht="23.2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</row>
    <row r="432" spans="1:73" ht="23.2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</row>
    <row r="433" spans="1:73" ht="23.2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</row>
    <row r="434" spans="1:73" ht="23.2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</row>
    <row r="435" spans="1:73" ht="23.2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</row>
    <row r="436" spans="1:73" ht="23.2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</row>
    <row r="437" spans="1:73" ht="23.2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</row>
    <row r="438" spans="1:73" ht="23.2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</row>
    <row r="439" spans="1:73" ht="23.2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</row>
    <row r="440" spans="1:73" ht="23.2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</row>
    <row r="441" spans="1:73" ht="23.2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</row>
    <row r="442" spans="1:73" ht="23.2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</row>
    <row r="443" spans="1:73" ht="23.2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</row>
    <row r="444" spans="1:73" ht="23.2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</row>
    <row r="445" spans="1:73" ht="23.2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</row>
    <row r="446" spans="1:73" ht="23.2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</row>
    <row r="447" spans="1:73" ht="23.2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</row>
    <row r="448" spans="1:73" ht="23.2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</row>
    <row r="449" spans="1:73" ht="23.2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</row>
    <row r="450" spans="1:73" ht="23.2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</row>
    <row r="451" spans="1:73" ht="23.2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</row>
    <row r="452" spans="1:73" ht="23.2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</row>
    <row r="453" spans="1:73" ht="23.2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</row>
    <row r="454" spans="1:73" ht="23.2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</row>
    <row r="455" spans="1:73" ht="23.2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</row>
    <row r="456" spans="1:73" ht="23.2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</row>
    <row r="457" spans="1:73" ht="23.2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</row>
    <row r="458" spans="1:73" ht="23.2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</row>
    <row r="459" spans="1:73" ht="23.2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</row>
    <row r="460" spans="1:73" ht="23.2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</row>
    <row r="461" spans="1:73" ht="23.2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</row>
    <row r="462" spans="1:73" ht="23.2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</row>
    <row r="463" spans="1:73" ht="23.2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</row>
    <row r="464" spans="1:73" ht="23.2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</row>
    <row r="465" spans="1:73" ht="23.2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</row>
    <row r="466" spans="1:73" ht="23.2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</row>
    <row r="467" spans="1:73" ht="23.2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</row>
    <row r="468" spans="1:73" ht="23.2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</row>
    <row r="469" spans="1:73" ht="23.2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</row>
    <row r="470" spans="1:73" ht="23.2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</row>
    <row r="471" spans="1:73" ht="23.2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</row>
    <row r="472" spans="1:73" ht="23.2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</row>
    <row r="473" spans="1:73" ht="23.2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</row>
    <row r="474" spans="1:73" ht="23.2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</row>
    <row r="475" spans="1:73" ht="23.2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</row>
    <row r="476" spans="1:73" ht="23.2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</row>
    <row r="477" spans="1:73" ht="23.2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</row>
    <row r="478" spans="1:73" ht="23.2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</row>
    <row r="479" spans="1:73" ht="23.2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</row>
    <row r="480" spans="1:73" ht="23.2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</row>
    <row r="481" spans="1:73" ht="23.2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</row>
    <row r="482" spans="1:73" ht="23.2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</row>
    <row r="483" spans="1:73" ht="23.2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</row>
    <row r="484" spans="1:73" ht="23.2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</row>
    <row r="485" spans="1:73" ht="23.2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</row>
    <row r="486" spans="1:73" ht="23.2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</row>
    <row r="487" spans="1:73" ht="23.2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</row>
    <row r="488" spans="1:73" ht="23.2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</row>
    <row r="489" spans="1:73" ht="23.2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</row>
    <row r="490" spans="1:73" ht="23.2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</row>
    <row r="491" spans="1:73" ht="23.2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</row>
    <row r="492" spans="1:73" ht="23.2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</row>
    <row r="493" spans="1:73" ht="23.2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</row>
    <row r="494" spans="1:73" ht="23.2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</row>
    <row r="495" spans="1:73" ht="23.2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</row>
    <row r="496" spans="1:73" ht="23.2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</row>
    <row r="497" spans="1:73" ht="23.2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</row>
    <row r="498" spans="1:73" ht="23.2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</row>
    <row r="499" spans="1:73" ht="23.2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</row>
    <row r="500" spans="1:73" ht="23.2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</row>
    <row r="501" spans="1:73" ht="23.2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</row>
    <row r="502" spans="1:73" ht="23.2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</row>
    <row r="503" spans="1:73" ht="23.2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</row>
    <row r="504" spans="1:73" ht="23.2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</row>
    <row r="505" spans="1:73" ht="23.2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</row>
    <row r="506" spans="1:73" ht="23.2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</row>
    <row r="507" spans="1:73" ht="23.2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</row>
    <row r="508" spans="1:73" ht="23.2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</row>
    <row r="509" spans="1:73" ht="23.2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</row>
    <row r="510" spans="1:73" ht="23.2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</row>
    <row r="511" spans="1:73" ht="23.2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</row>
    <row r="512" spans="1:73" ht="23.2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</row>
    <row r="513" spans="1:73" ht="23.2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</row>
    <row r="514" spans="1:73" ht="23.2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</row>
    <row r="515" spans="1:73" ht="23.2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</row>
    <row r="516" spans="1:73" ht="23.2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</row>
    <row r="517" spans="1:73" ht="23.2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</row>
    <row r="518" spans="1:73" ht="23.2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</row>
    <row r="519" spans="1:73" ht="23.2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</row>
    <row r="520" spans="1:73" ht="23.2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</row>
    <row r="521" spans="1:73" ht="23.2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</row>
    <row r="522" spans="1:73" ht="23.2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</row>
    <row r="523" spans="1:73" ht="23.2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</row>
    <row r="524" spans="1:73" ht="23.2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</row>
    <row r="525" spans="1:73" ht="23.2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</row>
    <row r="526" spans="1:73" ht="23.2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</row>
    <row r="527" spans="1:73" ht="23.2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</row>
    <row r="528" spans="1:73" ht="23.2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</row>
    <row r="529" spans="1:73" ht="23.2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</row>
    <row r="530" spans="1:73" ht="23.2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</row>
    <row r="531" spans="1:73" ht="23.2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</row>
    <row r="532" spans="1:73" ht="23.2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</row>
    <row r="533" spans="1:73" ht="23.2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</row>
    <row r="534" spans="1:73" ht="23.2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</row>
    <row r="535" spans="1:73" ht="23.2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</row>
    <row r="536" spans="1:73" ht="23.2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</row>
    <row r="537" spans="1:73" ht="23.2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</row>
    <row r="538" spans="1:73" ht="23.2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</row>
    <row r="539" spans="1:73" ht="23.2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</row>
    <row r="540" spans="1:73" ht="23.2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</row>
    <row r="541" spans="1:73" ht="23.2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</row>
    <row r="542" spans="1:73" ht="23.2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</row>
    <row r="543" spans="1:73" ht="23.2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</row>
    <row r="544" spans="1:73" ht="23.2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</row>
    <row r="545" spans="1:73" ht="23.2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</row>
    <row r="546" spans="1:73" ht="23.2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</row>
    <row r="547" spans="1:73" ht="23.2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</row>
    <row r="548" spans="1:73" ht="23.2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</row>
    <row r="549" spans="1:73" ht="23.2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</row>
    <row r="550" spans="1:73" ht="23.2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</row>
    <row r="551" spans="1:73" ht="23.2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</row>
    <row r="552" spans="1:73" ht="23.2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</row>
    <row r="553" spans="1:73" ht="23.2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</row>
    <row r="554" spans="1:73" ht="23.2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</row>
    <row r="555" spans="1:73" ht="23.2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</row>
    <row r="556" spans="1:73" ht="23.2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</row>
    <row r="557" spans="1:73" ht="23.2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</row>
    <row r="558" spans="1:73" ht="23.2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</row>
    <row r="559" spans="1:73" ht="23.2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</row>
    <row r="560" spans="1:73" ht="23.2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</row>
    <row r="561" spans="1:73" ht="23.2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</row>
    <row r="562" spans="1:73" ht="23.2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</row>
    <row r="563" spans="1:73" ht="23.2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</row>
    <row r="564" spans="1:73" ht="23.2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</row>
    <row r="565" spans="1:73" ht="23.2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</row>
    <row r="566" spans="1:73" ht="23.2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</row>
    <row r="567" spans="1:73" ht="23.2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</row>
    <row r="568" spans="1:73" ht="23.2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</row>
    <row r="569" spans="1:73" ht="23.2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</row>
    <row r="570" spans="1:73" ht="23.2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</row>
    <row r="571" spans="1:73" ht="23.2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</row>
    <row r="572" spans="1:73" ht="23.2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</row>
    <row r="573" spans="1:73" ht="23.2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</row>
    <row r="574" spans="1:73" ht="23.2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</row>
    <row r="575" spans="1:73" ht="23.2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</row>
    <row r="576" spans="1:73" ht="23.2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</row>
    <row r="577" spans="1:73" ht="23.2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</row>
    <row r="578" spans="1:73" ht="23.2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</row>
    <row r="579" spans="1:73" ht="23.2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</row>
    <row r="580" spans="1:73" ht="23.2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</row>
    <row r="581" spans="1:73" ht="23.2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</row>
    <row r="582" spans="1:73" ht="23.2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</row>
    <row r="583" spans="1:73" ht="23.2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</row>
    <row r="584" spans="1:73" ht="23.2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</row>
    <row r="585" spans="1:73" ht="23.2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</row>
    <row r="586" spans="1:73" ht="23.2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</row>
    <row r="587" spans="1:73" ht="23.2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</row>
    <row r="588" spans="1:73" ht="23.2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</row>
    <row r="589" spans="1:73" ht="23.2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</row>
    <row r="590" spans="1:73" ht="23.2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</row>
    <row r="591" spans="1:73" ht="23.2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</row>
    <row r="592" spans="1:73" ht="23.2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</row>
    <row r="593" spans="1:73" ht="23.2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</row>
    <row r="594" spans="1:73" ht="23.2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</row>
    <row r="595" spans="1:73" ht="23.2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</row>
    <row r="596" spans="1:73" ht="23.2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</row>
    <row r="597" spans="1:73" ht="23.2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</row>
    <row r="598" spans="1:73" ht="23.2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</row>
    <row r="599" spans="1:73" ht="23.2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</row>
    <row r="600" spans="1:73" ht="23.2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</row>
    <row r="601" spans="1:73" ht="23.2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</row>
    <row r="602" spans="1:73" ht="23.2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</row>
    <row r="603" spans="1:73" ht="23.2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</row>
    <row r="604" spans="1:73" ht="23.2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</row>
    <row r="605" spans="1:73" ht="23.2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</row>
    <row r="606" spans="1:73" ht="23.2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</row>
    <row r="607" spans="1:73" ht="23.2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</row>
    <row r="608" spans="1:73" ht="23.2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</row>
    <row r="609" spans="1:73" ht="23.2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</row>
    <row r="610" spans="1:73" ht="23.2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</row>
    <row r="611" spans="1:73" ht="23.2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</row>
    <row r="612" spans="1:73" ht="23.2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</row>
    <row r="613" spans="1:73" ht="23.2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</row>
    <row r="614" spans="1:73" ht="23.2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</row>
    <row r="615" spans="1:73" ht="23.2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</row>
    <row r="616" spans="1:73" ht="23.2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</row>
    <row r="617" spans="1:73" ht="23.2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</row>
    <row r="618" spans="1:73" ht="23.2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</row>
    <row r="619" spans="1:73" ht="23.2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</row>
    <row r="620" spans="1:73" ht="23.2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</row>
    <row r="621" spans="1:73" ht="23.2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</row>
    <row r="622" spans="1:73" ht="23.2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</row>
    <row r="623" spans="1:73" ht="23.2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</row>
    <row r="624" spans="1:73" ht="23.2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</row>
    <row r="625" spans="1:73" ht="23.2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</row>
    <row r="626" spans="1:73" ht="23.2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</row>
    <row r="627" spans="1:73" ht="23.2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</row>
    <row r="628" spans="1:73" ht="23.2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</row>
    <row r="629" spans="1:73" ht="23.2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</row>
    <row r="630" spans="1:73" ht="23.2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</row>
    <row r="631" spans="1:73" ht="23.2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</row>
    <row r="632" spans="1:73" ht="23.2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</row>
    <row r="633" spans="1:73" ht="23.2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</row>
    <row r="634" spans="1:73" ht="23.2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</row>
    <row r="635" spans="1:73" ht="23.2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</row>
    <row r="636" spans="1:73" ht="23.2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</row>
    <row r="637" spans="1:73" ht="23.2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</row>
    <row r="638" spans="1:73" ht="23.2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</row>
    <row r="639" spans="1:73" ht="23.2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</row>
    <row r="640" spans="1:73" ht="23.2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</row>
    <row r="641" spans="1:73" ht="23.2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</row>
    <row r="642" spans="1:73" ht="23.2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</row>
    <row r="643" spans="1:73" ht="23.2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</row>
    <row r="644" spans="1:73" ht="23.2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</row>
    <row r="645" spans="1:73" ht="23.2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</row>
    <row r="646" spans="1:73" ht="23.2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</row>
    <row r="647" spans="1:73" ht="23.2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</row>
    <row r="648" spans="1:73" ht="23.2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</row>
    <row r="649" spans="1:73" ht="23.2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</row>
    <row r="650" spans="1:73" ht="23.2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</row>
    <row r="651" spans="1:73" ht="23.2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</row>
    <row r="652" spans="1:73" ht="23.2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</row>
    <row r="653" spans="1:73" ht="23.2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</row>
    <row r="654" spans="1:73" ht="23.2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</row>
    <row r="655" spans="1:73" ht="23.2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</row>
    <row r="656" spans="1:73" ht="23.2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</row>
    <row r="657" spans="1:73" ht="23.2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</row>
    <row r="658" spans="1:73" ht="23.2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</row>
    <row r="659" spans="1:73" ht="23.2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</row>
    <row r="660" spans="1:73" ht="23.2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</row>
    <row r="661" spans="1:73" ht="23.2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</row>
    <row r="662" spans="1:73" ht="23.2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</row>
    <row r="663" spans="1:73" ht="23.2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</row>
    <row r="664" spans="1:73" ht="23.2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</row>
    <row r="665" spans="1:73" ht="23.2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</row>
    <row r="666" spans="1:73" ht="23.2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</row>
    <row r="667" spans="1:73" ht="23.2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</row>
    <row r="668" spans="1:73" ht="23.2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</row>
    <row r="669" spans="1:73" ht="23.2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</row>
    <row r="670" spans="1:73" ht="23.2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</row>
    <row r="671" spans="1:73" ht="23.2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</row>
    <row r="672" spans="1:73" ht="23.2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</row>
    <row r="673" spans="1:73" ht="23.2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</row>
    <row r="674" spans="1:73" ht="23.2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</row>
    <row r="675" spans="1:73" ht="23.2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</row>
    <row r="676" spans="1:73" ht="23.2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</row>
    <row r="677" spans="1:73" ht="23.2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</row>
    <row r="678" spans="1:73" ht="23.2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</row>
    <row r="679" spans="1:73" ht="23.2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</row>
    <row r="680" spans="1:73" ht="23.2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</row>
    <row r="681" spans="1:73" ht="23.2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</row>
    <row r="682" spans="1:73" ht="23.2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</row>
    <row r="683" spans="1:73" ht="23.2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</row>
    <row r="684" spans="1:73" ht="23.2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</row>
    <row r="685" spans="1:73" ht="23.2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</row>
    <row r="686" spans="1:73" ht="23.2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</row>
    <row r="687" spans="1:73" ht="23.2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</row>
    <row r="688" spans="1:73" ht="23.2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</row>
    <row r="689" spans="1:73" ht="23.2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</row>
    <row r="690" spans="1:73" ht="23.2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</row>
    <row r="691" spans="1:73" ht="23.2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</row>
    <row r="692" spans="1:73" ht="23.2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</row>
    <row r="693" spans="1:73" ht="23.2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</row>
    <row r="694" spans="1:73" ht="23.2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</row>
    <row r="695" spans="1:73" ht="23.2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</row>
    <row r="696" spans="1:73" ht="23.2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</row>
    <row r="697" spans="1:73" ht="23.2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</row>
    <row r="698" spans="1:73" ht="23.2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</row>
    <row r="699" spans="1:73" ht="23.2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</row>
    <row r="700" spans="1:73" ht="23.2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</row>
    <row r="701" spans="1:73" ht="23.2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</row>
    <row r="702" spans="1:73" ht="23.2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</row>
    <row r="703" spans="1:73" ht="23.2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</row>
    <row r="704" spans="1:73" ht="23.2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</row>
    <row r="705" spans="1:73" ht="23.2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</row>
    <row r="706" spans="1:73" ht="23.2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</row>
    <row r="707" spans="1:73" ht="23.2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</row>
    <row r="708" spans="1:73" ht="23.2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</row>
    <row r="709" spans="1:73" ht="23.2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</row>
    <row r="710" spans="1:73" ht="23.2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</row>
    <row r="711" spans="1:73" ht="23.2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</row>
    <row r="712" spans="1:73" ht="23.2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</row>
    <row r="713" spans="1:73" ht="23.2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</row>
    <row r="714" spans="1:73" ht="23.2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</row>
    <row r="715" spans="1:73" ht="23.2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</row>
    <row r="716" spans="1:73" ht="23.2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</row>
    <row r="717" spans="1:73" ht="23.2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</row>
    <row r="718" spans="1:73" ht="23.2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</row>
    <row r="719" spans="1:73" ht="23.2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</row>
    <row r="720" spans="1:73" ht="23.2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</row>
    <row r="721" spans="1:73" ht="23.2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</row>
    <row r="722" spans="1:73" ht="23.2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</row>
    <row r="723" spans="1:73" ht="23.2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</row>
    <row r="724" spans="1:73" ht="23.2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</row>
    <row r="725" spans="1:73" ht="23.2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</row>
    <row r="726" spans="1:73" ht="23.2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</row>
    <row r="727" spans="1:73" ht="23.2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</row>
    <row r="728" spans="1:73" ht="23.2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</row>
    <row r="729" spans="1:73" ht="23.2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</row>
    <row r="730" spans="1:73" ht="23.2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</row>
    <row r="731" spans="1:73" ht="23.2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</row>
    <row r="732" spans="1:73" ht="23.2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</row>
    <row r="733" spans="1:73" ht="23.2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</row>
    <row r="734" spans="1:73" ht="23.2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</row>
    <row r="735" spans="1:73" ht="23.2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</row>
    <row r="736" spans="1:73" ht="23.2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</row>
    <row r="737" spans="1:73" ht="23.2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</row>
    <row r="738" spans="1:73" ht="23.2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</row>
    <row r="739" spans="1:73" ht="23.2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</row>
    <row r="740" spans="1:73" ht="23.2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</row>
    <row r="741" spans="1:73" ht="23.2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</row>
    <row r="742" spans="1:73" ht="23.2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</row>
    <row r="743" spans="1:73" ht="23.2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</row>
    <row r="744" spans="1:73" ht="23.2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</row>
    <row r="745" spans="1:73" ht="23.2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</row>
    <row r="746" spans="1:73" ht="23.2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</row>
    <row r="747" spans="1:73" ht="23.2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</row>
    <row r="748" spans="1:73" ht="23.2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</row>
    <row r="749" spans="1:73" ht="23.2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</row>
    <row r="750" spans="1:73" ht="23.2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</row>
    <row r="751" spans="1:73" ht="23.2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</row>
    <row r="752" spans="1:73" ht="23.2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</row>
    <row r="753" spans="1:73" ht="23.2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</row>
    <row r="754" spans="1:73" ht="23.2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</row>
    <row r="755" spans="1:73" ht="23.2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</row>
    <row r="756" spans="1:73" ht="23.2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</row>
    <row r="757" spans="1:73" ht="23.2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</row>
    <row r="758" spans="1:73" ht="23.2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</row>
    <row r="759" spans="1:73" ht="23.2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</row>
    <row r="760" spans="1:73" ht="23.2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</row>
    <row r="761" spans="1:73" ht="23.2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</row>
    <row r="762" spans="1:73" ht="23.2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</row>
    <row r="763" spans="1:73" ht="23.2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</row>
    <row r="764" spans="1:73" ht="23.2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</row>
    <row r="765" spans="1:73" ht="23.2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</row>
    <row r="766" spans="1:73" ht="23.2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</row>
    <row r="767" spans="1:73" ht="23.2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</row>
    <row r="768" spans="1:73" ht="23.2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</row>
    <row r="769" spans="1:73" ht="23.2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</row>
    <row r="770" spans="1:73" ht="23.2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</row>
    <row r="771" spans="1:73" ht="23.2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</row>
    <row r="772" spans="1:73" ht="23.2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</row>
    <row r="773" spans="1:73" ht="23.2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</row>
    <row r="774" spans="1:73" ht="23.2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</row>
    <row r="775" spans="1:73" ht="23.2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</row>
    <row r="776" spans="1:73" ht="23.2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</row>
    <row r="777" spans="1:73" ht="23.2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</row>
    <row r="778" spans="1:73" ht="23.2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</row>
    <row r="779" spans="1:73" ht="23.2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</row>
    <row r="780" spans="1:73" ht="23.2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</row>
    <row r="781" spans="1:73" ht="23.2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</row>
    <row r="782" spans="1:73" ht="23.2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</row>
    <row r="783" spans="1:73" ht="23.2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</row>
    <row r="784" spans="1:73" ht="23.2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</row>
    <row r="785" spans="1:73" ht="23.2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</row>
    <row r="786" spans="1:73" ht="23.2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</row>
    <row r="787" spans="1:73" ht="23.2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</row>
    <row r="788" spans="1:73" ht="23.2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</row>
    <row r="789" spans="1:73" ht="23.2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</row>
    <row r="790" spans="1:73" ht="23.2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</row>
    <row r="791" spans="1:73" ht="23.2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</row>
    <row r="792" spans="1:73" ht="23.2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</row>
    <row r="793" spans="1:73" ht="23.2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</row>
    <row r="794" spans="1:73" ht="23.2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</row>
    <row r="795" spans="1:73" ht="23.2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</row>
    <row r="796" spans="1:73" ht="23.2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</row>
    <row r="797" spans="1:73" ht="23.2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</row>
    <row r="798" spans="1:73" ht="23.2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</row>
    <row r="799" spans="1:73" ht="23.2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</row>
    <row r="800" spans="1:73" ht="23.2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</row>
    <row r="801" spans="1:73" ht="23.2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</row>
    <row r="802" spans="1:73" ht="23.2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</row>
    <row r="803" spans="1:73" ht="23.2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</row>
    <row r="804" spans="1:73" ht="23.2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</row>
    <row r="805" spans="1:73" ht="23.2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</row>
    <row r="806" spans="1:73" ht="23.2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</row>
    <row r="807" spans="1:73" ht="23.2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</row>
    <row r="808" spans="1:73" ht="23.2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</row>
    <row r="809" spans="1:73" ht="23.2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</row>
    <row r="810" spans="1:73" ht="23.2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</row>
    <row r="811" spans="1:73" ht="23.2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</row>
    <row r="812" spans="1:73" ht="23.2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</row>
    <row r="813" spans="1:73" ht="23.2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</row>
    <row r="814" spans="1:73" ht="23.2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</row>
    <row r="815" spans="1:73" ht="23.2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</row>
    <row r="816" spans="1:73" ht="23.2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</row>
    <row r="817" spans="1:73" ht="23.2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</row>
    <row r="818" spans="1:73" ht="23.2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</row>
    <row r="819" spans="1:73" ht="23.2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</row>
    <row r="820" spans="1:73" ht="23.2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</row>
    <row r="821" spans="1:73" ht="23.2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</row>
    <row r="822" spans="1:73" ht="23.2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</row>
    <row r="823" spans="1:73" ht="23.2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</row>
    <row r="824" spans="1:73" ht="23.2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</row>
    <row r="825" spans="1:73" ht="23.2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</row>
    <row r="826" spans="1:73" ht="23.2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</row>
    <row r="827" spans="1:73" ht="23.2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</row>
    <row r="828" spans="1:73" ht="23.2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</row>
    <row r="829" spans="1:73" ht="23.2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</row>
    <row r="830" spans="1:73" ht="23.2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</row>
    <row r="831" spans="1:73" ht="23.2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</row>
    <row r="832" spans="1:73" ht="23.2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</row>
    <row r="833" spans="1:73" ht="23.2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</row>
    <row r="834" spans="1:73" ht="23.2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</row>
    <row r="835" spans="1:73" ht="23.2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</row>
    <row r="836" spans="1:73" ht="23.2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</row>
    <row r="837" spans="1:73" ht="23.2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</row>
    <row r="838" spans="1:73" ht="23.2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</row>
    <row r="839" spans="1:73" ht="23.2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</row>
    <row r="840" spans="1:73" ht="23.2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</row>
    <row r="841" spans="1:73" ht="23.2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</row>
    <row r="842" spans="1:73" ht="23.2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</row>
    <row r="843" spans="1:73" ht="23.2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</row>
    <row r="844" spans="1:73" ht="23.2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</row>
    <row r="845" spans="1:73" ht="23.2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</row>
    <row r="846" spans="1:73" ht="23.2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</row>
    <row r="847" spans="1:73" ht="23.2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</row>
    <row r="848" spans="1:73" ht="23.2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</row>
    <row r="849" spans="1:73" ht="23.2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</row>
    <row r="850" spans="1:73" ht="23.2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</row>
    <row r="851" spans="1:73" ht="23.2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</row>
    <row r="852" spans="1:73" ht="23.2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</row>
    <row r="853" spans="1:73" ht="23.2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</row>
    <row r="854" spans="1:73" ht="23.2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</row>
    <row r="855" spans="1:73" ht="23.2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</row>
    <row r="856" spans="1:73" ht="23.2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</row>
    <row r="857" spans="1:73" ht="23.2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</row>
    <row r="858" spans="1:73" ht="23.2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</row>
    <row r="859" spans="1:73" ht="23.2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</row>
    <row r="860" spans="1:73" ht="23.2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</row>
    <row r="861" spans="1:73" ht="23.2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</row>
    <row r="862" spans="1:73" ht="23.2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</row>
    <row r="863" spans="1:73" ht="23.2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</row>
    <row r="864" spans="1:73" ht="23.2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</row>
    <row r="865" spans="1:73" ht="23.2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</row>
    <row r="866" spans="1:73" ht="23.2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</row>
    <row r="867" spans="1:73" ht="23.2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</row>
    <row r="868" spans="1:73" ht="23.2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</row>
    <row r="869" spans="1:73" ht="23.2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</row>
    <row r="870" spans="1:73" ht="23.2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</row>
    <row r="871" spans="1:73" ht="23.2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</row>
    <row r="872" spans="1:73" ht="23.2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</row>
    <row r="873" spans="1:73" ht="23.2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</row>
    <row r="874" spans="1:73" ht="23.2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</row>
    <row r="875" spans="1:73" ht="23.2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</row>
    <row r="876" spans="1:73" ht="23.2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</row>
    <row r="877" spans="1:73" ht="23.2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</row>
    <row r="878" spans="1:73" ht="23.2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</row>
    <row r="879" spans="1:73" ht="23.2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</row>
    <row r="880" spans="1:73" ht="23.2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</row>
    <row r="881" spans="1:73" ht="23.2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</row>
    <row r="882" spans="1:73" ht="23.2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</row>
    <row r="883" spans="1:73" ht="23.2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</row>
    <row r="884" spans="1:73" ht="23.2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</row>
    <row r="885" spans="1:73" ht="23.2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</row>
    <row r="886" spans="1:73" ht="23.2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</row>
    <row r="887" spans="1:73" ht="23.2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</row>
    <row r="888" spans="1:73" ht="23.2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</row>
    <row r="889" spans="1:73" ht="23.2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</row>
    <row r="890" spans="1:73" ht="23.2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</row>
    <row r="891" spans="1:73" ht="23.2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</row>
    <row r="892" spans="1:73" ht="23.2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</row>
    <row r="893" spans="1:73" ht="23.2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</row>
    <row r="894" spans="1:73" ht="23.2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</row>
    <row r="895" spans="1:73" ht="23.2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</row>
    <row r="896" spans="1:73" ht="23.2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</row>
    <row r="897" spans="1:73" ht="23.2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</row>
    <row r="898" spans="1:73" ht="23.2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</row>
    <row r="899" spans="1:73" ht="23.2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</row>
    <row r="900" spans="1:73" ht="23.2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</row>
    <row r="901" spans="1:73" ht="23.2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</row>
    <row r="902" spans="1:73" ht="23.2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</row>
    <row r="903" spans="1:73" ht="23.2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</row>
    <row r="904" spans="1:73" ht="23.2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</row>
    <row r="905" spans="1:73" ht="23.2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</row>
    <row r="906" spans="1:73" ht="23.2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</row>
    <row r="907" spans="1:73" ht="23.2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</row>
    <row r="908" spans="1:73" ht="23.2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</row>
    <row r="909" spans="1:73" ht="23.2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</row>
    <row r="910" spans="1:73" ht="23.2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</row>
    <row r="911" spans="1:73" ht="23.2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</row>
    <row r="912" spans="1:73" ht="23.2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</row>
    <row r="913" spans="1:73" ht="23.2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</row>
    <row r="914" spans="1:73" ht="23.2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</row>
    <row r="915" spans="1:73" ht="23.2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</row>
    <row r="916" spans="1:73" ht="23.2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</row>
    <row r="917" spans="1:73" ht="23.2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</row>
    <row r="918" spans="1:73" ht="23.2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</row>
    <row r="919" spans="1:73" ht="23.2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</row>
    <row r="920" spans="1:73" ht="23.2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</row>
    <row r="921" spans="1:73" ht="23.2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</row>
    <row r="922" spans="1:73" ht="23.2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</row>
    <row r="923" spans="1:73" ht="23.2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</row>
    <row r="924" spans="1:73" ht="23.2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</row>
    <row r="925" spans="1:73" ht="23.2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</row>
    <row r="926" spans="1:73" ht="23.2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</row>
    <row r="927" spans="1:73" ht="23.2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</row>
    <row r="928" spans="1:73" ht="23.2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</row>
    <row r="929" spans="1:73" ht="23.2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</row>
    <row r="930" spans="1:73" ht="23.2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</row>
    <row r="931" spans="1:73" ht="23.2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</row>
    <row r="932" spans="1:73" ht="23.2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</row>
    <row r="933" spans="1:73" ht="23.2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</row>
    <row r="934" spans="1:73" ht="23.2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</row>
    <row r="935" spans="1:73" ht="23.2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</row>
    <row r="936" spans="1:73" ht="23.2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</row>
    <row r="937" spans="1:73" ht="23.2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</row>
    <row r="938" spans="1:73" ht="23.2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</row>
    <row r="939" spans="1:73" ht="23.2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</row>
    <row r="940" spans="1:73" ht="23.2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</row>
    <row r="941" spans="1:73" ht="23.2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</row>
    <row r="942" spans="1:73" ht="23.2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</row>
    <row r="943" spans="1:73" ht="23.2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</row>
    <row r="944" spans="1:73" ht="23.2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</row>
    <row r="945" spans="1:73" ht="23.2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</row>
    <row r="946" spans="1:73" ht="23.2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</row>
    <row r="947" spans="1:73" ht="23.2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</row>
    <row r="948" spans="1:73" ht="23.2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</row>
    <row r="949" spans="1:73" ht="23.2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</row>
    <row r="950" spans="1:73" ht="23.2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</row>
    <row r="951" spans="1:73" ht="23.2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</row>
    <row r="952" spans="1:73" ht="23.2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</row>
    <row r="953" spans="1:73" ht="23.2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</row>
    <row r="954" spans="1:73" ht="23.2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</row>
    <row r="955" spans="1:73" ht="23.2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</row>
    <row r="956" spans="1:73" ht="23.2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</row>
    <row r="957" spans="1:73" ht="23.2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</row>
    <row r="958" spans="1:73" ht="23.2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</row>
    <row r="959" spans="1:73" ht="23.2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</row>
    <row r="960" spans="1:73" ht="23.2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</row>
    <row r="961" spans="1:73" ht="23.2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</row>
    <row r="962" spans="1:73" ht="23.2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</row>
    <row r="963" spans="1:73" ht="23.2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</row>
    <row r="964" spans="1:73" ht="23.2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</row>
    <row r="965" spans="1:73" ht="23.2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</row>
    <row r="966" spans="1:73" ht="23.2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</row>
    <row r="967" spans="1:73" ht="23.2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</row>
    <row r="968" spans="1:73" ht="23.2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</row>
    <row r="969" spans="1:73" ht="23.2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</row>
    <row r="970" spans="1:73" ht="23.2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</row>
    <row r="971" spans="1:73" ht="23.2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</row>
    <row r="972" spans="1:73" ht="23.2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</row>
    <row r="973" spans="1:73" ht="23.2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</row>
    <row r="974" spans="1:73" ht="23.2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</row>
    <row r="975" spans="1:73" ht="23.2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</row>
    <row r="976" spans="1:73" ht="23.2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</row>
    <row r="977" spans="1:73" ht="23.2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</row>
    <row r="978" spans="1:73" ht="23.2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</row>
    <row r="979" spans="1:73" ht="23.2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</row>
    <row r="980" spans="1:73" ht="23.2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</row>
    <row r="981" spans="1:73" ht="23.2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</row>
    <row r="982" spans="1:73" ht="23.2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</row>
    <row r="983" spans="1:73" ht="23.2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</row>
    <row r="984" spans="1:73" ht="23.2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</row>
    <row r="985" spans="1:73" ht="23.2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</row>
    <row r="986" spans="1:73" ht="23.2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</row>
    <row r="987" spans="1:73" ht="23.2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</row>
    <row r="988" spans="1:73" ht="23.2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</row>
    <row r="989" spans="1:73" ht="23.2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</row>
    <row r="990" spans="1:73" ht="23.2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</row>
    <row r="991" spans="1:73" ht="23.2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</row>
    <row r="992" spans="1:73" ht="23.2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</row>
    <row r="993" spans="1:73" ht="23.2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</row>
    <row r="994" spans="1:73" ht="23.2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</row>
    <row r="995" spans="1:73" ht="23.2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</row>
    <row r="996" spans="1:73" ht="23.2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</row>
    <row r="997" spans="1:73" ht="23.2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</row>
    <row r="998" spans="1:73" ht="23.2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</row>
    <row r="999" spans="1:73" ht="23.2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</row>
    <row r="1000" spans="1:73" ht="23.2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</row>
    <row r="1001" spans="1:73" ht="23.2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</row>
    <row r="1002" spans="1:73" ht="23.2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</row>
    <row r="1003" spans="1:73" ht="23.2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</row>
    <row r="1004" spans="1:73" ht="23.2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</row>
    <row r="1005" spans="1:73" ht="23.2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</row>
    <row r="1006" spans="1:73" ht="23.2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</row>
    <row r="1007" spans="1:73" ht="23.2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</row>
    <row r="1008" spans="1:73" ht="23.2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</row>
    <row r="1009" spans="1:73" ht="23.2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</row>
    <row r="1010" spans="1:73" ht="23.25" customHeigh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</row>
    <row r="1011" spans="1:73" ht="23.25" customHeight="1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</row>
    <row r="1012" spans="1:73" ht="23.25" customHeight="1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</row>
    <row r="1013" spans="1:73" ht="23.25" customHeight="1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</row>
    <row r="1014" spans="1:73" ht="23.25" customHeight="1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</row>
    <row r="1015" spans="1:73" ht="23.25" customHeight="1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</row>
  </sheetData>
  <mergeCells count="15">
    <mergeCell ref="A95:B95"/>
    <mergeCell ref="A103:C103"/>
    <mergeCell ref="A106:C106"/>
    <mergeCell ref="A2:C2"/>
    <mergeCell ref="D2:E2"/>
    <mergeCell ref="A31:B31"/>
    <mergeCell ref="B34:C34"/>
    <mergeCell ref="B35:C35"/>
    <mergeCell ref="B41:C41"/>
    <mergeCell ref="B42:C42"/>
    <mergeCell ref="A48:B48"/>
    <mergeCell ref="C48:D48"/>
    <mergeCell ref="E74:F74"/>
    <mergeCell ref="E75:F75"/>
    <mergeCell ref="A83:B83"/>
  </mergeCells>
  <printOptions horizontalCentered="1" verticalCentered="1"/>
  <pageMargins left="0.7" right="0.7" top="0.75" bottom="0.75" header="0" footer="0"/>
  <pageSetup fitToHeight="0" orientation="landscape" r:id="rId1"/>
  <headerFooter>
    <oddHeader>&amp;C000000INVESTOR SHEET</oddHeader>
    <oddFooter>&amp;CPage &amp;P of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BR1004"/>
  <sheetViews>
    <sheetView workbookViewId="0">
      <pane xSplit="1" ySplit="3" topLeftCell="AU4" activePane="bottomRight" state="frozen"/>
      <selection pane="topRight" activeCell="B1" sqref="B1"/>
      <selection pane="bottomLeft" activeCell="A4" sqref="A4"/>
      <selection pane="bottomRight" activeCell="B36" sqref="B36"/>
    </sheetView>
  </sheetViews>
  <sheetFormatPr defaultColWidth="14.42578125" defaultRowHeight="15" customHeight="1" x14ac:dyDescent="0.25"/>
  <cols>
    <col min="1" max="1" width="45.5703125" customWidth="1"/>
    <col min="2" max="2" width="21.42578125" customWidth="1"/>
    <col min="3" max="3" width="17.140625" customWidth="1"/>
    <col min="4" max="4" width="15" customWidth="1"/>
    <col min="5" max="5" width="17.140625" customWidth="1"/>
    <col min="6" max="6" width="16" customWidth="1"/>
    <col min="7" max="7" width="14.42578125" customWidth="1"/>
    <col min="8" max="8" width="19" customWidth="1"/>
    <col min="9" max="9" width="18.5703125" customWidth="1"/>
    <col min="10" max="10" width="17.7109375" customWidth="1"/>
    <col min="11" max="11" width="16.7109375" customWidth="1"/>
    <col min="12" max="12" width="18.42578125" customWidth="1"/>
    <col min="13" max="13" width="17.7109375" customWidth="1"/>
    <col min="14" max="14" width="15.42578125" customWidth="1"/>
    <col min="15" max="15" width="16.140625" customWidth="1"/>
    <col min="16" max="16" width="15.42578125" customWidth="1"/>
    <col min="17" max="17" width="13.85546875" customWidth="1"/>
    <col min="18" max="19" width="14" customWidth="1"/>
    <col min="20" max="20" width="16" customWidth="1"/>
    <col min="21" max="23" width="14.42578125" customWidth="1"/>
    <col min="24" max="24" width="16.140625" customWidth="1"/>
    <col min="25" max="42" width="14.42578125" customWidth="1"/>
    <col min="43" max="43" width="12.5703125" customWidth="1"/>
    <col min="44" max="44" width="17" customWidth="1"/>
    <col min="45" max="45" width="16.42578125" customWidth="1"/>
    <col min="46" max="46" width="13.42578125" customWidth="1"/>
    <col min="47" max="47" width="15" customWidth="1"/>
    <col min="48" max="48" width="17.5703125" customWidth="1"/>
    <col min="49" max="70" width="17" customWidth="1"/>
  </cols>
  <sheetData>
    <row r="1" spans="1:70" ht="14.25" customHeight="1" x14ac:dyDescent="0.25">
      <c r="A1" s="1099" t="s">
        <v>463</v>
      </c>
      <c r="B1" s="107" t="s">
        <v>464</v>
      </c>
      <c r="C1" s="108" t="s">
        <v>465</v>
      </c>
      <c r="D1" s="108" t="s">
        <v>285</v>
      </c>
      <c r="E1" s="108" t="s">
        <v>286</v>
      </c>
      <c r="F1" s="108" t="s">
        <v>466</v>
      </c>
      <c r="G1" s="7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</row>
    <row r="2" spans="1:70" ht="14.25" customHeight="1" x14ac:dyDescent="0.25">
      <c r="A2" s="1100"/>
      <c r="B2" s="109" t="s">
        <v>467</v>
      </c>
      <c r="C2" s="110" t="str">
        <f>Assumptions!H86</f>
        <v>1/1/24 to 12/31/25</v>
      </c>
      <c r="D2" s="111" t="str">
        <f>Assumptions!H87</f>
        <v>1/1/26 to 6/30/26</v>
      </c>
      <c r="E2" s="110" t="str">
        <f>Assumptions!H88</f>
        <v>7/1/26 to 6/30/29</v>
      </c>
      <c r="F2" s="112" t="str">
        <f>Assumptions!H89</f>
        <v>7/1/29 to 12/31/29</v>
      </c>
      <c r="G2" s="2"/>
      <c r="J2" s="361" t="s">
        <v>468</v>
      </c>
      <c r="K2" s="113" t="s">
        <v>469</v>
      </c>
      <c r="L2" s="113" t="s">
        <v>470</v>
      </c>
      <c r="M2" s="113" t="s">
        <v>471</v>
      </c>
      <c r="N2" s="2"/>
      <c r="O2" s="2"/>
      <c r="P2" s="2"/>
      <c r="Q2" s="2"/>
      <c r="R2" s="2"/>
      <c r="S2" s="2"/>
      <c r="W2" s="115"/>
      <c r="X2" s="113" t="s">
        <v>472</v>
      </c>
      <c r="Y2" s="114" t="s">
        <v>473</v>
      </c>
      <c r="Z2" s="114" t="s">
        <v>474</v>
      </c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2"/>
      <c r="AR2" s="2"/>
      <c r="AS2" s="2"/>
      <c r="AT2" s="2"/>
      <c r="AU2" s="2"/>
      <c r="AV2" s="1102" t="s">
        <v>475</v>
      </c>
      <c r="AW2" s="1103"/>
      <c r="AX2" s="1103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</row>
    <row r="3" spans="1:70" ht="14.25" customHeight="1" x14ac:dyDescent="0.25">
      <c r="A3" s="1101"/>
      <c r="B3" s="116" t="s">
        <v>476</v>
      </c>
      <c r="C3" s="254">
        <v>45292</v>
      </c>
      <c r="D3" s="255">
        <f t="shared" ref="D3:AU3" si="0">EOMONTH(C3,3)</f>
        <v>45412</v>
      </c>
      <c r="E3" s="255">
        <f t="shared" si="0"/>
        <v>45504</v>
      </c>
      <c r="F3" s="256">
        <f t="shared" si="0"/>
        <v>45596</v>
      </c>
      <c r="G3" s="117">
        <f t="shared" si="0"/>
        <v>45688</v>
      </c>
      <c r="H3" s="117">
        <f t="shared" si="0"/>
        <v>45777</v>
      </c>
      <c r="I3" s="117">
        <f t="shared" si="0"/>
        <v>45869</v>
      </c>
      <c r="J3" s="117">
        <f t="shared" si="0"/>
        <v>45961</v>
      </c>
      <c r="K3" s="117">
        <f t="shared" si="0"/>
        <v>46053</v>
      </c>
      <c r="L3" s="117">
        <f t="shared" si="0"/>
        <v>46142</v>
      </c>
      <c r="M3" s="117">
        <f t="shared" si="0"/>
        <v>46234</v>
      </c>
      <c r="N3" s="117">
        <f t="shared" si="0"/>
        <v>46326</v>
      </c>
      <c r="O3" s="117">
        <f t="shared" si="0"/>
        <v>46418</v>
      </c>
      <c r="P3" s="117">
        <f t="shared" si="0"/>
        <v>46507</v>
      </c>
      <c r="Q3" s="117">
        <f t="shared" si="0"/>
        <v>46599</v>
      </c>
      <c r="R3" s="117">
        <f t="shared" si="0"/>
        <v>46691</v>
      </c>
      <c r="S3" s="117">
        <f t="shared" si="0"/>
        <v>46783</v>
      </c>
      <c r="T3" s="117">
        <f t="shared" si="0"/>
        <v>46873</v>
      </c>
      <c r="U3" s="117">
        <f t="shared" si="0"/>
        <v>46965</v>
      </c>
      <c r="V3" s="117">
        <f t="shared" si="0"/>
        <v>47057</v>
      </c>
      <c r="W3" s="118">
        <f t="shared" si="0"/>
        <v>47149</v>
      </c>
      <c r="X3" s="117">
        <f t="shared" si="0"/>
        <v>47238</v>
      </c>
      <c r="Y3" s="117">
        <f t="shared" si="0"/>
        <v>47330</v>
      </c>
      <c r="Z3" s="117">
        <f t="shared" si="0"/>
        <v>47422</v>
      </c>
      <c r="AA3" s="117">
        <f t="shared" si="0"/>
        <v>47514</v>
      </c>
      <c r="AB3" s="117">
        <f t="shared" si="0"/>
        <v>47603</v>
      </c>
      <c r="AC3" s="117">
        <f t="shared" si="0"/>
        <v>47695</v>
      </c>
      <c r="AD3" s="117">
        <f t="shared" si="0"/>
        <v>47787</v>
      </c>
      <c r="AE3" s="117">
        <f t="shared" si="0"/>
        <v>47879</v>
      </c>
      <c r="AF3" s="117">
        <f t="shared" si="0"/>
        <v>47968</v>
      </c>
      <c r="AG3" s="117">
        <f t="shared" si="0"/>
        <v>48060</v>
      </c>
      <c r="AH3" s="117">
        <f t="shared" si="0"/>
        <v>48152</v>
      </c>
      <c r="AI3" s="117">
        <f t="shared" si="0"/>
        <v>48244</v>
      </c>
      <c r="AJ3" s="117">
        <f t="shared" si="0"/>
        <v>48334</v>
      </c>
      <c r="AK3" s="117">
        <f t="shared" si="0"/>
        <v>48426</v>
      </c>
      <c r="AL3" s="117">
        <f t="shared" si="0"/>
        <v>48518</v>
      </c>
      <c r="AM3" s="117">
        <f t="shared" si="0"/>
        <v>48610</v>
      </c>
      <c r="AN3" s="117">
        <f t="shared" si="0"/>
        <v>48699</v>
      </c>
      <c r="AO3" s="117">
        <f t="shared" si="0"/>
        <v>48791</v>
      </c>
      <c r="AP3" s="117">
        <f t="shared" si="0"/>
        <v>48883</v>
      </c>
      <c r="AQ3" s="117">
        <f t="shared" si="0"/>
        <v>48975</v>
      </c>
      <c r="AR3" s="117">
        <f t="shared" si="0"/>
        <v>49064</v>
      </c>
      <c r="AS3" s="117">
        <f t="shared" si="0"/>
        <v>49156</v>
      </c>
      <c r="AT3" s="117">
        <f t="shared" si="0"/>
        <v>49248</v>
      </c>
      <c r="AU3" s="117">
        <f t="shared" si="0"/>
        <v>49340</v>
      </c>
      <c r="AV3" s="119" t="s">
        <v>477</v>
      </c>
      <c r="AW3" s="120" t="s">
        <v>478</v>
      </c>
      <c r="AX3" s="119"/>
    </row>
    <row r="4" spans="1:70" ht="14.25" customHeight="1" x14ac:dyDescent="0.25">
      <c r="A4" s="121" t="s">
        <v>479</v>
      </c>
      <c r="B4" s="257">
        <f>SUM(C4:Z4)</f>
        <v>1</v>
      </c>
      <c r="C4" s="122">
        <v>0</v>
      </c>
      <c r="D4" s="122">
        <v>0</v>
      </c>
      <c r="E4" s="122">
        <v>0</v>
      </c>
      <c r="F4" s="122">
        <f t="shared" ref="F4:G4" si="1">E4</f>
        <v>0</v>
      </c>
      <c r="G4" s="123">
        <f t="shared" si="1"/>
        <v>0</v>
      </c>
      <c r="H4" s="123">
        <v>0</v>
      </c>
      <c r="I4" s="123">
        <v>0</v>
      </c>
      <c r="J4" s="123">
        <v>0</v>
      </c>
      <c r="K4" s="123">
        <v>0.05</v>
      </c>
      <c r="L4" s="123">
        <v>0.05</v>
      </c>
      <c r="M4" s="123">
        <v>0.05</v>
      </c>
      <c r="N4" s="123">
        <v>0.05</v>
      </c>
      <c r="O4" s="123">
        <v>0.05</v>
      </c>
      <c r="P4" s="123">
        <v>0.1</v>
      </c>
      <c r="Q4" s="123">
        <v>0.1</v>
      </c>
      <c r="R4" s="123">
        <v>0.1</v>
      </c>
      <c r="S4" s="123">
        <v>0.1</v>
      </c>
      <c r="T4" s="123">
        <v>0.1</v>
      </c>
      <c r="U4" s="123">
        <v>0.1</v>
      </c>
      <c r="V4" s="123">
        <v>0.05</v>
      </c>
      <c r="W4" s="123">
        <v>0.05</v>
      </c>
      <c r="X4" s="123">
        <v>0.05</v>
      </c>
      <c r="Y4" s="123">
        <v>0</v>
      </c>
      <c r="Z4" s="123">
        <v>0</v>
      </c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4">
        <f t="shared" ref="AV4:AV8" si="2">SUM(C4:AU4)</f>
        <v>1</v>
      </c>
      <c r="AW4" s="125"/>
      <c r="AX4" s="258" t="s">
        <v>480</v>
      </c>
    </row>
    <row r="5" spans="1:70" ht="14.25" customHeight="1" x14ac:dyDescent="0.25">
      <c r="A5" s="259" t="str">
        <f>'Phase I Financial'!A50</f>
        <v>Hard Costs for Bldg. Construction</v>
      </c>
      <c r="B5" s="126">
        <f>'Phase I Financial'!C50</f>
        <v>179668125</v>
      </c>
      <c r="C5" s="127">
        <f t="shared" ref="C5:U5" si="3">$B$5*C4</f>
        <v>0</v>
      </c>
      <c r="D5" s="127">
        <f t="shared" si="3"/>
        <v>0</v>
      </c>
      <c r="E5" s="127">
        <f t="shared" si="3"/>
        <v>0</v>
      </c>
      <c r="F5" s="127">
        <f t="shared" si="3"/>
        <v>0</v>
      </c>
      <c r="G5" s="127">
        <f t="shared" si="3"/>
        <v>0</v>
      </c>
      <c r="H5" s="127">
        <f t="shared" si="3"/>
        <v>0</v>
      </c>
      <c r="I5" s="127">
        <f t="shared" si="3"/>
        <v>0</v>
      </c>
      <c r="J5" s="127">
        <f t="shared" si="3"/>
        <v>0</v>
      </c>
      <c r="K5" s="127">
        <f t="shared" si="3"/>
        <v>8983406.25</v>
      </c>
      <c r="L5" s="127">
        <f t="shared" si="3"/>
        <v>8983406.25</v>
      </c>
      <c r="M5" s="127">
        <f t="shared" si="3"/>
        <v>8983406.25</v>
      </c>
      <c r="N5" s="127">
        <f t="shared" si="3"/>
        <v>8983406.25</v>
      </c>
      <c r="O5" s="127">
        <f t="shared" si="3"/>
        <v>8983406.25</v>
      </c>
      <c r="P5" s="127">
        <f t="shared" si="3"/>
        <v>17966812.5</v>
      </c>
      <c r="Q5" s="127">
        <f t="shared" si="3"/>
        <v>17966812.5</v>
      </c>
      <c r="R5" s="127">
        <f t="shared" si="3"/>
        <v>17966812.5</v>
      </c>
      <c r="S5" s="127">
        <f t="shared" si="3"/>
        <v>17966812.5</v>
      </c>
      <c r="T5" s="127">
        <f t="shared" si="3"/>
        <v>17966812.5</v>
      </c>
      <c r="U5" s="127">
        <f t="shared" si="3"/>
        <v>17966812.5</v>
      </c>
      <c r="V5" s="127">
        <f>$B$5*V4</f>
        <v>8983406.25</v>
      </c>
      <c r="W5" s="127">
        <f>$B$5*W4</f>
        <v>8983406.25</v>
      </c>
      <c r="X5" s="127">
        <f>$B$5*X4</f>
        <v>8983406.25</v>
      </c>
      <c r="Y5" s="127">
        <f>$B$5*Y4</f>
        <v>0</v>
      </c>
      <c r="Z5" s="127">
        <f>$B$5*Z4</f>
        <v>0</v>
      </c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>
        <f t="shared" si="2"/>
        <v>179668125</v>
      </c>
      <c r="AW5" s="128">
        <f t="shared" ref="AW5:AW25" si="4">B5</f>
        <v>179668125</v>
      </c>
      <c r="AX5" s="128">
        <f t="shared" ref="AX5:AX25" si="5">AW5-AV5</f>
        <v>0</v>
      </c>
    </row>
    <row r="6" spans="1:70" ht="14.25" customHeight="1" x14ac:dyDescent="0.25">
      <c r="A6" s="259" t="str">
        <f>'Phase I Financial'!A51</f>
        <v>Parking Structure</v>
      </c>
      <c r="B6" s="126">
        <f>'Phase I Financial'!C51</f>
        <v>25548909.684065931</v>
      </c>
      <c r="C6" s="127">
        <f t="shared" ref="C6:U6" si="6">$B$6*C4</f>
        <v>0</v>
      </c>
      <c r="D6" s="127">
        <f t="shared" si="6"/>
        <v>0</v>
      </c>
      <c r="E6" s="127">
        <f t="shared" si="6"/>
        <v>0</v>
      </c>
      <c r="F6" s="127">
        <f t="shared" si="6"/>
        <v>0</v>
      </c>
      <c r="G6" s="127">
        <f t="shared" si="6"/>
        <v>0</v>
      </c>
      <c r="H6" s="127">
        <f t="shared" si="6"/>
        <v>0</v>
      </c>
      <c r="I6" s="127">
        <f t="shared" si="6"/>
        <v>0</v>
      </c>
      <c r="J6" s="127">
        <f t="shared" si="6"/>
        <v>0</v>
      </c>
      <c r="K6" s="127">
        <f t="shared" si="6"/>
        <v>1277445.4842032967</v>
      </c>
      <c r="L6" s="127">
        <f t="shared" si="6"/>
        <v>1277445.4842032967</v>
      </c>
      <c r="M6" s="127">
        <f t="shared" si="6"/>
        <v>1277445.4842032967</v>
      </c>
      <c r="N6" s="127">
        <f t="shared" si="6"/>
        <v>1277445.4842032967</v>
      </c>
      <c r="O6" s="127">
        <f t="shared" si="6"/>
        <v>1277445.4842032967</v>
      </c>
      <c r="P6" s="127">
        <f t="shared" si="6"/>
        <v>2554890.9684065934</v>
      </c>
      <c r="Q6" s="127">
        <f t="shared" si="6"/>
        <v>2554890.9684065934</v>
      </c>
      <c r="R6" s="127">
        <f t="shared" si="6"/>
        <v>2554890.9684065934</v>
      </c>
      <c r="S6" s="127">
        <f t="shared" si="6"/>
        <v>2554890.9684065934</v>
      </c>
      <c r="T6" s="127">
        <f t="shared" si="6"/>
        <v>2554890.9684065934</v>
      </c>
      <c r="U6" s="127">
        <f t="shared" si="6"/>
        <v>2554890.9684065934</v>
      </c>
      <c r="V6" s="127">
        <f>$B$6*V4</f>
        <v>1277445.4842032967</v>
      </c>
      <c r="W6" s="127">
        <f>$B$6*W4</f>
        <v>1277445.4842032967</v>
      </c>
      <c r="X6" s="127">
        <f>$B$6*X4</f>
        <v>1277445.4842032967</v>
      </c>
      <c r="Y6" s="127">
        <f>$B$6*Y4</f>
        <v>0</v>
      </c>
      <c r="Z6" s="127">
        <f>$B$6*Z4</f>
        <v>0</v>
      </c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>
        <f t="shared" si="2"/>
        <v>25548909.684065934</v>
      </c>
      <c r="AW6" s="128">
        <f t="shared" si="4"/>
        <v>25548909.684065931</v>
      </c>
      <c r="AX6" s="128">
        <f t="shared" si="5"/>
        <v>0</v>
      </c>
    </row>
    <row r="7" spans="1:70" ht="14.25" customHeight="1" x14ac:dyDescent="0.25">
      <c r="A7" s="259" t="str">
        <f>'Phase I Financial'!A52</f>
        <v>Hard Cost Contingency</v>
      </c>
      <c r="B7" s="126">
        <f>'Phase I Financial'!C52</f>
        <v>8983406.25</v>
      </c>
      <c r="C7" s="127">
        <f>$B7*C$4</f>
        <v>0</v>
      </c>
      <c r="D7" s="127">
        <f t="shared" ref="D7:U7" si="7">$B7*D$4</f>
        <v>0</v>
      </c>
      <c r="E7" s="127">
        <f t="shared" si="7"/>
        <v>0</v>
      </c>
      <c r="F7" s="127">
        <f t="shared" si="7"/>
        <v>0</v>
      </c>
      <c r="G7" s="127">
        <f t="shared" si="7"/>
        <v>0</v>
      </c>
      <c r="H7" s="127">
        <f t="shared" si="7"/>
        <v>0</v>
      </c>
      <c r="I7" s="127">
        <f t="shared" si="7"/>
        <v>0</v>
      </c>
      <c r="J7" s="127">
        <f t="shared" si="7"/>
        <v>0</v>
      </c>
      <c r="K7" s="127">
        <f t="shared" si="7"/>
        <v>449170.3125</v>
      </c>
      <c r="L7" s="127">
        <f t="shared" si="7"/>
        <v>449170.3125</v>
      </c>
      <c r="M7" s="127">
        <f t="shared" si="7"/>
        <v>449170.3125</v>
      </c>
      <c r="N7" s="127">
        <f t="shared" si="7"/>
        <v>449170.3125</v>
      </c>
      <c r="O7" s="127">
        <f t="shared" si="7"/>
        <v>449170.3125</v>
      </c>
      <c r="P7" s="127">
        <f t="shared" si="7"/>
        <v>898340.625</v>
      </c>
      <c r="Q7" s="127">
        <f t="shared" si="7"/>
        <v>898340.625</v>
      </c>
      <c r="R7" s="127">
        <f t="shared" si="7"/>
        <v>898340.625</v>
      </c>
      <c r="S7" s="127">
        <f t="shared" si="7"/>
        <v>898340.625</v>
      </c>
      <c r="T7" s="127">
        <f t="shared" si="7"/>
        <v>898340.625</v>
      </c>
      <c r="U7" s="127">
        <f t="shared" si="7"/>
        <v>898340.625</v>
      </c>
      <c r="V7" s="127">
        <f>$B7*V$4</f>
        <v>449170.3125</v>
      </c>
      <c r="W7" s="127">
        <f>$B7*W$4</f>
        <v>449170.3125</v>
      </c>
      <c r="X7" s="127">
        <f>$B7*X$4</f>
        <v>449170.3125</v>
      </c>
      <c r="Y7" s="127">
        <f>$B7*Y$4</f>
        <v>0</v>
      </c>
      <c r="Z7" s="127">
        <f>$B7*Z$4</f>
        <v>0</v>
      </c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>
        <f t="shared" si="2"/>
        <v>8983406.25</v>
      </c>
      <c r="AW7" s="128">
        <f t="shared" si="4"/>
        <v>8983406.25</v>
      </c>
      <c r="AX7" s="128">
        <f t="shared" si="5"/>
        <v>0</v>
      </c>
    </row>
    <row r="8" spans="1:70" ht="14.25" customHeight="1" x14ac:dyDescent="0.25">
      <c r="A8" s="259" t="str">
        <f>'Phase I Financial'!A53</f>
        <v>Site Prep (includes demolition)</v>
      </c>
      <c r="B8" s="126">
        <f>'Phase I Financial'!C53</f>
        <v>10404420</v>
      </c>
      <c r="C8" s="127">
        <f>IF(C2="Demolition Ends",$B$8,0)</f>
        <v>0</v>
      </c>
      <c r="D8" s="127">
        <f t="shared" ref="D8:Z8" si="8">IF(D2="Demolition Ends",$B$8,0)</f>
        <v>0</v>
      </c>
      <c r="E8" s="127">
        <f t="shared" si="8"/>
        <v>0</v>
      </c>
      <c r="F8" s="127">
        <f t="shared" si="8"/>
        <v>0</v>
      </c>
      <c r="G8" s="127">
        <f t="shared" si="8"/>
        <v>0</v>
      </c>
      <c r="H8" s="127">
        <f t="shared" si="8"/>
        <v>0</v>
      </c>
      <c r="I8" s="127">
        <f t="shared" si="8"/>
        <v>0</v>
      </c>
      <c r="J8" s="127">
        <f t="shared" si="8"/>
        <v>0</v>
      </c>
      <c r="K8" s="127">
        <f t="shared" si="8"/>
        <v>0</v>
      </c>
      <c r="L8" s="127">
        <f>IF(L2="Demolition Ends",$B$8,0)</f>
        <v>10404420</v>
      </c>
      <c r="M8" s="127">
        <f t="shared" si="8"/>
        <v>0</v>
      </c>
      <c r="N8" s="127">
        <f t="shared" si="8"/>
        <v>0</v>
      </c>
      <c r="O8" s="127">
        <f t="shared" si="8"/>
        <v>0</v>
      </c>
      <c r="P8" s="127">
        <f t="shared" si="8"/>
        <v>0</v>
      </c>
      <c r="Q8" s="127">
        <f t="shared" si="8"/>
        <v>0</v>
      </c>
      <c r="R8" s="127">
        <f t="shared" si="8"/>
        <v>0</v>
      </c>
      <c r="S8" s="127">
        <f t="shared" si="8"/>
        <v>0</v>
      </c>
      <c r="T8" s="127">
        <f t="shared" si="8"/>
        <v>0</v>
      </c>
      <c r="U8" s="127">
        <f t="shared" si="8"/>
        <v>0</v>
      </c>
      <c r="V8" s="127">
        <f t="shared" si="8"/>
        <v>0</v>
      </c>
      <c r="W8" s="127">
        <f t="shared" si="8"/>
        <v>0</v>
      </c>
      <c r="X8" s="127">
        <f t="shared" si="8"/>
        <v>0</v>
      </c>
      <c r="Y8" s="127">
        <f t="shared" si="8"/>
        <v>0</v>
      </c>
      <c r="Z8" s="127">
        <f t="shared" si="8"/>
        <v>0</v>
      </c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>
        <f t="shared" si="2"/>
        <v>10404420</v>
      </c>
      <c r="AW8" s="128">
        <f t="shared" si="4"/>
        <v>10404420</v>
      </c>
      <c r="AX8" s="128">
        <f t="shared" si="5"/>
        <v>0</v>
      </c>
    </row>
    <row r="9" spans="1:70" ht="14.25" customHeight="1" x14ac:dyDescent="0.25">
      <c r="A9" s="259" t="str">
        <f>'Phase I Financial'!A54</f>
        <v>Land Acquisition</v>
      </c>
      <c r="B9" s="126">
        <f>'Phase I Financial'!C54</f>
        <v>16363617.813882431</v>
      </c>
      <c r="C9" s="129"/>
      <c r="D9" s="130"/>
      <c r="E9" s="127">
        <v>400000</v>
      </c>
      <c r="F9" s="127"/>
      <c r="G9" s="131"/>
      <c r="H9" s="131"/>
      <c r="I9" s="127"/>
      <c r="J9" s="132"/>
      <c r="K9" s="130"/>
      <c r="L9" s="130"/>
      <c r="M9" s="132">
        <f>B9-E9</f>
        <v>15963617.813882431</v>
      </c>
      <c r="N9" s="130"/>
      <c r="O9" s="130"/>
      <c r="P9" s="130"/>
      <c r="Q9" s="130">
        <v>0</v>
      </c>
      <c r="R9" s="130">
        <v>0</v>
      </c>
      <c r="S9" s="130">
        <v>0</v>
      </c>
      <c r="T9" s="130">
        <v>0</v>
      </c>
      <c r="U9" s="130">
        <v>0</v>
      </c>
      <c r="V9" s="130">
        <v>0</v>
      </c>
      <c r="W9" s="130">
        <v>0</v>
      </c>
      <c r="X9" s="130">
        <v>0</v>
      </c>
      <c r="Y9" s="130">
        <v>0</v>
      </c>
      <c r="Z9" s="130">
        <v>0</v>
      </c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28">
        <f>SUM(D9:AU9)</f>
        <v>16363617.813882431</v>
      </c>
      <c r="AW9" s="128">
        <f t="shared" si="4"/>
        <v>16363617.813882431</v>
      </c>
      <c r="AX9" s="128">
        <f t="shared" si="5"/>
        <v>0</v>
      </c>
    </row>
    <row r="10" spans="1:70" ht="14.25" customHeight="1" x14ac:dyDescent="0.25">
      <c r="A10" s="259" t="str">
        <f>'Phase I Financial'!A55</f>
        <v>Impact Fees (Includes City Stormwater Utility Fee)</v>
      </c>
      <c r="B10" s="126">
        <f>'Phase I Financial'!C55</f>
        <v>2903479.7390109897</v>
      </c>
      <c r="C10" s="133"/>
      <c r="D10" s="130"/>
      <c r="E10" s="127"/>
      <c r="F10" s="127"/>
      <c r="G10" s="127"/>
      <c r="H10" s="131"/>
      <c r="J10" s="127"/>
      <c r="K10" s="130"/>
      <c r="L10" s="130"/>
      <c r="M10" s="127">
        <f>$B10</f>
        <v>2903479.7390109897</v>
      </c>
      <c r="N10" s="130"/>
      <c r="O10" s="130"/>
      <c r="P10" s="130"/>
      <c r="Q10" s="130"/>
      <c r="R10" s="130"/>
      <c r="S10" s="135"/>
      <c r="T10" s="130"/>
      <c r="U10" s="130"/>
      <c r="V10" s="130"/>
      <c r="W10" s="130"/>
      <c r="X10" s="130"/>
      <c r="Y10" s="130"/>
      <c r="Z10" s="130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28">
        <f t="shared" ref="AV10:AV25" si="9">SUM(C10:AU10)</f>
        <v>2903479.7390109897</v>
      </c>
      <c r="AW10" s="128">
        <f t="shared" si="4"/>
        <v>2903479.7390109897</v>
      </c>
      <c r="AX10" s="128">
        <f t="shared" si="5"/>
        <v>0</v>
      </c>
    </row>
    <row r="11" spans="1:70" ht="14.25" customHeight="1" x14ac:dyDescent="0.25">
      <c r="A11" s="259" t="str">
        <f>'Phase I Financial'!A56</f>
        <v>Infrastructure</v>
      </c>
      <c r="B11" s="126">
        <f>SUM('Phase I Financial'!C57:C62)</f>
        <v>6669800</v>
      </c>
      <c r="C11" s="136"/>
      <c r="D11" s="134"/>
      <c r="E11" s="128"/>
      <c r="F11" s="128"/>
      <c r="G11" s="128"/>
      <c r="H11" s="128"/>
      <c r="I11" s="128"/>
      <c r="J11" s="128"/>
      <c r="K11" s="134"/>
      <c r="L11" s="134"/>
      <c r="M11" s="127">
        <f>$B$11/4</f>
        <v>1667450</v>
      </c>
      <c r="N11" s="127">
        <f t="shared" ref="N11:P11" si="10">$B$11/4</f>
        <v>1667450</v>
      </c>
      <c r="O11" s="127">
        <f t="shared" si="10"/>
        <v>1667450</v>
      </c>
      <c r="P11" s="127">
        <f t="shared" si="10"/>
        <v>1667450</v>
      </c>
      <c r="Q11" s="134"/>
      <c r="R11" s="127"/>
      <c r="S11" s="127"/>
      <c r="T11" s="134"/>
      <c r="U11" s="127"/>
      <c r="V11" s="127"/>
      <c r="W11" s="131"/>
      <c r="X11" s="131"/>
      <c r="Y11" s="131"/>
      <c r="Z11" s="131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4"/>
      <c r="AR11" s="134"/>
      <c r="AS11" s="134"/>
      <c r="AT11" s="134"/>
      <c r="AU11" s="134"/>
      <c r="AV11" s="128">
        <f t="shared" si="9"/>
        <v>6669800</v>
      </c>
      <c r="AW11" s="128">
        <f t="shared" si="4"/>
        <v>6669800</v>
      </c>
      <c r="AX11" s="128">
        <f t="shared" si="5"/>
        <v>0</v>
      </c>
    </row>
    <row r="12" spans="1:70" ht="14.25" customHeight="1" x14ac:dyDescent="0.25">
      <c r="A12" s="259" t="str">
        <f>'Phase I Financial'!A63</f>
        <v>Legal</v>
      </c>
      <c r="B12" s="126">
        <f>'Phase I Financial'!C63</f>
        <v>400000</v>
      </c>
      <c r="C12" s="136"/>
      <c r="D12" s="136"/>
      <c r="E12" s="127">
        <v>100000</v>
      </c>
      <c r="F12" s="127">
        <v>100000</v>
      </c>
      <c r="G12" s="127">
        <v>50000</v>
      </c>
      <c r="H12" s="127">
        <v>50000</v>
      </c>
      <c r="I12" s="127">
        <v>50000</v>
      </c>
      <c r="J12" s="127">
        <v>50000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0"/>
      <c r="V12" s="130"/>
      <c r="W12" s="130"/>
      <c r="X12" s="130"/>
      <c r="Y12" s="130"/>
      <c r="Z12" s="130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28">
        <f t="shared" si="9"/>
        <v>400000</v>
      </c>
      <c r="AW12" s="128">
        <f t="shared" si="4"/>
        <v>400000</v>
      </c>
      <c r="AX12" s="128">
        <f t="shared" si="5"/>
        <v>0</v>
      </c>
    </row>
    <row r="13" spans="1:70" ht="14.25" customHeight="1" x14ac:dyDescent="0.25">
      <c r="A13" s="259" t="str">
        <f>'Phase I Financial'!A64</f>
        <v>Land Closing Costs/commissions</v>
      </c>
      <c r="B13" s="126">
        <f>'Phase I Financial'!C64</f>
        <v>475000</v>
      </c>
      <c r="C13" s="132"/>
      <c r="D13" s="127"/>
      <c r="E13" s="127"/>
      <c r="F13" s="127"/>
      <c r="G13" s="129"/>
      <c r="H13" s="127">
        <f>B13</f>
        <v>475000</v>
      </c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>
        <f t="shared" si="9"/>
        <v>475000</v>
      </c>
      <c r="AW13" s="128">
        <f t="shared" si="4"/>
        <v>475000</v>
      </c>
      <c r="AX13" s="128">
        <f t="shared" si="5"/>
        <v>0</v>
      </c>
    </row>
    <row r="14" spans="1:70" ht="14.25" customHeight="1" x14ac:dyDescent="0.25">
      <c r="A14" s="259" t="str">
        <f>'Phase I Financial'!A65</f>
        <v xml:space="preserve">Design </v>
      </c>
      <c r="B14" s="126">
        <f>'Phase I Financial'!C65</f>
        <v>7546061.25</v>
      </c>
      <c r="C14" s="127"/>
      <c r="D14" s="127"/>
      <c r="E14" s="127">
        <f t="shared" ref="E14:F14" si="11">0.3*$B14</f>
        <v>2263818.375</v>
      </c>
      <c r="F14" s="127">
        <f t="shared" si="11"/>
        <v>2263818.375</v>
      </c>
      <c r="G14" s="127">
        <f t="shared" ref="G14:H14" si="12">0.1*$B14</f>
        <v>754606.125</v>
      </c>
      <c r="H14" s="127">
        <f t="shared" si="12"/>
        <v>754606.125</v>
      </c>
      <c r="I14" s="127">
        <f>0.05*$B14</f>
        <v>377303.0625</v>
      </c>
      <c r="J14" s="127">
        <f t="shared" ref="J14:N14" si="13">0.02*$B14</f>
        <v>150921.22500000001</v>
      </c>
      <c r="K14" s="127">
        <f t="shared" si="13"/>
        <v>150921.22500000001</v>
      </c>
      <c r="L14" s="127">
        <f t="shared" si="13"/>
        <v>150921.22500000001</v>
      </c>
      <c r="M14" s="127">
        <f t="shared" si="13"/>
        <v>150921.22500000001</v>
      </c>
      <c r="N14" s="127">
        <f t="shared" si="13"/>
        <v>150921.22500000001</v>
      </c>
      <c r="O14" s="127">
        <f t="shared" ref="O14:S14" si="14">0.01*$B14</f>
        <v>75460.612500000003</v>
      </c>
      <c r="P14" s="127">
        <f t="shared" si="14"/>
        <v>75460.612500000003</v>
      </c>
      <c r="Q14" s="127">
        <f t="shared" si="14"/>
        <v>75460.612500000003</v>
      </c>
      <c r="R14" s="127">
        <f t="shared" si="14"/>
        <v>75460.612500000003</v>
      </c>
      <c r="S14" s="127">
        <f t="shared" si="14"/>
        <v>75460.612500000003</v>
      </c>
      <c r="T14" s="127"/>
      <c r="U14" s="127"/>
      <c r="V14" s="127"/>
      <c r="W14" s="127"/>
      <c r="X14" s="127"/>
      <c r="Y14" s="127"/>
      <c r="Z14" s="127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>
        <f t="shared" si="9"/>
        <v>7546061.2499999972</v>
      </c>
      <c r="AW14" s="128">
        <f t="shared" si="4"/>
        <v>7546061.25</v>
      </c>
      <c r="AX14" s="128">
        <f t="shared" si="5"/>
        <v>0</v>
      </c>
    </row>
    <row r="15" spans="1:70" ht="14.25" customHeight="1" x14ac:dyDescent="0.25">
      <c r="A15" s="259" t="str">
        <f>'Phase I Financial'!A66</f>
        <v>Developer Fee</v>
      </c>
      <c r="B15" s="126">
        <f>'Phase I Financial'!C66</f>
        <v>7768884.5921087805</v>
      </c>
      <c r="C15" s="127">
        <f>$B15*C$4</f>
        <v>0</v>
      </c>
      <c r="D15" s="127">
        <f t="shared" ref="D15:G15" si="15">$B15*D4</f>
        <v>0</v>
      </c>
      <c r="E15" s="127">
        <f t="shared" si="15"/>
        <v>0</v>
      </c>
      <c r="F15" s="127">
        <f t="shared" si="15"/>
        <v>0</v>
      </c>
      <c r="G15" s="127">
        <f t="shared" si="15"/>
        <v>0</v>
      </c>
      <c r="H15" s="127"/>
      <c r="I15" s="127"/>
      <c r="J15" s="127"/>
      <c r="K15" s="127"/>
      <c r="L15" s="127"/>
      <c r="M15" s="127">
        <f t="shared" ref="M15:T15" si="16">$B15/12</f>
        <v>647407.04934239842</v>
      </c>
      <c r="N15" s="127">
        <f t="shared" si="16"/>
        <v>647407.04934239842</v>
      </c>
      <c r="O15" s="127">
        <f t="shared" si="16"/>
        <v>647407.04934239842</v>
      </c>
      <c r="P15" s="127">
        <f t="shared" si="16"/>
        <v>647407.04934239842</v>
      </c>
      <c r="Q15" s="127">
        <f t="shared" si="16"/>
        <v>647407.04934239842</v>
      </c>
      <c r="R15" s="127">
        <f t="shared" si="16"/>
        <v>647407.04934239842</v>
      </c>
      <c r="S15" s="127">
        <f t="shared" si="16"/>
        <v>647407.04934239842</v>
      </c>
      <c r="T15" s="127">
        <f t="shared" si="16"/>
        <v>647407.04934239842</v>
      </c>
      <c r="U15" s="127">
        <f t="shared" ref="U15:X16" si="17">$B15/12</f>
        <v>647407.04934239842</v>
      </c>
      <c r="V15" s="127">
        <f t="shared" si="17"/>
        <v>647407.04934239842</v>
      </c>
      <c r="W15" s="127">
        <f t="shared" si="17"/>
        <v>647407.04934239842</v>
      </c>
      <c r="X15" s="127">
        <f t="shared" si="17"/>
        <v>647407.04934239842</v>
      </c>
      <c r="Y15" s="127"/>
      <c r="Z15" s="127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>
        <f t="shared" si="9"/>
        <v>7768884.5921087814</v>
      </c>
      <c r="AW15" s="128">
        <f t="shared" si="4"/>
        <v>7768884.5921087805</v>
      </c>
      <c r="AX15" s="128">
        <f t="shared" si="5"/>
        <v>0</v>
      </c>
    </row>
    <row r="16" spans="1:70" ht="14.25" customHeight="1" x14ac:dyDescent="0.25">
      <c r="A16" s="259" t="str">
        <f>'Phase I Financial'!A67</f>
        <v>Construction Management Fee</v>
      </c>
      <c r="B16" s="126">
        <f>'Phase I Financial'!C67</f>
        <v>5659545.9375</v>
      </c>
      <c r="C16" s="127">
        <f>$B16*C$4</f>
        <v>0</v>
      </c>
      <c r="D16" s="127">
        <f t="shared" ref="D16:G16" si="18">$B16*D$4</f>
        <v>0</v>
      </c>
      <c r="E16" s="127">
        <f t="shared" si="18"/>
        <v>0</v>
      </c>
      <c r="F16" s="127">
        <f t="shared" si="18"/>
        <v>0</v>
      </c>
      <c r="G16" s="127">
        <f t="shared" si="18"/>
        <v>0</v>
      </c>
      <c r="H16" s="127"/>
      <c r="I16" s="127"/>
      <c r="J16" s="127"/>
      <c r="K16" s="127"/>
      <c r="L16" s="127"/>
      <c r="M16" s="127">
        <f t="shared" ref="M16:T16" si="19">$B16/12</f>
        <v>471628.828125</v>
      </c>
      <c r="N16" s="127">
        <f t="shared" si="19"/>
        <v>471628.828125</v>
      </c>
      <c r="O16" s="127">
        <f t="shared" si="19"/>
        <v>471628.828125</v>
      </c>
      <c r="P16" s="127">
        <f t="shared" si="19"/>
        <v>471628.828125</v>
      </c>
      <c r="Q16" s="127">
        <f t="shared" si="19"/>
        <v>471628.828125</v>
      </c>
      <c r="R16" s="127">
        <f t="shared" si="19"/>
        <v>471628.828125</v>
      </c>
      <c r="S16" s="127">
        <f t="shared" si="19"/>
        <v>471628.828125</v>
      </c>
      <c r="T16" s="127">
        <f t="shared" si="19"/>
        <v>471628.828125</v>
      </c>
      <c r="U16" s="127">
        <f t="shared" si="17"/>
        <v>471628.828125</v>
      </c>
      <c r="V16" s="127">
        <f t="shared" si="17"/>
        <v>471628.828125</v>
      </c>
      <c r="W16" s="127">
        <f t="shared" si="17"/>
        <v>471628.828125</v>
      </c>
      <c r="X16" s="127">
        <f t="shared" si="17"/>
        <v>471628.828125</v>
      </c>
      <c r="Y16" s="127"/>
      <c r="Z16" s="127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>
        <f t="shared" si="9"/>
        <v>5659545.9375</v>
      </c>
      <c r="AW16" s="128">
        <f t="shared" si="4"/>
        <v>5659545.9375</v>
      </c>
      <c r="AX16" s="128">
        <f t="shared" si="5"/>
        <v>0</v>
      </c>
    </row>
    <row r="17" spans="1:50" ht="14.25" customHeight="1" x14ac:dyDescent="0.25">
      <c r="A17" s="259" t="str">
        <f>'Phase I Financial'!A68</f>
        <v>Taxes</v>
      </c>
      <c r="B17" s="126">
        <f>'Phase I Financial'!C68</f>
        <v>2500000</v>
      </c>
      <c r="C17" s="132"/>
      <c r="D17" s="127"/>
      <c r="E17" s="127"/>
      <c r="F17" s="127"/>
      <c r="G17" s="131"/>
      <c r="H17" s="127">
        <f>$B17/10</f>
        <v>250000</v>
      </c>
      <c r="I17" s="127"/>
      <c r="J17" s="127">
        <f>$B17/8</f>
        <v>312500</v>
      </c>
      <c r="K17" s="127"/>
      <c r="L17" s="127">
        <f>$B17/6</f>
        <v>416666.66666666669</v>
      </c>
      <c r="M17" s="127"/>
      <c r="N17" s="127">
        <f>$B17/4</f>
        <v>625000</v>
      </c>
      <c r="O17" s="127"/>
      <c r="P17" s="127">
        <f>$B17/6</f>
        <v>416666.66666666669</v>
      </c>
      <c r="Q17" s="129"/>
      <c r="R17" s="127"/>
      <c r="S17" s="129"/>
      <c r="T17" s="127">
        <f>B17-SUM(H17:R17)</f>
        <v>479166.66666666651</v>
      </c>
      <c r="U17" s="127"/>
      <c r="V17" s="127"/>
      <c r="W17" s="127"/>
      <c r="X17" s="127"/>
      <c r="Y17" s="127"/>
      <c r="Z17" s="127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2"/>
      <c r="AT17" s="128"/>
      <c r="AU17" s="128"/>
      <c r="AV17" s="128">
        <f t="shared" si="9"/>
        <v>2500000</v>
      </c>
      <c r="AW17" s="128">
        <f t="shared" si="4"/>
        <v>2500000</v>
      </c>
      <c r="AX17" s="128">
        <f t="shared" si="5"/>
        <v>0</v>
      </c>
    </row>
    <row r="18" spans="1:50" ht="14.25" customHeight="1" x14ac:dyDescent="0.25">
      <c r="A18" s="259" t="str">
        <f>'Phase I Financial'!A69</f>
        <v>Insurance</v>
      </c>
      <c r="B18" s="126">
        <f>'Phase I Financial'!C69</f>
        <v>1742087.8434065937</v>
      </c>
      <c r="C18" s="132"/>
      <c r="D18" s="131"/>
      <c r="E18" s="131"/>
      <c r="F18" s="127"/>
      <c r="G18" s="127"/>
      <c r="H18" s="127"/>
      <c r="I18" s="127">
        <v>10000</v>
      </c>
      <c r="J18" s="127">
        <v>10000</v>
      </c>
      <c r="K18" s="127"/>
      <c r="L18" s="132">
        <f>$B18-SUM(C18:K18)</f>
        <v>1722087.8434065937</v>
      </c>
      <c r="M18" s="127"/>
      <c r="N18" s="127"/>
      <c r="O18" s="127"/>
      <c r="P18" s="127"/>
      <c r="Q18" s="127"/>
      <c r="R18" s="127"/>
      <c r="S18" s="127"/>
      <c r="T18" s="129"/>
      <c r="U18" s="127"/>
      <c r="V18" s="127">
        <f>$B18-SUM(C18:U18)</f>
        <v>0</v>
      </c>
      <c r="W18" s="127">
        <f>$B18-SUM(D18:V18)</f>
        <v>0</v>
      </c>
      <c r="X18" s="127">
        <f>$B18-SUM(E18:W18)</f>
        <v>0</v>
      </c>
      <c r="Y18" s="127">
        <f>$B18-SUM(F18:X18)</f>
        <v>0</v>
      </c>
      <c r="Z18" s="127">
        <f>$B18-SUM(G18:Y18)</f>
        <v>0</v>
      </c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>
        <f t="shared" si="9"/>
        <v>1742087.8434065937</v>
      </c>
      <c r="AW18" s="128">
        <f t="shared" si="4"/>
        <v>1742087.8434065937</v>
      </c>
      <c r="AX18" s="128">
        <f t="shared" si="5"/>
        <v>0</v>
      </c>
    </row>
    <row r="19" spans="1:50" ht="14.25" customHeight="1" x14ac:dyDescent="0.25">
      <c r="A19" s="259" t="str">
        <f>'Phase I Financial'!A70</f>
        <v>Marketing, FF&amp;E and Preleasing</v>
      </c>
      <c r="B19" s="126">
        <f>'Phase I Financial'!C70</f>
        <v>800000</v>
      </c>
      <c r="C19" s="132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>
        <f>$B19/2</f>
        <v>400000</v>
      </c>
      <c r="X19" s="127">
        <f>$B19/2</f>
        <v>400000</v>
      </c>
      <c r="Y19" s="127"/>
      <c r="Z19" s="127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4"/>
      <c r="AT19" s="4"/>
      <c r="AU19" s="4"/>
      <c r="AV19" s="128">
        <f t="shared" si="9"/>
        <v>800000</v>
      </c>
      <c r="AW19" s="128">
        <f t="shared" si="4"/>
        <v>800000</v>
      </c>
      <c r="AX19" s="128">
        <f t="shared" si="5"/>
        <v>0</v>
      </c>
    </row>
    <row r="20" spans="1:50" ht="14.25" customHeight="1" x14ac:dyDescent="0.25">
      <c r="A20" s="259" t="str">
        <f>'Phase I Financial'!A71</f>
        <v>Operating Deficit</v>
      </c>
      <c r="B20" s="126">
        <f>'Phase I Financial'!C71</f>
        <v>3415613.768253915</v>
      </c>
      <c r="C20" s="132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38"/>
      <c r="V20" s="138"/>
      <c r="W20" s="138"/>
      <c r="X20" s="138"/>
      <c r="Y20" s="138">
        <f>B20/2</f>
        <v>1707806.8841269575</v>
      </c>
      <c r="Z20" s="138">
        <f>B20/2</f>
        <v>1707806.8841269575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128"/>
      <c r="AR20" s="128"/>
      <c r="AS20" s="128"/>
      <c r="AT20" s="128"/>
      <c r="AU20" s="139"/>
      <c r="AV20" s="128">
        <f t="shared" si="9"/>
        <v>3415613.768253915</v>
      </c>
      <c r="AW20" s="128">
        <f t="shared" si="4"/>
        <v>3415613.768253915</v>
      </c>
      <c r="AX20" s="128">
        <f t="shared" si="5"/>
        <v>0</v>
      </c>
    </row>
    <row r="21" spans="1:50" ht="14.25" customHeight="1" x14ac:dyDescent="0.25">
      <c r="A21" s="259" t="str">
        <f>'Phase I Financial'!A72</f>
        <v>Retail TI's</v>
      </c>
      <c r="B21" s="126">
        <f>'Phase I Financial'!C72</f>
        <v>13446000</v>
      </c>
      <c r="C21" s="132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>
        <f>$B21/2</f>
        <v>6723000</v>
      </c>
      <c r="X21" s="127">
        <f>$B21/2</f>
        <v>6723000</v>
      </c>
      <c r="Y21" s="127"/>
      <c r="Z21" s="127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>
        <f t="shared" si="9"/>
        <v>13446000</v>
      </c>
      <c r="AW21" s="128">
        <f t="shared" si="4"/>
        <v>13446000</v>
      </c>
      <c r="AX21" s="128">
        <f t="shared" si="5"/>
        <v>0</v>
      </c>
    </row>
    <row r="22" spans="1:50" ht="14.25" customHeight="1" x14ac:dyDescent="0.25">
      <c r="A22" s="259" t="str">
        <f>'Phase I Financial'!A73</f>
        <v>Commercial brokerage</v>
      </c>
      <c r="B22" s="126">
        <f>'Phase I Financial'!C73</f>
        <v>5446800</v>
      </c>
      <c r="C22" s="132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>
        <f>$B22</f>
        <v>5446800</v>
      </c>
      <c r="Z22" s="127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>
        <f t="shared" si="9"/>
        <v>5446800</v>
      </c>
      <c r="AW22" s="128">
        <f t="shared" si="4"/>
        <v>5446800</v>
      </c>
      <c r="AX22" s="128">
        <f t="shared" si="5"/>
        <v>0</v>
      </c>
    </row>
    <row r="23" spans="1:50" ht="14.25" customHeight="1" x14ac:dyDescent="0.25">
      <c r="A23" s="259" t="str">
        <f>'Phase I Financial'!A74</f>
        <v>Construction Loan Origination</v>
      </c>
      <c r="B23" s="126">
        <f>'Phase I Financial'!C74</f>
        <v>2829965</v>
      </c>
      <c r="C23" s="127">
        <f>$B$23*C4</f>
        <v>0</v>
      </c>
      <c r="D23" s="127">
        <f t="shared" ref="D23" si="20">$B$23*D4</f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f>$B23</f>
        <v>2829965</v>
      </c>
      <c r="L23" s="127">
        <v>0</v>
      </c>
      <c r="M23" s="129"/>
      <c r="N23" s="127">
        <v>0</v>
      </c>
      <c r="O23" s="127">
        <v>0</v>
      </c>
      <c r="P23" s="129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2"/>
      <c r="AR23" s="2"/>
      <c r="AS23" s="128"/>
      <c r="AT23" s="128"/>
      <c r="AU23" s="128"/>
      <c r="AV23" s="128">
        <f t="shared" si="9"/>
        <v>2829965</v>
      </c>
      <c r="AW23" s="128">
        <f t="shared" si="4"/>
        <v>2829965</v>
      </c>
      <c r="AX23" s="128">
        <f t="shared" si="5"/>
        <v>0</v>
      </c>
    </row>
    <row r="24" spans="1:50" ht="14.25" customHeight="1" x14ac:dyDescent="0.25">
      <c r="A24" s="260" t="str">
        <f>'Phase I Financial'!A75</f>
        <v>Construction Interest</v>
      </c>
      <c r="B24" s="126">
        <f>'Phase I Financial'!C75</f>
        <v>9432973</v>
      </c>
      <c r="C24" s="140"/>
      <c r="D24" s="127"/>
      <c r="E24" s="127"/>
      <c r="F24" s="127"/>
      <c r="G24" s="127"/>
      <c r="H24" s="127"/>
      <c r="I24" s="127"/>
      <c r="J24" s="127"/>
      <c r="K24" s="127"/>
      <c r="L24" s="127"/>
      <c r="M24" s="127">
        <f>$B$24/12</f>
        <v>786081.08333333337</v>
      </c>
      <c r="N24" s="127">
        <f t="shared" ref="N24:X24" si="21">$B$24/12</f>
        <v>786081.08333333337</v>
      </c>
      <c r="O24" s="127">
        <f t="shared" si="21"/>
        <v>786081.08333333337</v>
      </c>
      <c r="P24" s="127">
        <f t="shared" si="21"/>
        <v>786081.08333333337</v>
      </c>
      <c r="Q24" s="127">
        <f t="shared" si="21"/>
        <v>786081.08333333337</v>
      </c>
      <c r="R24" s="127">
        <f t="shared" si="21"/>
        <v>786081.08333333337</v>
      </c>
      <c r="S24" s="127">
        <f t="shared" si="21"/>
        <v>786081.08333333337</v>
      </c>
      <c r="T24" s="127">
        <f t="shared" si="21"/>
        <v>786081.08333333337</v>
      </c>
      <c r="U24" s="127">
        <f t="shared" si="21"/>
        <v>786081.08333333337</v>
      </c>
      <c r="V24" s="127">
        <f t="shared" si="21"/>
        <v>786081.08333333337</v>
      </c>
      <c r="W24" s="127">
        <f t="shared" si="21"/>
        <v>786081.08333333337</v>
      </c>
      <c r="X24" s="127">
        <f t="shared" si="21"/>
        <v>786081.08333333337</v>
      </c>
      <c r="Y24" s="127"/>
      <c r="Z24" s="127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>
        <f t="shared" si="9"/>
        <v>9432973</v>
      </c>
      <c r="AW24" s="128">
        <f t="shared" si="4"/>
        <v>9432973</v>
      </c>
      <c r="AX24" s="128">
        <f t="shared" si="5"/>
        <v>0</v>
      </c>
    </row>
    <row r="25" spans="1:50" ht="14.25" customHeight="1" x14ac:dyDescent="0.25">
      <c r="A25" s="259" t="str">
        <f>'Phase I Financial'!A76</f>
        <v>Additional Contingency</v>
      </c>
      <c r="B25" s="141">
        <f>'Phase I Financial'!C76</f>
        <v>2695021.875</v>
      </c>
      <c r="C25" s="142">
        <v>0</v>
      </c>
      <c r="D25" s="142">
        <v>0</v>
      </c>
      <c r="E25" s="142">
        <v>0</v>
      </c>
      <c r="F25" s="142"/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f t="shared" ref="M25:T25" si="22">$B25/12</f>
        <v>224585.15625</v>
      </c>
      <c r="N25" s="142">
        <f t="shared" si="22"/>
        <v>224585.15625</v>
      </c>
      <c r="O25" s="142">
        <f t="shared" si="22"/>
        <v>224585.15625</v>
      </c>
      <c r="P25" s="142">
        <f t="shared" si="22"/>
        <v>224585.15625</v>
      </c>
      <c r="Q25" s="142">
        <f t="shared" si="22"/>
        <v>224585.15625</v>
      </c>
      <c r="R25" s="142">
        <f t="shared" si="22"/>
        <v>224585.15625</v>
      </c>
      <c r="S25" s="142">
        <f t="shared" si="22"/>
        <v>224585.15625</v>
      </c>
      <c r="T25" s="142">
        <f t="shared" si="22"/>
        <v>224585.15625</v>
      </c>
      <c r="U25" s="142">
        <f>$B25/12</f>
        <v>224585.15625</v>
      </c>
      <c r="V25" s="142">
        <f>$B25/12</f>
        <v>224585.15625</v>
      </c>
      <c r="W25" s="142">
        <f>$B25/12</f>
        <v>224585.15625</v>
      </c>
      <c r="X25" s="142">
        <f>$B25/12</f>
        <v>224585.15625</v>
      </c>
      <c r="Y25" s="142"/>
      <c r="Z25" s="142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>
        <f t="shared" si="9"/>
        <v>2695021.875</v>
      </c>
      <c r="AW25" s="143">
        <f t="shared" si="4"/>
        <v>2695021.875</v>
      </c>
      <c r="AX25" s="128">
        <f t="shared" si="5"/>
        <v>0</v>
      </c>
    </row>
    <row r="26" spans="1:50" ht="14.25" customHeight="1" x14ac:dyDescent="0.25">
      <c r="A26" s="259" t="str">
        <f>'Phase I Financial'!A77</f>
        <v>Total Project Cost</v>
      </c>
      <c r="B26" s="144">
        <f>SUM(B5:B25)</f>
        <v>314699711.75322872</v>
      </c>
      <c r="C26" s="261">
        <f>SUM(C5:C25)</f>
        <v>0</v>
      </c>
      <c r="D26" s="261">
        <f t="shared" ref="D26:U26" si="23">SUM(D5:D25)</f>
        <v>0</v>
      </c>
      <c r="E26" s="261">
        <f>SUM(E5:E25)</f>
        <v>2763818.375</v>
      </c>
      <c r="F26" s="261">
        <f>SUM(F5:F25)</f>
        <v>2363818.375</v>
      </c>
      <c r="G26" s="261">
        <f>SUM(G5:G25)</f>
        <v>804606.125</v>
      </c>
      <c r="H26" s="261">
        <f t="shared" si="23"/>
        <v>1529606.125</v>
      </c>
      <c r="I26" s="261">
        <f t="shared" si="23"/>
        <v>437303.0625</v>
      </c>
      <c r="J26" s="261">
        <f>SUM(J5:J25)</f>
        <v>523421.22499999998</v>
      </c>
      <c r="K26" s="261">
        <f t="shared" si="23"/>
        <v>13690908.271703297</v>
      </c>
      <c r="L26" s="261">
        <f t="shared" si="23"/>
        <v>23404117.781776562</v>
      </c>
      <c r="M26" s="261">
        <f t="shared" si="23"/>
        <v>33525192.941647448</v>
      </c>
      <c r="N26" s="261">
        <f t="shared" si="23"/>
        <v>15283095.388754029</v>
      </c>
      <c r="O26" s="261">
        <f t="shared" si="23"/>
        <v>14582634.77625403</v>
      </c>
      <c r="P26" s="261">
        <f t="shared" si="23"/>
        <v>25709323.489623994</v>
      </c>
      <c r="Q26" s="261">
        <f t="shared" si="23"/>
        <v>23625206.822957326</v>
      </c>
      <c r="R26" s="261">
        <f t="shared" si="23"/>
        <v>23625206.822957326</v>
      </c>
      <c r="S26" s="261">
        <f t="shared" si="23"/>
        <v>23625206.822957326</v>
      </c>
      <c r="T26" s="261">
        <f t="shared" si="23"/>
        <v>24028912.877123993</v>
      </c>
      <c r="U26" s="261">
        <f t="shared" si="23"/>
        <v>23549746.210457325</v>
      </c>
      <c r="V26" s="261">
        <f>SUM(V5:V25)</f>
        <v>12839724.163754029</v>
      </c>
      <c r="W26" s="261">
        <f>SUM(W5:W25)</f>
        <v>19962724.163754027</v>
      </c>
      <c r="X26" s="261">
        <f>SUM(X5:X25)</f>
        <v>19962724.163754027</v>
      </c>
      <c r="Y26" s="261">
        <f>SUM(Y5:Y25)</f>
        <v>7154606.8841269575</v>
      </c>
      <c r="Z26" s="261">
        <f>SUM(Z5:Z25)</f>
        <v>1707806.8841269575</v>
      </c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2">
        <f t="shared" ref="AV26:AW26" si="24">SUM(AV5:AV25)</f>
        <v>314699711.75322872</v>
      </c>
      <c r="AW26" s="263">
        <f t="shared" si="24"/>
        <v>314699711.75322872</v>
      </c>
      <c r="AX26" s="263"/>
    </row>
    <row r="27" spans="1:50" ht="14.25" customHeight="1" x14ac:dyDescent="0.25">
      <c r="A27" s="145" t="s">
        <v>481</v>
      </c>
      <c r="B27" s="146">
        <f>'Phase I Financial'!B85</f>
        <v>0</v>
      </c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2"/>
      <c r="AW27" s="263"/>
      <c r="AX27" s="263"/>
    </row>
    <row r="28" spans="1:50" ht="14.25" customHeight="1" x14ac:dyDescent="0.25">
      <c r="A28" s="147" t="s">
        <v>482</v>
      </c>
      <c r="B28" s="148">
        <f>B26+B27</f>
        <v>314699711.75322872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4"/>
      <c r="AV28" s="149"/>
      <c r="AW28" s="149"/>
      <c r="AX28" s="149"/>
    </row>
    <row r="29" spans="1:50" ht="14.25" customHeight="1" x14ac:dyDescent="0.25">
      <c r="A29" s="150" t="s">
        <v>483</v>
      </c>
      <c r="B29" s="163">
        <f>SUM(C29:P29)</f>
        <v>121815369.15184096</v>
      </c>
      <c r="C29" s="128">
        <f>C26</f>
        <v>0</v>
      </c>
      <c r="D29" s="128">
        <f t="shared" ref="D29:P29" si="25">IF(C30+D26&lt;=$B$30,D26,($B$30-C30))</f>
        <v>0</v>
      </c>
      <c r="E29" s="128">
        <f t="shared" ref="E29:K29" si="26">IF(D30+E26&lt;=$B$30,E26,($B$30-D30))</f>
        <v>2763818.375</v>
      </c>
      <c r="F29" s="128">
        <f t="shared" si="26"/>
        <v>2363818.375</v>
      </c>
      <c r="G29" s="128">
        <f t="shared" si="26"/>
        <v>804606.125</v>
      </c>
      <c r="H29" s="128">
        <f t="shared" si="26"/>
        <v>1529606.125</v>
      </c>
      <c r="I29" s="128">
        <f t="shared" si="26"/>
        <v>437303.0625</v>
      </c>
      <c r="J29" s="128">
        <f t="shared" si="26"/>
        <v>523421.22499999998</v>
      </c>
      <c r="K29" s="128">
        <f t="shared" si="26"/>
        <v>13690908.271703297</v>
      </c>
      <c r="L29" s="128">
        <f t="shared" si="25"/>
        <v>23404117.781776562</v>
      </c>
      <c r="M29" s="128">
        <f t="shared" si="25"/>
        <v>33525192.941647448</v>
      </c>
      <c r="N29" s="128">
        <f t="shared" si="25"/>
        <v>15283095.388754029</v>
      </c>
      <c r="O29" s="128">
        <f t="shared" si="25"/>
        <v>14582634.77625403</v>
      </c>
      <c r="P29" s="128">
        <f t="shared" si="25"/>
        <v>12906846.704205588</v>
      </c>
      <c r="Q29" s="128">
        <f t="shared" ref="Q29:Z29" si="27">IF(P30+Q26&lt;=$B$30,Q26,($B$30-P30))</f>
        <v>0</v>
      </c>
      <c r="R29" s="128">
        <f t="shared" si="27"/>
        <v>0</v>
      </c>
      <c r="S29" s="128">
        <f t="shared" si="27"/>
        <v>0</v>
      </c>
      <c r="T29" s="128">
        <f t="shared" si="27"/>
        <v>0</v>
      </c>
      <c r="U29" s="128">
        <f t="shared" si="27"/>
        <v>0</v>
      </c>
      <c r="V29" s="128">
        <f t="shared" si="27"/>
        <v>0</v>
      </c>
      <c r="W29" s="128">
        <f t="shared" si="27"/>
        <v>0</v>
      </c>
      <c r="X29" s="128">
        <f t="shared" si="27"/>
        <v>0</v>
      </c>
      <c r="Y29" s="128">
        <f t="shared" si="27"/>
        <v>0</v>
      </c>
      <c r="Z29" s="128">
        <f t="shared" si="27"/>
        <v>0</v>
      </c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52"/>
      <c r="AW29" s="152"/>
      <c r="AX29" s="152"/>
    </row>
    <row r="30" spans="1:50" ht="14.25" customHeight="1" x14ac:dyDescent="0.25">
      <c r="A30" s="259" t="s">
        <v>484</v>
      </c>
      <c r="B30" s="153">
        <f>'Phase I Financial'!B92</f>
        <v>121815369.15184096</v>
      </c>
      <c r="C30" s="128">
        <f>C29</f>
        <v>0</v>
      </c>
      <c r="D30" s="128">
        <f>IF(SUM($C$29:D$29)&lt;=$B30,SUM($C$29:D$29),0)</f>
        <v>0</v>
      </c>
      <c r="E30" s="128">
        <f t="shared" ref="E30:U30" si="28">IF(SUM($C$29:E29)&lt;=$B30,SUM($C$29:E29),0)</f>
        <v>2763818.375</v>
      </c>
      <c r="F30" s="128">
        <f t="shared" si="28"/>
        <v>5127636.75</v>
      </c>
      <c r="G30" s="128">
        <f t="shared" si="28"/>
        <v>5932242.875</v>
      </c>
      <c r="H30" s="128">
        <f t="shared" si="28"/>
        <v>7461849</v>
      </c>
      <c r="I30" s="128">
        <f t="shared" si="28"/>
        <v>7899152.0625</v>
      </c>
      <c r="J30" s="128">
        <f t="shared" si="28"/>
        <v>8422573.2874999996</v>
      </c>
      <c r="K30" s="128">
        <f t="shared" si="28"/>
        <v>22113481.559203297</v>
      </c>
      <c r="L30" s="128">
        <f t="shared" si="28"/>
        <v>45517599.340979859</v>
      </c>
      <c r="M30" s="128">
        <f t="shared" si="28"/>
        <v>79042792.282627314</v>
      </c>
      <c r="N30" s="128">
        <f t="shared" si="28"/>
        <v>94325887.671381339</v>
      </c>
      <c r="O30" s="128">
        <f t="shared" si="28"/>
        <v>108908522.44763537</v>
      </c>
      <c r="P30" s="128">
        <f t="shared" si="28"/>
        <v>121815369.15184096</v>
      </c>
      <c r="Q30" s="128">
        <f t="shared" si="28"/>
        <v>121815369.15184096</v>
      </c>
      <c r="R30" s="128">
        <f t="shared" si="28"/>
        <v>121815369.15184096</v>
      </c>
      <c r="S30" s="128">
        <f t="shared" si="28"/>
        <v>121815369.15184096</v>
      </c>
      <c r="T30" s="128">
        <f t="shared" si="28"/>
        <v>121815369.15184096</v>
      </c>
      <c r="U30" s="128">
        <f t="shared" si="28"/>
        <v>121815369.15184096</v>
      </c>
      <c r="V30" s="128">
        <f>IF(SUM($C$29:V29)&lt;=$B30,SUM($C$29:V29),0)</f>
        <v>121815369.15184096</v>
      </c>
      <c r="W30" s="128">
        <f>IF(SUM($C$29:W29)&lt;=$B30,SUM($C$29:W29),0)</f>
        <v>121815369.15184096</v>
      </c>
      <c r="X30" s="128">
        <f>IF(SUM($C$29:X29)&lt;=$B30,SUM($C$29:X29),0)</f>
        <v>121815369.15184096</v>
      </c>
      <c r="Y30" s="128">
        <f>IF(SUM($C$29:Y29)&lt;=$B30,SUM($C$29:Y29),0)</f>
        <v>121815369.15184096</v>
      </c>
      <c r="Z30" s="128">
        <f>IF(SUM($C$29:Z29)&lt;=$B30,SUM($C$29:Z29),0)</f>
        <v>121815369.15184096</v>
      </c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52"/>
      <c r="AW30" s="152"/>
      <c r="AX30" s="152"/>
    </row>
    <row r="31" spans="1:50" ht="14.25" customHeight="1" x14ac:dyDescent="0.25">
      <c r="A31" s="81" t="s">
        <v>485</v>
      </c>
      <c r="B31" s="154">
        <f>'Phase I Financial'!B87</f>
        <v>188819827.05193722</v>
      </c>
      <c r="C31" s="264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264"/>
      <c r="AW31" s="264"/>
      <c r="AX31" s="152"/>
    </row>
    <row r="32" spans="1:50" ht="14.25" customHeight="1" x14ac:dyDescent="0.25">
      <c r="A32" s="156" t="s">
        <v>486</v>
      </c>
      <c r="B32" s="157">
        <f>PMT(0.055,30,(B31))</f>
        <v>-12991821.779503485</v>
      </c>
      <c r="C32" s="264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264"/>
      <c r="AW32" s="264"/>
      <c r="AX32" s="152"/>
    </row>
    <row r="33" spans="1:50" ht="14.25" customHeight="1" x14ac:dyDescent="0.25">
      <c r="A33" s="265" t="s">
        <v>487</v>
      </c>
      <c r="B33" s="158">
        <f>SUM(C33:AV33)</f>
        <v>0</v>
      </c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4"/>
      <c r="AW33" s="155"/>
      <c r="AX33" s="152"/>
    </row>
    <row r="34" spans="1:50" ht="14.25" customHeight="1" x14ac:dyDescent="0.25">
      <c r="A34" s="265"/>
      <c r="B34" s="406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4"/>
      <c r="AW34" s="155"/>
      <c r="AX34" s="152"/>
    </row>
    <row r="35" spans="1:50" ht="14.25" customHeight="1" x14ac:dyDescent="0.25">
      <c r="A35" s="283" t="s">
        <v>488</v>
      </c>
      <c r="B35" s="406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4"/>
      <c r="AW35" s="155"/>
      <c r="AX35" s="152"/>
    </row>
    <row r="36" spans="1:50" ht="14.25" customHeight="1" x14ac:dyDescent="0.25">
      <c r="A36" s="265" t="s">
        <v>489</v>
      </c>
      <c r="B36" s="406">
        <f>'Phase I Financial'!B99-'Phase I Financial'!B87</f>
        <v>227402279.53625619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4"/>
      <c r="AW36" s="155"/>
      <c r="AX36" s="152"/>
    </row>
    <row r="37" spans="1:50" ht="14.25" customHeight="1" x14ac:dyDescent="0.25">
      <c r="A37" s="265" t="s">
        <v>490</v>
      </c>
      <c r="B37" s="406">
        <f>SUM(C37:Z37)</f>
        <v>105586910.38441524</v>
      </c>
      <c r="C37" s="128">
        <f>-C29</f>
        <v>0</v>
      </c>
      <c r="D37" s="128">
        <f t="shared" ref="D37:V37" si="29">-D29</f>
        <v>0</v>
      </c>
      <c r="E37" s="128">
        <f t="shared" si="29"/>
        <v>-2763818.375</v>
      </c>
      <c r="F37" s="128">
        <f t="shared" si="29"/>
        <v>-2363818.375</v>
      </c>
      <c r="G37" s="128">
        <f t="shared" si="29"/>
        <v>-804606.125</v>
      </c>
      <c r="H37" s="128">
        <f t="shared" si="29"/>
        <v>-1529606.125</v>
      </c>
      <c r="I37" s="128">
        <f t="shared" si="29"/>
        <v>-437303.0625</v>
      </c>
      <c r="J37" s="128">
        <f t="shared" si="29"/>
        <v>-523421.22499999998</v>
      </c>
      <c r="K37" s="128">
        <f t="shared" si="29"/>
        <v>-13690908.271703297</v>
      </c>
      <c r="L37" s="128">
        <f t="shared" si="29"/>
        <v>-23404117.781776562</v>
      </c>
      <c r="M37" s="128">
        <f t="shared" si="29"/>
        <v>-33525192.941647448</v>
      </c>
      <c r="N37" s="128">
        <f t="shared" si="29"/>
        <v>-15283095.388754029</v>
      </c>
      <c r="O37" s="128">
        <f t="shared" si="29"/>
        <v>-14582634.77625403</v>
      </c>
      <c r="P37" s="128">
        <f t="shared" si="29"/>
        <v>-12906846.704205588</v>
      </c>
      <c r="Q37" s="128">
        <f t="shared" si="29"/>
        <v>0</v>
      </c>
      <c r="R37" s="128">
        <f t="shared" si="29"/>
        <v>0</v>
      </c>
      <c r="S37" s="128">
        <f t="shared" si="29"/>
        <v>0</v>
      </c>
      <c r="T37" s="128">
        <f t="shared" si="29"/>
        <v>0</v>
      </c>
      <c r="U37" s="128">
        <f t="shared" si="29"/>
        <v>0</v>
      </c>
      <c r="V37" s="128">
        <f t="shared" si="29"/>
        <v>0</v>
      </c>
      <c r="W37" s="128">
        <v>0</v>
      </c>
      <c r="X37" s="128">
        <v>0</v>
      </c>
      <c r="Y37" s="128">
        <v>0</v>
      </c>
      <c r="Z37" s="168">
        <f>B36</f>
        <v>227402279.53625619</v>
      </c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4"/>
      <c r="AW37" s="155"/>
      <c r="AX37" s="152"/>
    </row>
    <row r="38" spans="1:50" ht="14.25" customHeight="1" x14ac:dyDescent="0.25">
      <c r="A38" s="265" t="s">
        <v>491</v>
      </c>
      <c r="B38" s="407">
        <f>IRR(C37:Z37)</f>
        <v>4.8016399948704658E-2</v>
      </c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4"/>
      <c r="AW38" s="155"/>
      <c r="AX38" s="152"/>
    </row>
    <row r="39" spans="1:50" ht="14.25" customHeight="1" x14ac:dyDescent="0.25">
      <c r="A39" s="265" t="s">
        <v>492</v>
      </c>
      <c r="B39" s="408">
        <f>POWER(1+B38,4)-1</f>
        <v>0.20634718503427307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4"/>
      <c r="AW39" s="155"/>
      <c r="AX39" s="152"/>
    </row>
    <row r="40" spans="1:50" ht="14.25" customHeight="1" x14ac:dyDescent="0.25">
      <c r="A40" s="283" t="s">
        <v>493</v>
      </c>
      <c r="B40" s="406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4"/>
      <c r="AW40" s="155"/>
      <c r="AX40" s="152"/>
    </row>
    <row r="41" spans="1:50" ht="14.25" customHeight="1" x14ac:dyDescent="0.25">
      <c r="A41" s="265" t="s">
        <v>494</v>
      </c>
      <c r="B41" s="406">
        <f>'Phase I Financial'!B99-'Phase I Draw'!B27</f>
        <v>416222106.58819342</v>
      </c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4"/>
      <c r="AW41" s="155"/>
      <c r="AX41" s="152"/>
    </row>
    <row r="42" spans="1:50" ht="14.25" customHeight="1" x14ac:dyDescent="0.25">
      <c r="A42" s="265" t="s">
        <v>495</v>
      </c>
      <c r="B42" s="406">
        <f>SUM(C42:Z42)</f>
        <v>101522394.83496469</v>
      </c>
      <c r="C42" s="128">
        <f>-C26</f>
        <v>0</v>
      </c>
      <c r="D42" s="128">
        <f>-D26</f>
        <v>0</v>
      </c>
      <c r="E42" s="128">
        <f t="shared" ref="E42:Y42" si="30">-E26</f>
        <v>-2763818.375</v>
      </c>
      <c r="F42" s="128">
        <f t="shared" si="30"/>
        <v>-2363818.375</v>
      </c>
      <c r="G42" s="128">
        <f t="shared" si="30"/>
        <v>-804606.125</v>
      </c>
      <c r="H42" s="128">
        <f t="shared" si="30"/>
        <v>-1529606.125</v>
      </c>
      <c r="I42" s="128">
        <f t="shared" si="30"/>
        <v>-437303.0625</v>
      </c>
      <c r="J42" s="128">
        <f t="shared" si="30"/>
        <v>-523421.22499999998</v>
      </c>
      <c r="K42" s="128">
        <f t="shared" si="30"/>
        <v>-13690908.271703297</v>
      </c>
      <c r="L42" s="128">
        <f t="shared" si="30"/>
        <v>-23404117.781776562</v>
      </c>
      <c r="M42" s="128">
        <f t="shared" si="30"/>
        <v>-33525192.941647448</v>
      </c>
      <c r="N42" s="128">
        <f t="shared" si="30"/>
        <v>-15283095.388754029</v>
      </c>
      <c r="O42" s="128">
        <f t="shared" si="30"/>
        <v>-14582634.77625403</v>
      </c>
      <c r="P42" s="128">
        <f t="shared" si="30"/>
        <v>-25709323.489623994</v>
      </c>
      <c r="Q42" s="128">
        <f t="shared" si="30"/>
        <v>-23625206.822957326</v>
      </c>
      <c r="R42" s="128">
        <f t="shared" si="30"/>
        <v>-23625206.822957326</v>
      </c>
      <c r="S42" s="128">
        <f t="shared" si="30"/>
        <v>-23625206.822957326</v>
      </c>
      <c r="T42" s="128">
        <f t="shared" si="30"/>
        <v>-24028912.877123993</v>
      </c>
      <c r="U42" s="128">
        <f t="shared" si="30"/>
        <v>-23549746.210457325</v>
      </c>
      <c r="V42" s="128">
        <f t="shared" si="30"/>
        <v>-12839724.163754029</v>
      </c>
      <c r="W42" s="128">
        <f t="shared" si="30"/>
        <v>-19962724.163754027</v>
      </c>
      <c r="X42" s="128">
        <f t="shared" si="30"/>
        <v>-19962724.163754027</v>
      </c>
      <c r="Y42" s="128">
        <f t="shared" si="30"/>
        <v>-7154606.8841269575</v>
      </c>
      <c r="Z42" s="168">
        <f>-Z26+B41</f>
        <v>414514299.70406646</v>
      </c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4"/>
      <c r="AW42" s="155"/>
      <c r="AX42" s="152"/>
    </row>
    <row r="43" spans="1:50" ht="14.25" customHeight="1" x14ac:dyDescent="0.25">
      <c r="A43" s="265" t="s">
        <v>496</v>
      </c>
      <c r="B43" s="407">
        <f>IF(B42&lt;0,0,IRR(C42:AU42))</f>
        <v>3.173468466287388E-2</v>
      </c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4"/>
      <c r="AW43" s="155"/>
      <c r="AX43" s="152"/>
    </row>
    <row r="44" spans="1:50" ht="14.25" customHeight="1" x14ac:dyDescent="0.25">
      <c r="A44" s="265" t="s">
        <v>497</v>
      </c>
      <c r="B44" s="408">
        <f>POWER(1+B43,4)-1</f>
        <v>0.13311013290714868</v>
      </c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4"/>
      <c r="AW44" s="155"/>
      <c r="AX44" s="152"/>
    </row>
    <row r="45" spans="1:50" ht="14.25" customHeight="1" x14ac:dyDescent="0.25">
      <c r="A45" s="265"/>
      <c r="B45" s="406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4"/>
      <c r="AW45" s="155"/>
      <c r="AX45" s="152"/>
    </row>
    <row r="46" spans="1:50" ht="14.25" customHeight="1" x14ac:dyDescent="0.25">
      <c r="A46" s="265"/>
      <c r="B46" s="406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4"/>
      <c r="AW46" s="155"/>
      <c r="AX46" s="152"/>
    </row>
    <row r="47" spans="1:50" ht="14.25" customHeight="1" x14ac:dyDescent="0.25">
      <c r="A47" s="265"/>
      <c r="B47" s="406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4"/>
      <c r="AW47" s="155"/>
      <c r="AX47" s="152"/>
    </row>
    <row r="48" spans="1:50" ht="14.25" customHeight="1" x14ac:dyDescent="0.25">
      <c r="A48" s="265"/>
      <c r="B48" s="406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4"/>
      <c r="AW48" s="155"/>
      <c r="AX48" s="152"/>
    </row>
    <row r="49" spans="1:70" ht="14.2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</row>
    <row r="50" spans="1:70" ht="14.2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1:70" ht="14.25" customHeight="1" x14ac:dyDescent="0.25">
      <c r="A51" s="2"/>
      <c r="B51" s="57"/>
      <c r="C51" s="36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1:70" ht="14.2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1:70" ht="14.2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1:70" ht="14.2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  <row r="55" spans="1:70" ht="14.2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  <row r="56" spans="1:70" ht="14.2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</row>
    <row r="57" spans="1:70" ht="14.2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</row>
    <row r="58" spans="1:70" ht="14.2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</row>
    <row r="59" spans="1:70" ht="14.2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</row>
    <row r="60" spans="1:70" ht="14.2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</row>
    <row r="61" spans="1:70" ht="14.2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</row>
    <row r="62" spans="1:70" ht="14.2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</row>
    <row r="63" spans="1:70" ht="14.2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</row>
    <row r="64" spans="1:70" ht="14.2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</row>
    <row r="65" spans="1:70" ht="14.2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</row>
    <row r="66" spans="1:70" ht="14.2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</row>
    <row r="67" spans="1:70" ht="14.2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</row>
    <row r="68" spans="1:70" ht="14.2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</row>
    <row r="69" spans="1:70" ht="14.2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</row>
    <row r="70" spans="1:70" ht="14.2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</row>
    <row r="71" spans="1:70" ht="14.2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</row>
    <row r="72" spans="1:70" ht="14.2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</row>
    <row r="73" spans="1:70" ht="14.2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</row>
    <row r="74" spans="1:70" ht="14.2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</row>
    <row r="75" spans="1:70" ht="14.2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</row>
    <row r="76" spans="1:70" ht="14.2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</row>
    <row r="77" spans="1:70" ht="14.2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</row>
    <row r="78" spans="1:70" ht="14.2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</row>
    <row r="79" spans="1:70" ht="14.2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</row>
    <row r="80" spans="1:70" ht="14.2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</row>
    <row r="81" spans="1:70" ht="14.2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</row>
    <row r="82" spans="1:70" ht="14.2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</row>
    <row r="83" spans="1:70" ht="14.2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</row>
    <row r="84" spans="1:70" ht="14.2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</row>
    <row r="85" spans="1:70" ht="14.2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</row>
    <row r="86" spans="1:70" ht="14.2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</row>
    <row r="87" spans="1:70" ht="14.2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</row>
    <row r="88" spans="1:70" ht="14.2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</row>
    <row r="89" spans="1:70" ht="14.2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</row>
    <row r="90" spans="1:70" ht="14.2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</row>
    <row r="91" spans="1:70" ht="14.2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</row>
    <row r="92" spans="1:70" ht="14.2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</row>
    <row r="93" spans="1:70" ht="14.2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</row>
    <row r="94" spans="1:70" ht="14.2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</row>
    <row r="95" spans="1:70" ht="14.2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</row>
    <row r="96" spans="1:70" ht="14.2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</row>
    <row r="97" spans="1:70" ht="14.2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</row>
    <row r="98" spans="1:70" ht="14.2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</row>
    <row r="99" spans="1:70" ht="14.2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</row>
    <row r="100" spans="1:70" ht="14.2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</row>
    <row r="101" spans="1:70" ht="14.2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</row>
    <row r="102" spans="1:70" ht="14.2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</row>
    <row r="103" spans="1:70" ht="14.2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</row>
    <row r="104" spans="1:70" ht="14.2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</row>
    <row r="105" spans="1:70" ht="14.2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</row>
    <row r="106" spans="1:70" ht="14.2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</row>
    <row r="107" spans="1:70" ht="14.2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</row>
    <row r="108" spans="1:70" ht="14.2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</row>
    <row r="109" spans="1:70" ht="14.2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</row>
    <row r="110" spans="1:70" ht="14.2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</row>
    <row r="111" spans="1:70" ht="14.2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</row>
    <row r="112" spans="1:70" ht="14.2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</row>
    <row r="113" spans="1:70" ht="14.2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</row>
    <row r="114" spans="1:70" ht="14.2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</row>
    <row r="115" spans="1:70" ht="14.2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</row>
    <row r="116" spans="1:70" ht="14.2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</row>
    <row r="117" spans="1:70" ht="14.2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</row>
    <row r="118" spans="1:70" ht="14.2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</row>
    <row r="119" spans="1:70" ht="14.2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</row>
    <row r="120" spans="1:70" ht="14.2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</row>
    <row r="121" spans="1:70" ht="14.2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</row>
    <row r="122" spans="1:70" ht="14.2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</row>
    <row r="123" spans="1:70" ht="14.2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</row>
    <row r="124" spans="1:70" ht="14.2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</row>
    <row r="125" spans="1:70" ht="14.2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</row>
    <row r="126" spans="1:70" ht="14.2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</row>
    <row r="127" spans="1:70" ht="14.2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</row>
    <row r="128" spans="1:70" ht="14.2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</row>
    <row r="129" spans="1:70" ht="14.2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</row>
    <row r="130" spans="1:70" ht="14.2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</row>
    <row r="131" spans="1:70" ht="14.2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</row>
    <row r="132" spans="1:70" ht="14.2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</row>
    <row r="133" spans="1:70" ht="14.2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</row>
    <row r="134" spans="1:70" ht="14.2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</row>
    <row r="135" spans="1:70" ht="14.2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</row>
    <row r="136" spans="1:70" ht="14.2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</row>
    <row r="137" spans="1:70" ht="14.2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</row>
    <row r="138" spans="1:70" ht="14.2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</row>
    <row r="139" spans="1:70" ht="14.2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</row>
    <row r="140" spans="1:70" ht="14.2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</row>
    <row r="141" spans="1:70" ht="14.2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</row>
    <row r="142" spans="1:70" ht="14.2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</row>
    <row r="143" spans="1:70" ht="14.2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</row>
    <row r="144" spans="1:70" ht="14.2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</row>
    <row r="145" spans="1:70" ht="14.2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</row>
    <row r="146" spans="1:70" ht="14.2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</row>
    <row r="147" spans="1:70" ht="14.2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</row>
    <row r="148" spans="1:70" ht="14.2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</row>
    <row r="149" spans="1:70" ht="14.2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</row>
    <row r="150" spans="1:70" ht="14.2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</row>
    <row r="151" spans="1:70" ht="14.2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</row>
    <row r="152" spans="1:70" ht="14.2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</row>
    <row r="153" spans="1:70" ht="14.2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</row>
    <row r="154" spans="1:70" ht="14.2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</row>
    <row r="155" spans="1:70" ht="14.2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</row>
    <row r="156" spans="1:70" ht="14.2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</row>
    <row r="157" spans="1:70" ht="14.2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</row>
    <row r="158" spans="1:70" ht="14.2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</row>
    <row r="159" spans="1:70" ht="14.2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</row>
    <row r="160" spans="1:70" ht="14.2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</row>
    <row r="161" spans="1:70" ht="14.2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</row>
    <row r="162" spans="1:70" ht="14.2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</row>
    <row r="163" spans="1:70" ht="14.2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</row>
    <row r="164" spans="1:70" ht="14.2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</row>
    <row r="165" spans="1:70" ht="14.2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</row>
    <row r="166" spans="1:70" ht="14.2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</row>
    <row r="167" spans="1:70" ht="14.2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</row>
    <row r="168" spans="1:70" ht="14.2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</row>
    <row r="169" spans="1:70" ht="14.2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</row>
    <row r="170" spans="1:70" ht="14.2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</row>
    <row r="171" spans="1:70" ht="14.2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</row>
    <row r="172" spans="1:70" ht="14.2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</row>
    <row r="173" spans="1:70" ht="14.2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</row>
    <row r="174" spans="1:70" ht="14.2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</row>
    <row r="175" spans="1:70" ht="14.2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</row>
    <row r="176" spans="1:70" ht="14.2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</row>
    <row r="177" spans="1:70" ht="14.2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</row>
    <row r="178" spans="1:70" ht="14.2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</row>
    <row r="179" spans="1:70" ht="14.2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</row>
    <row r="180" spans="1:70" ht="14.2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</row>
    <row r="181" spans="1:70" ht="14.2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</row>
    <row r="182" spans="1:70" ht="14.2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</row>
    <row r="183" spans="1:70" ht="14.2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</row>
    <row r="184" spans="1:70" ht="14.2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</row>
    <row r="185" spans="1:70" ht="14.2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</row>
    <row r="186" spans="1:70" ht="14.2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</row>
    <row r="187" spans="1:70" ht="14.2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</row>
    <row r="188" spans="1:70" ht="14.2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</row>
    <row r="189" spans="1:70" ht="14.2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</row>
    <row r="190" spans="1:70" ht="14.2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</row>
    <row r="191" spans="1:70" ht="14.2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</row>
    <row r="192" spans="1:70" ht="14.2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</row>
    <row r="193" spans="1:70" ht="14.2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</row>
    <row r="194" spans="1:70" ht="14.2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</row>
    <row r="195" spans="1:70" ht="14.2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</row>
    <row r="196" spans="1:70" ht="14.2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</row>
    <row r="197" spans="1:70" ht="14.2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</row>
    <row r="198" spans="1:70" ht="14.2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</row>
    <row r="199" spans="1:70" ht="14.2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</row>
    <row r="200" spans="1:70" ht="14.2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</row>
    <row r="201" spans="1:70" ht="14.2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</row>
    <row r="202" spans="1:70" ht="14.2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</row>
    <row r="203" spans="1:70" ht="14.2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</row>
    <row r="204" spans="1:70" ht="14.2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</row>
    <row r="205" spans="1:70" ht="14.2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</row>
    <row r="206" spans="1:70" ht="14.2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</row>
    <row r="207" spans="1:70" ht="14.2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</row>
    <row r="208" spans="1:70" ht="14.2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</row>
    <row r="209" spans="1:70" ht="14.2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</row>
    <row r="210" spans="1:70" ht="14.2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</row>
    <row r="211" spans="1:70" ht="14.2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</row>
    <row r="212" spans="1:70" ht="14.2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</row>
    <row r="213" spans="1:7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</row>
    <row r="214" spans="1:7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</row>
    <row r="215" spans="1:7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</row>
    <row r="216" spans="1:7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</row>
    <row r="217" spans="1:7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</row>
    <row r="218" spans="1:7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</row>
    <row r="219" spans="1:7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</row>
    <row r="220" spans="1:7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</row>
    <row r="221" spans="1:7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</row>
    <row r="222" spans="1:7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</row>
    <row r="223" spans="1:7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</row>
    <row r="224" spans="1:7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</row>
    <row r="225" spans="1:7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</row>
    <row r="226" spans="1:7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</row>
    <row r="227" spans="1:7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</row>
    <row r="228" spans="1:7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</row>
    <row r="229" spans="1:7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</row>
    <row r="230" spans="1:7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</row>
    <row r="231" spans="1:7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</row>
    <row r="232" spans="1:7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</row>
    <row r="233" spans="1:7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</row>
    <row r="234" spans="1:7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</row>
    <row r="235" spans="1:7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</row>
    <row r="236" spans="1:7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</row>
    <row r="237" spans="1:7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</row>
    <row r="238" spans="1:7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</row>
    <row r="239" spans="1:7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</row>
    <row r="240" spans="1:7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</row>
    <row r="241" spans="1:7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</row>
    <row r="242" spans="1:7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</row>
    <row r="243" spans="1:7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</row>
    <row r="244" spans="1:7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</row>
    <row r="245" spans="1:7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</row>
    <row r="246" spans="1:7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</row>
    <row r="247" spans="1:7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</row>
    <row r="248" spans="1:70" ht="14.25" customHeight="1" x14ac:dyDescent="0.25">
      <c r="A248" s="2"/>
      <c r="B248" s="2"/>
      <c r="C248" s="2"/>
      <c r="D248" s="2"/>
      <c r="E248" s="2"/>
      <c r="F248" s="2"/>
      <c r="G248" s="26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</row>
    <row r="249" spans="1:70" ht="14.25" customHeight="1" x14ac:dyDescent="0.25">
      <c r="A249" s="2"/>
      <c r="B249" s="2"/>
      <c r="C249" s="2"/>
      <c r="D249" s="2"/>
      <c r="E249" s="2"/>
      <c r="F249" s="2"/>
      <c r="G249" s="26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</row>
    <row r="250" spans="1:70" ht="14.25" customHeight="1" x14ac:dyDescent="0.25">
      <c r="A250" s="2"/>
      <c r="B250" s="2"/>
      <c r="C250" s="2"/>
      <c r="D250" s="2"/>
      <c r="E250" s="2"/>
      <c r="F250" s="2"/>
      <c r="G250" s="26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</row>
    <row r="251" spans="1:70" ht="14.25" customHeight="1" x14ac:dyDescent="0.25">
      <c r="A251" s="2"/>
      <c r="B251" s="2"/>
      <c r="C251" s="2"/>
      <c r="D251" s="2"/>
      <c r="E251" s="2"/>
      <c r="F251" s="2"/>
      <c r="G251" s="26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</row>
    <row r="252" spans="1:70" ht="14.25" customHeight="1" x14ac:dyDescent="0.25">
      <c r="A252" s="2"/>
      <c r="B252" s="2"/>
      <c r="C252" s="2"/>
      <c r="D252" s="2"/>
      <c r="E252" s="2"/>
      <c r="F252" s="2"/>
      <c r="G252" s="26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</row>
    <row r="253" spans="1:70" ht="14.25" customHeight="1" x14ac:dyDescent="0.25">
      <c r="A253" s="2"/>
      <c r="B253" s="2"/>
      <c r="C253" s="2"/>
      <c r="D253" s="2"/>
      <c r="E253" s="2"/>
      <c r="F253" s="2"/>
      <c r="G253" s="26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</row>
    <row r="254" spans="1:70" ht="14.25" customHeight="1" x14ac:dyDescent="0.25">
      <c r="A254" s="2"/>
      <c r="B254" s="2"/>
      <c r="C254" s="2"/>
      <c r="D254" s="2"/>
      <c r="E254" s="2"/>
      <c r="F254" s="2"/>
      <c r="G254" s="26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</row>
    <row r="255" spans="1:70" ht="14.25" customHeight="1" x14ac:dyDescent="0.25">
      <c r="A255" s="2"/>
      <c r="B255" s="2"/>
      <c r="C255" s="2"/>
      <c r="D255" s="2"/>
      <c r="E255" s="2"/>
      <c r="F255" s="2"/>
      <c r="G255" s="26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</row>
    <row r="256" spans="1:70" ht="14.25" customHeight="1" x14ac:dyDescent="0.25">
      <c r="A256" s="2"/>
      <c r="B256" s="2"/>
      <c r="C256" s="2"/>
      <c r="D256" s="2"/>
      <c r="E256" s="2"/>
      <c r="F256" s="2"/>
      <c r="G256" s="26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</row>
    <row r="257" spans="1:70" ht="14.25" customHeight="1" x14ac:dyDescent="0.25">
      <c r="A257" s="2"/>
      <c r="B257" s="2"/>
      <c r="C257" s="2"/>
      <c r="D257" s="2"/>
      <c r="E257" s="2"/>
      <c r="F257" s="2"/>
      <c r="G257" s="26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</row>
    <row r="258" spans="1:70" ht="14.25" customHeight="1" x14ac:dyDescent="0.25">
      <c r="A258" s="2"/>
      <c r="B258" s="2"/>
      <c r="C258" s="2"/>
      <c r="D258" s="2"/>
      <c r="E258" s="2"/>
      <c r="F258" s="2"/>
      <c r="G258" s="26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</row>
    <row r="259" spans="1:70" ht="14.25" customHeight="1" x14ac:dyDescent="0.25">
      <c r="A259" s="2"/>
      <c r="B259" s="2"/>
      <c r="C259" s="2"/>
      <c r="D259" s="2"/>
      <c r="E259" s="2"/>
      <c r="F259" s="2"/>
      <c r="G259" s="26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</row>
    <row r="260" spans="1:70" ht="14.25" customHeight="1" x14ac:dyDescent="0.25">
      <c r="A260" s="2"/>
      <c r="B260" s="2"/>
      <c r="C260" s="2"/>
      <c r="D260" s="2"/>
      <c r="E260" s="2"/>
      <c r="F260" s="2"/>
      <c r="G260" s="26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</row>
    <row r="261" spans="1:70" ht="14.25" customHeight="1" x14ac:dyDescent="0.25">
      <c r="A261" s="2"/>
      <c r="B261" s="2"/>
      <c r="C261" s="2"/>
      <c r="D261" s="2"/>
      <c r="E261" s="2"/>
      <c r="F261" s="2"/>
      <c r="G261" s="26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</row>
    <row r="262" spans="1:70" ht="14.25" customHeight="1" x14ac:dyDescent="0.25">
      <c r="A262" s="2"/>
      <c r="B262" s="2"/>
      <c r="C262" s="2"/>
      <c r="D262" s="2"/>
      <c r="E262" s="2"/>
      <c r="F262" s="2"/>
      <c r="G262" s="26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</row>
    <row r="263" spans="1:70" ht="14.25" customHeight="1" x14ac:dyDescent="0.25">
      <c r="A263" s="2"/>
      <c r="B263" s="2"/>
      <c r="C263" s="2"/>
      <c r="D263" s="2"/>
      <c r="E263" s="2"/>
      <c r="F263" s="2"/>
      <c r="G263" s="26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</row>
    <row r="264" spans="1:70" ht="14.25" customHeight="1" x14ac:dyDescent="0.25">
      <c r="A264" s="2"/>
      <c r="B264" s="2"/>
      <c r="C264" s="2"/>
      <c r="D264" s="2"/>
      <c r="E264" s="2"/>
      <c r="F264" s="2"/>
      <c r="G264" s="26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</row>
    <row r="265" spans="1:70" ht="14.25" customHeight="1" x14ac:dyDescent="0.25">
      <c r="A265" s="2"/>
      <c r="B265" s="2"/>
      <c r="C265" s="2"/>
      <c r="D265" s="2"/>
      <c r="E265" s="2"/>
      <c r="F265" s="2"/>
      <c r="G265" s="26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</row>
    <row r="266" spans="1:70" ht="14.25" customHeight="1" x14ac:dyDescent="0.25">
      <c r="A266" s="2"/>
      <c r="B266" s="2"/>
      <c r="C266" s="2"/>
      <c r="D266" s="2"/>
      <c r="E266" s="2"/>
      <c r="F266" s="2"/>
      <c r="G266" s="26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</row>
    <row r="267" spans="1:70" ht="14.25" customHeight="1" x14ac:dyDescent="0.25">
      <c r="A267" s="2"/>
      <c r="B267" s="2"/>
      <c r="C267" s="2"/>
      <c r="D267" s="2"/>
      <c r="E267" s="2"/>
      <c r="F267" s="2"/>
      <c r="G267" s="26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</row>
    <row r="268" spans="1:70" ht="14.25" customHeight="1" x14ac:dyDescent="0.25">
      <c r="A268" s="2"/>
      <c r="B268" s="2"/>
      <c r="C268" s="2"/>
      <c r="D268" s="2"/>
      <c r="E268" s="2"/>
      <c r="F268" s="2"/>
      <c r="G268" s="26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</row>
    <row r="269" spans="1:70" ht="14.25" customHeight="1" x14ac:dyDescent="0.25">
      <c r="A269" s="2"/>
      <c r="B269" s="2"/>
      <c r="C269" s="2"/>
      <c r="D269" s="2"/>
      <c r="E269" s="2"/>
      <c r="F269" s="2"/>
      <c r="G269" s="26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</row>
    <row r="270" spans="1:70" ht="14.25" customHeight="1" x14ac:dyDescent="0.25">
      <c r="A270" s="2"/>
      <c r="B270" s="2"/>
      <c r="C270" s="2"/>
      <c r="D270" s="2"/>
      <c r="E270" s="2"/>
      <c r="F270" s="2"/>
      <c r="G270" s="26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</row>
    <row r="271" spans="1:70" ht="14.25" customHeight="1" x14ac:dyDescent="0.25">
      <c r="A271" s="2"/>
      <c r="B271" s="2"/>
      <c r="C271" s="2"/>
      <c r="D271" s="2"/>
      <c r="E271" s="2"/>
      <c r="F271" s="2"/>
      <c r="G271" s="26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</row>
    <row r="272" spans="1:70" ht="14.25" customHeight="1" x14ac:dyDescent="0.25">
      <c r="A272" s="2"/>
      <c r="B272" s="2"/>
      <c r="C272" s="2"/>
      <c r="D272" s="2"/>
      <c r="E272" s="2"/>
      <c r="F272" s="2"/>
      <c r="G272" s="26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</row>
    <row r="273" spans="1:70" ht="14.25" customHeight="1" x14ac:dyDescent="0.25">
      <c r="A273" s="2"/>
      <c r="B273" s="2"/>
      <c r="C273" s="2"/>
      <c r="D273" s="2"/>
      <c r="E273" s="2"/>
      <c r="F273" s="2"/>
      <c r="G273" s="26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</row>
    <row r="274" spans="1:70" ht="14.25" customHeight="1" x14ac:dyDescent="0.25">
      <c r="A274" s="2"/>
      <c r="B274" s="2"/>
      <c r="C274" s="2"/>
      <c r="D274" s="2"/>
      <c r="E274" s="2"/>
      <c r="F274" s="2"/>
      <c r="G274" s="26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</row>
    <row r="275" spans="1:70" ht="14.25" customHeight="1" x14ac:dyDescent="0.25">
      <c r="A275" s="2"/>
      <c r="B275" s="2"/>
      <c r="C275" s="2"/>
      <c r="D275" s="2"/>
      <c r="E275" s="2"/>
      <c r="F275" s="2"/>
      <c r="G275" s="26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</row>
    <row r="276" spans="1:70" ht="14.25" customHeight="1" x14ac:dyDescent="0.25">
      <c r="A276" s="2"/>
      <c r="B276" s="2"/>
      <c r="C276" s="2"/>
      <c r="D276" s="2"/>
      <c r="E276" s="2"/>
      <c r="F276" s="2"/>
      <c r="G276" s="26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</row>
    <row r="277" spans="1:70" ht="14.25" customHeight="1" x14ac:dyDescent="0.25">
      <c r="A277" s="2"/>
      <c r="B277" s="2"/>
      <c r="C277" s="2"/>
      <c r="D277" s="2"/>
      <c r="E277" s="2"/>
      <c r="F277" s="2"/>
      <c r="G277" s="26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</row>
    <row r="278" spans="1:70" ht="14.25" customHeight="1" x14ac:dyDescent="0.25">
      <c r="A278" s="2"/>
      <c r="B278" s="2"/>
      <c r="C278" s="2"/>
      <c r="D278" s="2"/>
      <c r="E278" s="2"/>
      <c r="F278" s="2"/>
      <c r="G278" s="26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</row>
    <row r="279" spans="1:70" ht="14.25" customHeight="1" x14ac:dyDescent="0.25">
      <c r="A279" s="2"/>
      <c r="B279" s="2"/>
      <c r="C279" s="2"/>
      <c r="D279" s="2"/>
      <c r="E279" s="2"/>
      <c r="F279" s="2"/>
      <c r="G279" s="26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</row>
    <row r="280" spans="1:70" ht="14.25" customHeight="1" x14ac:dyDescent="0.25">
      <c r="A280" s="2"/>
      <c r="B280" s="2"/>
      <c r="C280" s="2"/>
      <c r="D280" s="2"/>
      <c r="E280" s="2"/>
      <c r="F280" s="2"/>
      <c r="G280" s="26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</row>
    <row r="281" spans="1:70" ht="14.25" customHeight="1" x14ac:dyDescent="0.25">
      <c r="A281" s="2"/>
      <c r="B281" s="2"/>
      <c r="C281" s="2"/>
      <c r="D281" s="2"/>
      <c r="E281" s="2"/>
      <c r="F281" s="2"/>
      <c r="G281" s="26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</row>
    <row r="282" spans="1:70" ht="14.25" customHeight="1" x14ac:dyDescent="0.25">
      <c r="A282" s="2"/>
      <c r="B282" s="2"/>
      <c r="C282" s="2"/>
      <c r="D282" s="2"/>
      <c r="E282" s="2"/>
      <c r="F282" s="2"/>
      <c r="G282" s="26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</row>
    <row r="283" spans="1:70" ht="14.25" customHeight="1" x14ac:dyDescent="0.25">
      <c r="A283" s="2"/>
      <c r="B283" s="2"/>
      <c r="C283" s="2"/>
      <c r="D283" s="2"/>
      <c r="E283" s="2"/>
      <c r="F283" s="2"/>
      <c r="G283" s="26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</row>
    <row r="284" spans="1:70" ht="14.25" customHeight="1" x14ac:dyDescent="0.25">
      <c r="A284" s="2"/>
      <c r="B284" s="2"/>
      <c r="C284" s="2"/>
      <c r="D284" s="2"/>
      <c r="E284" s="2"/>
      <c r="F284" s="2"/>
      <c r="G284" s="26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</row>
    <row r="285" spans="1:70" ht="14.25" customHeight="1" x14ac:dyDescent="0.25">
      <c r="A285" s="2"/>
      <c r="B285" s="2"/>
      <c r="C285" s="2"/>
      <c r="D285" s="2"/>
      <c r="E285" s="2"/>
      <c r="F285" s="2"/>
      <c r="G285" s="26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</row>
    <row r="286" spans="1:70" ht="14.25" customHeight="1" x14ac:dyDescent="0.25">
      <c r="A286" s="2"/>
      <c r="B286" s="2"/>
      <c r="C286" s="2"/>
      <c r="D286" s="2"/>
      <c r="E286" s="2"/>
      <c r="F286" s="2"/>
      <c r="G286" s="26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</row>
    <row r="287" spans="1:70" ht="14.25" customHeight="1" x14ac:dyDescent="0.25">
      <c r="A287" s="2"/>
      <c r="B287" s="2"/>
      <c r="C287" s="2"/>
      <c r="D287" s="2"/>
      <c r="E287" s="2"/>
      <c r="F287" s="2"/>
      <c r="G287" s="26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</row>
    <row r="288" spans="1:70" ht="14.25" customHeight="1" x14ac:dyDescent="0.25">
      <c r="A288" s="2"/>
      <c r="B288" s="2"/>
      <c r="C288" s="2"/>
      <c r="D288" s="2"/>
      <c r="E288" s="2"/>
      <c r="F288" s="2"/>
      <c r="G288" s="26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</row>
    <row r="289" spans="1:70" ht="14.25" customHeight="1" x14ac:dyDescent="0.25">
      <c r="A289" s="2"/>
      <c r="B289" s="2"/>
      <c r="C289" s="2"/>
      <c r="D289" s="2"/>
      <c r="E289" s="2"/>
      <c r="F289" s="2"/>
      <c r="G289" s="26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</row>
    <row r="290" spans="1:70" ht="14.25" customHeight="1" x14ac:dyDescent="0.25">
      <c r="A290" s="2"/>
      <c r="B290" s="2"/>
      <c r="C290" s="2"/>
      <c r="D290" s="2"/>
      <c r="E290" s="2"/>
      <c r="F290" s="2"/>
      <c r="G290" s="26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</row>
    <row r="291" spans="1:70" ht="14.25" customHeight="1" x14ac:dyDescent="0.25">
      <c r="A291" s="2"/>
      <c r="B291" s="2"/>
      <c r="C291" s="2"/>
      <c r="D291" s="2"/>
      <c r="E291" s="2"/>
      <c r="F291" s="2"/>
      <c r="G291" s="26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</row>
    <row r="292" spans="1:70" ht="14.25" customHeight="1" x14ac:dyDescent="0.25">
      <c r="A292" s="2"/>
      <c r="B292" s="2"/>
      <c r="C292" s="2"/>
      <c r="D292" s="2"/>
      <c r="E292" s="2"/>
      <c r="F292" s="2"/>
      <c r="G292" s="26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</row>
    <row r="293" spans="1:70" ht="14.25" customHeight="1" x14ac:dyDescent="0.25">
      <c r="A293" s="2"/>
      <c r="B293" s="2"/>
      <c r="C293" s="2"/>
      <c r="D293" s="2"/>
      <c r="E293" s="2"/>
      <c r="F293" s="2"/>
      <c r="G293" s="26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</row>
    <row r="294" spans="1:70" ht="14.25" customHeight="1" x14ac:dyDescent="0.25">
      <c r="A294" s="2"/>
      <c r="B294" s="2"/>
      <c r="C294" s="2"/>
      <c r="D294" s="2"/>
      <c r="E294" s="2"/>
      <c r="F294" s="2"/>
      <c r="G294" s="26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</row>
    <row r="295" spans="1:70" ht="14.25" customHeight="1" x14ac:dyDescent="0.25">
      <c r="A295" s="2"/>
      <c r="B295" s="2"/>
      <c r="C295" s="2"/>
      <c r="D295" s="2"/>
      <c r="E295" s="2"/>
      <c r="F295" s="2"/>
      <c r="G295" s="26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</row>
    <row r="296" spans="1:70" ht="14.25" customHeight="1" x14ac:dyDescent="0.25">
      <c r="A296" s="2"/>
      <c r="B296" s="2"/>
      <c r="C296" s="2"/>
      <c r="D296" s="2"/>
      <c r="E296" s="2"/>
      <c r="F296" s="2"/>
      <c r="G296" s="26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</row>
    <row r="297" spans="1:70" ht="14.25" customHeight="1" x14ac:dyDescent="0.25">
      <c r="A297" s="2"/>
      <c r="B297" s="2"/>
      <c r="C297" s="2"/>
      <c r="D297" s="2"/>
      <c r="E297" s="2"/>
      <c r="F297" s="2"/>
      <c r="G297" s="26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</row>
    <row r="298" spans="1:70" ht="14.25" customHeight="1" x14ac:dyDescent="0.25">
      <c r="A298" s="2"/>
      <c r="B298" s="2"/>
      <c r="C298" s="2"/>
      <c r="D298" s="2"/>
      <c r="E298" s="2"/>
      <c r="F298" s="2"/>
      <c r="G298" s="26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</row>
    <row r="299" spans="1:70" ht="14.25" customHeight="1" x14ac:dyDescent="0.25">
      <c r="A299" s="2"/>
      <c r="B299" s="2"/>
      <c r="C299" s="2"/>
      <c r="D299" s="2"/>
      <c r="E299" s="2"/>
      <c r="F299" s="2"/>
      <c r="G299" s="26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</row>
    <row r="300" spans="1:70" ht="14.25" customHeight="1" x14ac:dyDescent="0.25">
      <c r="A300" s="2"/>
      <c r="B300" s="2"/>
      <c r="C300" s="2"/>
      <c r="D300" s="2"/>
      <c r="E300" s="2"/>
      <c r="F300" s="2"/>
      <c r="G300" s="26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</row>
    <row r="301" spans="1:70" ht="14.25" customHeight="1" x14ac:dyDescent="0.25">
      <c r="A301" s="2"/>
      <c r="B301" s="2"/>
      <c r="C301" s="2"/>
      <c r="D301" s="2"/>
      <c r="E301" s="2"/>
      <c r="F301" s="2"/>
      <c r="G301" s="26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</row>
    <row r="302" spans="1:70" ht="14.25" customHeight="1" x14ac:dyDescent="0.25">
      <c r="A302" s="2"/>
      <c r="B302" s="2"/>
      <c r="C302" s="2"/>
      <c r="D302" s="2"/>
      <c r="E302" s="2"/>
      <c r="F302" s="2"/>
      <c r="G302" s="26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</row>
    <row r="303" spans="1:70" ht="14.25" customHeight="1" x14ac:dyDescent="0.25">
      <c r="A303" s="2"/>
      <c r="B303" s="2"/>
      <c r="C303" s="2"/>
      <c r="D303" s="2"/>
      <c r="E303" s="2"/>
      <c r="F303" s="2"/>
      <c r="G303" s="26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</row>
    <row r="304" spans="1:70" ht="14.25" customHeight="1" x14ac:dyDescent="0.25">
      <c r="A304" s="2"/>
      <c r="B304" s="2"/>
      <c r="C304" s="2"/>
      <c r="D304" s="2"/>
      <c r="E304" s="2"/>
      <c r="F304" s="2"/>
      <c r="G304" s="26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</row>
    <row r="305" spans="1:70" ht="14.25" customHeight="1" x14ac:dyDescent="0.25">
      <c r="A305" s="2"/>
      <c r="B305" s="2"/>
      <c r="C305" s="2"/>
      <c r="D305" s="2"/>
      <c r="E305" s="2"/>
      <c r="F305" s="2"/>
      <c r="G305" s="26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</row>
    <row r="306" spans="1:70" ht="14.25" customHeight="1" x14ac:dyDescent="0.25">
      <c r="A306" s="2"/>
      <c r="B306" s="2"/>
      <c r="C306" s="2"/>
      <c r="D306" s="2"/>
      <c r="E306" s="2"/>
      <c r="F306" s="2"/>
      <c r="G306" s="26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</row>
    <row r="307" spans="1:70" ht="14.25" customHeight="1" x14ac:dyDescent="0.25">
      <c r="A307" s="2"/>
      <c r="B307" s="2"/>
      <c r="C307" s="2"/>
      <c r="D307" s="2"/>
      <c r="E307" s="2"/>
      <c r="F307" s="2"/>
      <c r="G307" s="26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</row>
    <row r="308" spans="1:70" ht="14.25" customHeight="1" x14ac:dyDescent="0.25">
      <c r="A308" s="2"/>
      <c r="B308" s="2"/>
      <c r="C308" s="2"/>
      <c r="D308" s="2"/>
      <c r="E308" s="2"/>
      <c r="F308" s="2"/>
      <c r="G308" s="26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</row>
    <row r="309" spans="1:70" ht="14.25" customHeight="1" x14ac:dyDescent="0.25">
      <c r="A309" s="2"/>
      <c r="B309" s="2"/>
      <c r="C309" s="2"/>
      <c r="D309" s="2"/>
      <c r="E309" s="2"/>
      <c r="F309" s="2"/>
      <c r="G309" s="26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</row>
    <row r="310" spans="1:70" ht="14.25" customHeight="1" x14ac:dyDescent="0.25">
      <c r="A310" s="2"/>
      <c r="B310" s="2"/>
      <c r="C310" s="2"/>
      <c r="D310" s="2"/>
      <c r="E310" s="2"/>
      <c r="F310" s="2"/>
      <c r="G310" s="26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</row>
    <row r="311" spans="1:70" ht="14.25" customHeight="1" x14ac:dyDescent="0.25">
      <c r="A311" s="2"/>
      <c r="B311" s="2"/>
      <c r="C311" s="2"/>
      <c r="D311" s="2"/>
      <c r="E311" s="2"/>
      <c r="F311" s="2"/>
      <c r="G311" s="26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</row>
    <row r="312" spans="1:70" ht="14.25" customHeight="1" x14ac:dyDescent="0.25">
      <c r="A312" s="2"/>
      <c r="B312" s="2"/>
      <c r="C312" s="2"/>
      <c r="D312" s="2"/>
      <c r="E312" s="2"/>
      <c r="F312" s="2"/>
      <c r="G312" s="26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</row>
    <row r="313" spans="1:70" ht="14.25" customHeight="1" x14ac:dyDescent="0.25">
      <c r="A313" s="2"/>
      <c r="B313" s="2"/>
      <c r="C313" s="2"/>
      <c r="D313" s="2"/>
      <c r="E313" s="2"/>
      <c r="F313" s="2"/>
      <c r="G313" s="26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</row>
    <row r="314" spans="1:70" ht="14.25" customHeight="1" x14ac:dyDescent="0.25">
      <c r="A314" s="2"/>
      <c r="B314" s="2"/>
      <c r="C314" s="2"/>
      <c r="D314" s="2"/>
      <c r="E314" s="2"/>
      <c r="F314" s="2"/>
      <c r="G314" s="26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</row>
    <row r="315" spans="1:70" ht="14.25" customHeight="1" x14ac:dyDescent="0.25">
      <c r="A315" s="2"/>
      <c r="B315" s="2"/>
      <c r="C315" s="2"/>
      <c r="D315" s="2"/>
      <c r="E315" s="2"/>
      <c r="F315" s="2"/>
      <c r="G315" s="26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</row>
    <row r="316" spans="1:70" ht="14.25" customHeight="1" x14ac:dyDescent="0.25">
      <c r="A316" s="2"/>
      <c r="B316" s="2"/>
      <c r="C316" s="2"/>
      <c r="D316" s="2"/>
      <c r="E316" s="2"/>
      <c r="F316" s="2"/>
      <c r="G316" s="26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</row>
    <row r="317" spans="1:70" ht="14.25" customHeight="1" x14ac:dyDescent="0.25">
      <c r="A317" s="2"/>
      <c r="B317" s="2"/>
      <c r="C317" s="2"/>
      <c r="D317" s="2"/>
      <c r="E317" s="2"/>
      <c r="F317" s="2"/>
      <c r="G317" s="26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</row>
    <row r="318" spans="1:70" ht="14.25" customHeight="1" x14ac:dyDescent="0.25">
      <c r="A318" s="2"/>
      <c r="B318" s="2"/>
      <c r="C318" s="2"/>
      <c r="D318" s="2"/>
      <c r="E318" s="2"/>
      <c r="F318" s="2"/>
      <c r="G318" s="26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</row>
    <row r="319" spans="1:70" ht="14.25" customHeight="1" x14ac:dyDescent="0.25">
      <c r="A319" s="2"/>
      <c r="B319" s="2"/>
      <c r="C319" s="2"/>
      <c r="D319" s="2"/>
      <c r="E319" s="2"/>
      <c r="F319" s="2"/>
      <c r="G319" s="26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</row>
    <row r="320" spans="1:70" ht="14.25" customHeight="1" x14ac:dyDescent="0.25">
      <c r="A320" s="2"/>
      <c r="B320" s="2"/>
      <c r="C320" s="2"/>
      <c r="D320" s="2"/>
      <c r="E320" s="2"/>
      <c r="F320" s="2"/>
      <c r="G320" s="26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</row>
    <row r="321" spans="1:70" ht="14.25" customHeight="1" x14ac:dyDescent="0.25">
      <c r="A321" s="2"/>
      <c r="B321" s="2"/>
      <c r="C321" s="2"/>
      <c r="D321" s="2"/>
      <c r="E321" s="2"/>
      <c r="F321" s="2"/>
      <c r="G321" s="26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</row>
    <row r="322" spans="1:70" ht="14.25" customHeight="1" x14ac:dyDescent="0.25">
      <c r="A322" s="2"/>
      <c r="B322" s="2"/>
      <c r="C322" s="2"/>
      <c r="D322" s="2"/>
      <c r="E322" s="2"/>
      <c r="F322" s="2"/>
      <c r="G322" s="26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</row>
    <row r="323" spans="1:70" ht="14.25" customHeight="1" x14ac:dyDescent="0.25">
      <c r="A323" s="2"/>
      <c r="B323" s="2"/>
      <c r="C323" s="2"/>
      <c r="D323" s="2"/>
      <c r="E323" s="2"/>
      <c r="F323" s="2"/>
      <c r="G323" s="26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</row>
    <row r="324" spans="1:70" ht="14.25" customHeight="1" x14ac:dyDescent="0.25">
      <c r="A324" s="2"/>
      <c r="B324" s="2"/>
      <c r="C324" s="2"/>
      <c r="D324" s="2"/>
      <c r="E324" s="2"/>
      <c r="F324" s="2"/>
      <c r="G324" s="26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</row>
    <row r="325" spans="1:70" ht="14.25" customHeight="1" x14ac:dyDescent="0.25">
      <c r="A325" s="2"/>
      <c r="B325" s="2"/>
      <c r="C325" s="2"/>
      <c r="D325" s="2"/>
      <c r="E325" s="2"/>
      <c r="F325" s="2"/>
      <c r="G325" s="26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</row>
    <row r="326" spans="1:70" ht="14.25" customHeight="1" x14ac:dyDescent="0.25">
      <c r="A326" s="2"/>
      <c r="B326" s="2"/>
      <c r="C326" s="2"/>
      <c r="D326" s="2"/>
      <c r="E326" s="2"/>
      <c r="F326" s="2"/>
      <c r="G326" s="26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</row>
    <row r="327" spans="1:70" ht="14.25" customHeight="1" x14ac:dyDescent="0.25">
      <c r="A327" s="2"/>
      <c r="B327" s="2"/>
      <c r="C327" s="2"/>
      <c r="D327" s="2"/>
      <c r="E327" s="2"/>
      <c r="F327" s="2"/>
      <c r="G327" s="26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</row>
    <row r="328" spans="1:70" ht="14.25" customHeight="1" x14ac:dyDescent="0.25">
      <c r="A328" s="2"/>
      <c r="B328" s="2"/>
      <c r="C328" s="2"/>
      <c r="D328" s="2"/>
      <c r="E328" s="2"/>
      <c r="F328" s="2"/>
      <c r="G328" s="26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</row>
    <row r="329" spans="1:70" ht="14.25" customHeight="1" x14ac:dyDescent="0.25">
      <c r="A329" s="2"/>
      <c r="B329" s="2"/>
      <c r="C329" s="2"/>
      <c r="D329" s="2"/>
      <c r="E329" s="2"/>
      <c r="F329" s="2"/>
      <c r="G329" s="26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</row>
    <row r="330" spans="1:70" ht="14.25" customHeight="1" x14ac:dyDescent="0.25">
      <c r="A330" s="2"/>
      <c r="B330" s="2"/>
      <c r="C330" s="2"/>
      <c r="D330" s="2"/>
      <c r="E330" s="2"/>
      <c r="F330" s="2"/>
      <c r="G330" s="26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</row>
    <row r="331" spans="1:70" ht="14.25" customHeight="1" x14ac:dyDescent="0.25">
      <c r="A331" s="2"/>
      <c r="B331" s="2"/>
      <c r="C331" s="2"/>
      <c r="D331" s="2"/>
      <c r="E331" s="2"/>
      <c r="F331" s="2"/>
      <c r="G331" s="26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</row>
    <row r="332" spans="1:70" ht="14.25" customHeight="1" x14ac:dyDescent="0.25">
      <c r="A332" s="2"/>
      <c r="B332" s="2"/>
      <c r="C332" s="2"/>
      <c r="D332" s="2"/>
      <c r="E332" s="2"/>
      <c r="F332" s="2"/>
      <c r="G332" s="26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</row>
    <row r="333" spans="1:70" ht="14.25" customHeight="1" x14ac:dyDescent="0.25">
      <c r="A333" s="2"/>
      <c r="B333" s="2"/>
      <c r="C333" s="2"/>
      <c r="D333" s="2"/>
      <c r="E333" s="2"/>
      <c r="F333" s="2"/>
      <c r="G333" s="26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</row>
    <row r="334" spans="1:70" ht="14.25" customHeight="1" x14ac:dyDescent="0.25">
      <c r="A334" s="2"/>
      <c r="B334" s="2"/>
      <c r="C334" s="2"/>
      <c r="D334" s="2"/>
      <c r="E334" s="2"/>
      <c r="F334" s="2"/>
      <c r="G334" s="26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</row>
    <row r="335" spans="1:70" ht="14.25" customHeight="1" x14ac:dyDescent="0.25">
      <c r="A335" s="2"/>
      <c r="B335" s="2"/>
      <c r="C335" s="2"/>
      <c r="D335" s="2"/>
      <c r="E335" s="2"/>
      <c r="F335" s="2"/>
      <c r="G335" s="26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</row>
    <row r="336" spans="1:70" ht="14.25" customHeight="1" x14ac:dyDescent="0.25">
      <c r="A336" s="2"/>
      <c r="B336" s="2"/>
      <c r="C336" s="2"/>
      <c r="D336" s="2"/>
      <c r="E336" s="2"/>
      <c r="F336" s="2"/>
      <c r="G336" s="26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</row>
    <row r="337" spans="1:70" ht="14.25" customHeight="1" x14ac:dyDescent="0.25">
      <c r="A337" s="2"/>
      <c r="B337" s="2"/>
      <c r="C337" s="2"/>
      <c r="D337" s="2"/>
      <c r="E337" s="2"/>
      <c r="F337" s="2"/>
      <c r="G337" s="26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</row>
    <row r="338" spans="1:70" ht="14.25" customHeight="1" x14ac:dyDescent="0.25">
      <c r="A338" s="2"/>
      <c r="B338" s="2"/>
      <c r="C338" s="2"/>
      <c r="D338" s="2"/>
      <c r="E338" s="2"/>
      <c r="F338" s="2"/>
      <c r="G338" s="26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</row>
    <row r="339" spans="1:70" ht="14.25" customHeight="1" x14ac:dyDescent="0.25">
      <c r="A339" s="2"/>
      <c r="B339" s="2"/>
      <c r="C339" s="2"/>
      <c r="D339" s="2"/>
      <c r="E339" s="2"/>
      <c r="F339" s="2"/>
      <c r="G339" s="26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</row>
    <row r="340" spans="1:70" ht="14.25" customHeight="1" x14ac:dyDescent="0.25">
      <c r="A340" s="2"/>
      <c r="B340" s="2"/>
      <c r="C340" s="2"/>
      <c r="D340" s="2"/>
      <c r="E340" s="2"/>
      <c r="F340" s="2"/>
      <c r="G340" s="26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</row>
    <row r="341" spans="1:70" ht="14.25" customHeight="1" x14ac:dyDescent="0.25">
      <c r="A341" s="2"/>
      <c r="B341" s="2"/>
      <c r="C341" s="2"/>
      <c r="D341" s="2"/>
      <c r="E341" s="2"/>
      <c r="F341" s="2"/>
      <c r="G341" s="26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</row>
    <row r="342" spans="1:70" ht="14.25" customHeight="1" x14ac:dyDescent="0.25">
      <c r="A342" s="2"/>
      <c r="B342" s="2"/>
      <c r="C342" s="2"/>
      <c r="D342" s="2"/>
      <c r="E342" s="2"/>
      <c r="F342" s="2"/>
      <c r="G342" s="26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</row>
    <row r="343" spans="1:70" ht="14.25" customHeight="1" x14ac:dyDescent="0.25">
      <c r="A343" s="2"/>
      <c r="B343" s="2"/>
      <c r="C343" s="2"/>
      <c r="D343" s="2"/>
      <c r="E343" s="2"/>
      <c r="F343" s="2"/>
      <c r="G343" s="26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</row>
    <row r="344" spans="1:70" ht="14.25" customHeight="1" x14ac:dyDescent="0.25">
      <c r="A344" s="2"/>
      <c r="B344" s="2"/>
      <c r="C344" s="2"/>
      <c r="D344" s="2"/>
      <c r="E344" s="2"/>
      <c r="F344" s="2"/>
      <c r="G344" s="26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</row>
    <row r="345" spans="1:70" ht="14.25" customHeight="1" x14ac:dyDescent="0.25">
      <c r="A345" s="2"/>
      <c r="B345" s="2"/>
      <c r="C345" s="2"/>
      <c r="D345" s="2"/>
      <c r="E345" s="2"/>
      <c r="F345" s="2"/>
      <c r="G345" s="26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</row>
    <row r="346" spans="1:70" ht="14.25" customHeight="1" x14ac:dyDescent="0.25">
      <c r="A346" s="2"/>
      <c r="B346" s="2"/>
      <c r="C346" s="2"/>
      <c r="D346" s="2"/>
      <c r="E346" s="2"/>
      <c r="F346" s="2"/>
      <c r="G346" s="26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</row>
    <row r="347" spans="1:70" ht="14.25" customHeight="1" x14ac:dyDescent="0.25">
      <c r="A347" s="2"/>
      <c r="B347" s="2"/>
      <c r="C347" s="2"/>
      <c r="D347" s="2"/>
      <c r="E347" s="2"/>
      <c r="F347" s="2"/>
      <c r="G347" s="26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</row>
    <row r="348" spans="1:70" ht="14.25" customHeight="1" x14ac:dyDescent="0.25">
      <c r="A348" s="2"/>
      <c r="B348" s="2"/>
      <c r="C348" s="2"/>
      <c r="D348" s="2"/>
      <c r="E348" s="2"/>
      <c r="F348" s="2"/>
      <c r="G348" s="26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</row>
    <row r="349" spans="1:70" ht="14.25" customHeight="1" x14ac:dyDescent="0.25">
      <c r="A349" s="2"/>
      <c r="B349" s="2"/>
      <c r="C349" s="2"/>
      <c r="D349" s="2"/>
      <c r="E349" s="2"/>
      <c r="F349" s="2"/>
      <c r="G349" s="26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</row>
    <row r="350" spans="1:70" ht="14.25" customHeight="1" x14ac:dyDescent="0.25">
      <c r="A350" s="2"/>
      <c r="B350" s="2"/>
      <c r="C350" s="2"/>
      <c r="D350" s="2"/>
      <c r="E350" s="2"/>
      <c r="F350" s="2"/>
      <c r="G350" s="26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</row>
    <row r="351" spans="1:70" ht="14.25" customHeight="1" x14ac:dyDescent="0.25">
      <c r="A351" s="2"/>
      <c r="B351" s="2"/>
      <c r="C351" s="2"/>
      <c r="D351" s="2"/>
      <c r="E351" s="2"/>
      <c r="F351" s="2"/>
      <c r="G351" s="26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</row>
    <row r="352" spans="1:70" ht="14.25" customHeight="1" x14ac:dyDescent="0.25">
      <c r="A352" s="2"/>
      <c r="B352" s="2"/>
      <c r="C352" s="2"/>
      <c r="D352" s="2"/>
      <c r="E352" s="2"/>
      <c r="F352" s="2"/>
      <c r="G352" s="26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</row>
    <row r="353" spans="1:70" ht="14.25" customHeight="1" x14ac:dyDescent="0.25">
      <c r="A353" s="2"/>
      <c r="B353" s="2"/>
      <c r="C353" s="2"/>
      <c r="D353" s="2"/>
      <c r="E353" s="2"/>
      <c r="F353" s="2"/>
      <c r="G353" s="26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</row>
    <row r="354" spans="1:70" ht="14.25" customHeight="1" x14ac:dyDescent="0.25">
      <c r="A354" s="2"/>
      <c r="B354" s="2"/>
      <c r="C354" s="2"/>
      <c r="D354" s="2"/>
      <c r="E354" s="2"/>
      <c r="F354" s="2"/>
      <c r="G354" s="26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</row>
    <row r="355" spans="1:70" ht="14.25" customHeight="1" x14ac:dyDescent="0.25">
      <c r="A355" s="2"/>
      <c r="B355" s="2"/>
      <c r="C355" s="2"/>
      <c r="D355" s="2"/>
      <c r="E355" s="2"/>
      <c r="F355" s="2"/>
      <c r="G355" s="26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</row>
    <row r="356" spans="1:70" ht="14.25" customHeight="1" x14ac:dyDescent="0.25">
      <c r="A356" s="2"/>
      <c r="B356" s="2"/>
      <c r="C356" s="2"/>
      <c r="D356" s="2"/>
      <c r="E356" s="2"/>
      <c r="F356" s="2"/>
      <c r="G356" s="26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</row>
    <row r="357" spans="1:70" ht="14.25" customHeight="1" x14ac:dyDescent="0.25">
      <c r="A357" s="2"/>
      <c r="B357" s="2"/>
      <c r="C357" s="2"/>
      <c r="D357" s="2"/>
      <c r="E357" s="2"/>
      <c r="F357" s="2"/>
      <c r="G357" s="26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</row>
    <row r="358" spans="1:70" ht="14.25" customHeight="1" x14ac:dyDescent="0.25">
      <c r="A358" s="2"/>
      <c r="B358" s="2"/>
      <c r="C358" s="2"/>
      <c r="D358" s="2"/>
      <c r="E358" s="2"/>
      <c r="F358" s="2"/>
      <c r="G358" s="26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</row>
    <row r="359" spans="1:70" ht="14.25" customHeight="1" x14ac:dyDescent="0.25">
      <c r="A359" s="2"/>
      <c r="B359" s="2"/>
      <c r="C359" s="2"/>
      <c r="D359" s="2"/>
      <c r="E359" s="2"/>
      <c r="F359" s="2"/>
      <c r="G359" s="26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</row>
    <row r="360" spans="1:70" ht="14.25" customHeight="1" x14ac:dyDescent="0.25">
      <c r="A360" s="2"/>
      <c r="B360" s="2"/>
      <c r="C360" s="2"/>
      <c r="D360" s="2"/>
      <c r="E360" s="2"/>
      <c r="F360" s="2"/>
      <c r="G360" s="26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</row>
    <row r="361" spans="1:70" ht="14.25" customHeight="1" x14ac:dyDescent="0.25">
      <c r="A361" s="2"/>
      <c r="B361" s="2"/>
      <c r="C361" s="2"/>
      <c r="D361" s="2"/>
      <c r="E361" s="2"/>
      <c r="F361" s="2"/>
      <c r="G361" s="26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</row>
    <row r="362" spans="1:70" ht="14.25" customHeight="1" x14ac:dyDescent="0.25">
      <c r="A362" s="2"/>
      <c r="B362" s="2"/>
      <c r="C362" s="2"/>
      <c r="D362" s="2"/>
      <c r="E362" s="2"/>
      <c r="F362" s="2"/>
      <c r="G362" s="26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</row>
    <row r="363" spans="1:70" ht="14.25" customHeight="1" x14ac:dyDescent="0.25">
      <c r="A363" s="2"/>
      <c r="B363" s="2"/>
      <c r="C363" s="2"/>
      <c r="D363" s="2"/>
      <c r="E363" s="2"/>
      <c r="F363" s="2"/>
      <c r="G363" s="26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</row>
    <row r="364" spans="1:70" ht="14.25" customHeight="1" x14ac:dyDescent="0.25">
      <c r="A364" s="2"/>
      <c r="B364" s="2"/>
      <c r="C364" s="2"/>
      <c r="D364" s="2"/>
      <c r="E364" s="2"/>
      <c r="F364" s="2"/>
      <c r="G364" s="26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</row>
    <row r="365" spans="1:70" ht="14.25" customHeight="1" x14ac:dyDescent="0.25">
      <c r="A365" s="2"/>
      <c r="B365" s="2"/>
      <c r="C365" s="2"/>
      <c r="D365" s="2"/>
      <c r="E365" s="2"/>
      <c r="F365" s="2"/>
      <c r="G365" s="26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</row>
    <row r="366" spans="1:70" ht="14.25" customHeight="1" x14ac:dyDescent="0.25">
      <c r="A366" s="2"/>
      <c r="B366" s="2"/>
      <c r="C366" s="2"/>
      <c r="D366" s="2"/>
      <c r="E366" s="2"/>
      <c r="F366" s="2"/>
      <c r="G366" s="26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</row>
    <row r="367" spans="1:70" ht="14.25" customHeight="1" x14ac:dyDescent="0.25">
      <c r="A367" s="2"/>
      <c r="B367" s="2"/>
      <c r="C367" s="2"/>
      <c r="D367" s="2"/>
      <c r="E367" s="2"/>
      <c r="F367" s="2"/>
      <c r="G367" s="26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</row>
    <row r="368" spans="1:70" ht="14.25" customHeight="1" x14ac:dyDescent="0.25">
      <c r="A368" s="2"/>
      <c r="B368" s="2"/>
      <c r="C368" s="2"/>
      <c r="D368" s="2"/>
      <c r="E368" s="2"/>
      <c r="F368" s="2"/>
      <c r="G368" s="26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</row>
    <row r="369" spans="1:70" ht="14.25" customHeight="1" x14ac:dyDescent="0.25">
      <c r="A369" s="2"/>
      <c r="B369" s="2"/>
      <c r="C369" s="2"/>
      <c r="D369" s="2"/>
      <c r="E369" s="2"/>
      <c r="F369" s="2"/>
      <c r="G369" s="26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</row>
    <row r="370" spans="1:70" ht="14.25" customHeight="1" x14ac:dyDescent="0.25">
      <c r="A370" s="2"/>
      <c r="B370" s="2"/>
      <c r="C370" s="2"/>
      <c r="D370" s="2"/>
      <c r="E370" s="2"/>
      <c r="F370" s="2"/>
      <c r="G370" s="26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</row>
    <row r="371" spans="1:70" ht="14.25" customHeight="1" x14ac:dyDescent="0.25">
      <c r="A371" s="2"/>
      <c r="B371" s="2"/>
      <c r="C371" s="2"/>
      <c r="D371" s="2"/>
      <c r="E371" s="2"/>
      <c r="F371" s="2"/>
      <c r="G371" s="26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</row>
    <row r="372" spans="1:70" ht="14.25" customHeight="1" x14ac:dyDescent="0.25">
      <c r="A372" s="2"/>
      <c r="B372" s="2"/>
      <c r="C372" s="2"/>
      <c r="D372" s="2"/>
      <c r="E372" s="2"/>
      <c r="F372" s="2"/>
      <c r="G372" s="26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</row>
    <row r="373" spans="1:70" ht="14.25" customHeight="1" x14ac:dyDescent="0.25">
      <c r="A373" s="2"/>
      <c r="B373" s="2"/>
      <c r="C373" s="2"/>
      <c r="D373" s="2"/>
      <c r="E373" s="2"/>
      <c r="F373" s="2"/>
      <c r="G373" s="26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</row>
    <row r="374" spans="1:70" ht="14.25" customHeight="1" x14ac:dyDescent="0.25">
      <c r="A374" s="2"/>
      <c r="B374" s="2"/>
      <c r="C374" s="2"/>
      <c r="D374" s="2"/>
      <c r="E374" s="2"/>
      <c r="F374" s="2"/>
      <c r="G374" s="26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</row>
    <row r="375" spans="1:70" ht="14.25" customHeight="1" x14ac:dyDescent="0.25">
      <c r="A375" s="2"/>
      <c r="B375" s="2"/>
      <c r="C375" s="2"/>
      <c r="D375" s="2"/>
      <c r="E375" s="2"/>
      <c r="F375" s="2"/>
      <c r="G375" s="26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</row>
    <row r="376" spans="1:70" ht="14.25" customHeight="1" x14ac:dyDescent="0.25">
      <c r="A376" s="2"/>
      <c r="B376" s="2"/>
      <c r="C376" s="2"/>
      <c r="D376" s="2"/>
      <c r="E376" s="2"/>
      <c r="F376" s="2"/>
      <c r="G376" s="26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</row>
    <row r="377" spans="1:70" ht="14.25" customHeight="1" x14ac:dyDescent="0.25">
      <c r="A377" s="2"/>
      <c r="B377" s="2"/>
      <c r="C377" s="2"/>
      <c r="D377" s="2"/>
      <c r="E377" s="2"/>
      <c r="F377" s="2"/>
      <c r="G377" s="26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</row>
    <row r="378" spans="1:70" ht="14.25" customHeight="1" x14ac:dyDescent="0.25">
      <c r="A378" s="2"/>
      <c r="B378" s="2"/>
      <c r="C378" s="2"/>
      <c r="D378" s="2"/>
      <c r="E378" s="2"/>
      <c r="F378" s="2"/>
      <c r="G378" s="26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</row>
    <row r="379" spans="1:70" ht="14.25" customHeight="1" x14ac:dyDescent="0.25">
      <c r="A379" s="2"/>
      <c r="B379" s="2"/>
      <c r="C379" s="2"/>
      <c r="D379" s="2"/>
      <c r="E379" s="2"/>
      <c r="F379" s="2"/>
      <c r="G379" s="26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</row>
    <row r="380" spans="1:70" ht="14.25" customHeight="1" x14ac:dyDescent="0.25">
      <c r="A380" s="2"/>
      <c r="B380" s="2"/>
      <c r="C380" s="2"/>
      <c r="D380" s="2"/>
      <c r="E380" s="2"/>
      <c r="F380" s="2"/>
      <c r="G380" s="26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</row>
    <row r="381" spans="1:70" ht="14.25" customHeight="1" x14ac:dyDescent="0.25">
      <c r="A381" s="2"/>
      <c r="B381" s="2"/>
      <c r="C381" s="2"/>
      <c r="D381" s="2"/>
      <c r="E381" s="2"/>
      <c r="F381" s="2"/>
      <c r="G381" s="26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</row>
    <row r="382" spans="1:70" ht="14.25" customHeight="1" x14ac:dyDescent="0.25">
      <c r="A382" s="2"/>
      <c r="B382" s="2"/>
      <c r="C382" s="2"/>
      <c r="D382" s="2"/>
      <c r="E382" s="2"/>
      <c r="F382" s="2"/>
      <c r="G382" s="26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</row>
    <row r="383" spans="1:70" ht="14.25" customHeight="1" x14ac:dyDescent="0.25">
      <c r="A383" s="2"/>
      <c r="B383" s="2"/>
      <c r="C383" s="2"/>
      <c r="D383" s="2"/>
      <c r="E383" s="2"/>
      <c r="F383" s="2"/>
      <c r="G383" s="26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</row>
    <row r="384" spans="1:70" ht="14.25" customHeight="1" x14ac:dyDescent="0.25">
      <c r="A384" s="2"/>
      <c r="B384" s="2"/>
      <c r="C384" s="2"/>
      <c r="D384" s="2"/>
      <c r="E384" s="2"/>
      <c r="F384" s="2"/>
      <c r="G384" s="26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</row>
    <row r="385" spans="1:70" ht="14.25" customHeight="1" x14ac:dyDescent="0.25">
      <c r="A385" s="2"/>
      <c r="B385" s="2"/>
      <c r="C385" s="2"/>
      <c r="D385" s="2"/>
      <c r="E385" s="2"/>
      <c r="F385" s="2"/>
      <c r="G385" s="26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</row>
    <row r="386" spans="1:70" ht="14.25" customHeight="1" x14ac:dyDescent="0.25">
      <c r="A386" s="2"/>
      <c r="B386" s="2"/>
      <c r="C386" s="2"/>
      <c r="D386" s="2"/>
      <c r="E386" s="2"/>
      <c r="F386" s="2"/>
      <c r="G386" s="26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</row>
    <row r="387" spans="1:70" ht="14.25" customHeight="1" x14ac:dyDescent="0.25">
      <c r="A387" s="2"/>
      <c r="B387" s="2"/>
      <c r="C387" s="2"/>
      <c r="D387" s="2"/>
      <c r="E387" s="2"/>
      <c r="F387" s="2"/>
      <c r="G387" s="26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</row>
    <row r="388" spans="1:70" ht="14.25" customHeight="1" x14ac:dyDescent="0.25">
      <c r="A388" s="2"/>
      <c r="B388" s="2"/>
      <c r="C388" s="2"/>
      <c r="D388" s="2"/>
      <c r="E388" s="2"/>
      <c r="F388" s="2"/>
      <c r="G388" s="26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</row>
    <row r="389" spans="1:70" ht="14.25" customHeight="1" x14ac:dyDescent="0.25">
      <c r="A389" s="2"/>
      <c r="B389" s="2"/>
      <c r="C389" s="2"/>
      <c r="D389" s="2"/>
      <c r="E389" s="2"/>
      <c r="F389" s="2"/>
      <c r="G389" s="26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</row>
    <row r="390" spans="1:70" ht="14.25" customHeight="1" x14ac:dyDescent="0.25">
      <c r="A390" s="2"/>
      <c r="B390" s="2"/>
      <c r="C390" s="2"/>
      <c r="D390" s="2"/>
      <c r="E390" s="2"/>
      <c r="F390" s="2"/>
      <c r="G390" s="26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</row>
    <row r="391" spans="1:70" ht="14.25" customHeight="1" x14ac:dyDescent="0.25">
      <c r="A391" s="2"/>
      <c r="B391" s="2"/>
      <c r="C391" s="2"/>
      <c r="D391" s="2"/>
      <c r="E391" s="2"/>
      <c r="F391" s="2"/>
      <c r="G391" s="26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</row>
    <row r="392" spans="1:70" ht="14.25" customHeight="1" x14ac:dyDescent="0.25">
      <c r="A392" s="2"/>
      <c r="B392" s="2"/>
      <c r="C392" s="2"/>
      <c r="D392" s="2"/>
      <c r="E392" s="2"/>
      <c r="F392" s="2"/>
      <c r="G392" s="26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</row>
    <row r="393" spans="1:70" ht="14.25" customHeight="1" x14ac:dyDescent="0.25">
      <c r="A393" s="2"/>
      <c r="B393" s="2"/>
      <c r="C393" s="2"/>
      <c r="D393" s="2"/>
      <c r="E393" s="2"/>
      <c r="F393" s="2"/>
      <c r="G393" s="26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</row>
    <row r="394" spans="1:70" ht="14.25" customHeight="1" x14ac:dyDescent="0.25">
      <c r="A394" s="2"/>
      <c r="B394" s="2"/>
      <c r="C394" s="2"/>
      <c r="D394" s="2"/>
      <c r="E394" s="2"/>
      <c r="F394" s="2"/>
      <c r="G394" s="26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</row>
    <row r="395" spans="1:70" ht="14.25" customHeight="1" x14ac:dyDescent="0.25">
      <c r="A395" s="2"/>
      <c r="B395" s="2"/>
      <c r="C395" s="2"/>
      <c r="D395" s="2"/>
      <c r="E395" s="2"/>
      <c r="F395" s="2"/>
      <c r="G395" s="26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</row>
    <row r="396" spans="1:70" ht="14.25" customHeight="1" x14ac:dyDescent="0.25">
      <c r="A396" s="2"/>
      <c r="B396" s="2"/>
      <c r="C396" s="2"/>
      <c r="D396" s="2"/>
      <c r="E396" s="2"/>
      <c r="F396" s="2"/>
      <c r="G396" s="26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</row>
    <row r="397" spans="1:70" ht="14.25" customHeight="1" x14ac:dyDescent="0.25">
      <c r="A397" s="2"/>
      <c r="B397" s="2"/>
      <c r="C397" s="2"/>
      <c r="D397" s="2"/>
      <c r="E397" s="2"/>
      <c r="F397" s="2"/>
      <c r="G397" s="26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</row>
    <row r="398" spans="1:70" ht="14.25" customHeight="1" x14ac:dyDescent="0.25">
      <c r="A398" s="2"/>
      <c r="B398" s="2"/>
      <c r="C398" s="2"/>
      <c r="D398" s="2"/>
      <c r="E398" s="2"/>
      <c r="F398" s="2"/>
      <c r="G398" s="26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</row>
    <row r="399" spans="1:70" ht="14.25" customHeight="1" x14ac:dyDescent="0.25">
      <c r="A399" s="2"/>
      <c r="B399" s="2"/>
      <c r="C399" s="2"/>
      <c r="D399" s="2"/>
      <c r="E399" s="2"/>
      <c r="F399" s="2"/>
      <c r="G399" s="26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</row>
    <row r="400" spans="1:70" ht="14.25" customHeight="1" x14ac:dyDescent="0.25">
      <c r="A400" s="2"/>
      <c r="B400" s="2"/>
      <c r="C400" s="2"/>
      <c r="D400" s="2"/>
      <c r="E400" s="2"/>
      <c r="F400" s="2"/>
      <c r="G400" s="26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</row>
    <row r="401" spans="1:70" ht="14.25" customHeight="1" x14ac:dyDescent="0.25">
      <c r="A401" s="2"/>
      <c r="B401" s="2"/>
      <c r="C401" s="2"/>
      <c r="D401" s="2"/>
      <c r="E401" s="2"/>
      <c r="F401" s="2"/>
      <c r="G401" s="26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</row>
    <row r="402" spans="1:70" ht="14.25" customHeight="1" x14ac:dyDescent="0.25">
      <c r="A402" s="2"/>
      <c r="B402" s="2"/>
      <c r="C402" s="2"/>
      <c r="D402" s="2"/>
      <c r="E402" s="2"/>
      <c r="F402" s="2"/>
      <c r="G402" s="26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</row>
    <row r="403" spans="1:70" ht="14.25" customHeight="1" x14ac:dyDescent="0.25">
      <c r="A403" s="2"/>
      <c r="B403" s="2"/>
      <c r="C403" s="2"/>
      <c r="D403" s="2"/>
      <c r="E403" s="2"/>
      <c r="F403" s="2"/>
      <c r="G403" s="26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</row>
    <row r="404" spans="1:70" ht="14.25" customHeight="1" x14ac:dyDescent="0.25">
      <c r="A404" s="2"/>
      <c r="B404" s="2"/>
      <c r="C404" s="2"/>
      <c r="D404" s="2"/>
      <c r="E404" s="2"/>
      <c r="F404" s="2"/>
      <c r="G404" s="26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</row>
    <row r="405" spans="1:70" ht="14.25" customHeight="1" x14ac:dyDescent="0.25">
      <c r="A405" s="2"/>
      <c r="B405" s="2"/>
      <c r="C405" s="2"/>
      <c r="D405" s="2"/>
      <c r="E405" s="2"/>
      <c r="F405" s="2"/>
      <c r="G405" s="26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</row>
    <row r="406" spans="1:70" ht="14.25" customHeight="1" x14ac:dyDescent="0.25">
      <c r="A406" s="2"/>
      <c r="B406" s="2"/>
      <c r="C406" s="2"/>
      <c r="D406" s="2"/>
      <c r="E406" s="2"/>
      <c r="F406" s="2"/>
      <c r="G406" s="26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</row>
    <row r="407" spans="1:70" ht="14.25" customHeight="1" x14ac:dyDescent="0.25">
      <c r="A407" s="2"/>
      <c r="B407" s="2"/>
      <c r="C407" s="2"/>
      <c r="D407" s="2"/>
      <c r="E407" s="2"/>
      <c r="F407" s="2"/>
      <c r="G407" s="26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</row>
    <row r="408" spans="1:70" ht="14.25" customHeight="1" x14ac:dyDescent="0.25">
      <c r="A408" s="2"/>
      <c r="B408" s="2"/>
      <c r="C408" s="2"/>
      <c r="D408" s="2"/>
      <c r="E408" s="2"/>
      <c r="F408" s="2"/>
      <c r="G408" s="26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</row>
    <row r="409" spans="1:70" ht="14.25" customHeight="1" x14ac:dyDescent="0.25">
      <c r="A409" s="2"/>
      <c r="B409" s="2"/>
      <c r="C409" s="2"/>
      <c r="D409" s="2"/>
      <c r="E409" s="2"/>
      <c r="F409" s="2"/>
      <c r="G409" s="26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</row>
    <row r="410" spans="1:70" ht="14.25" customHeight="1" x14ac:dyDescent="0.25">
      <c r="A410" s="2"/>
      <c r="B410" s="2"/>
      <c r="C410" s="2"/>
      <c r="D410" s="2"/>
      <c r="E410" s="2"/>
      <c r="F410" s="2"/>
      <c r="G410" s="26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</row>
    <row r="411" spans="1:70" ht="14.25" customHeight="1" x14ac:dyDescent="0.25">
      <c r="A411" s="2"/>
      <c r="B411" s="2"/>
      <c r="C411" s="2"/>
      <c r="D411" s="2"/>
      <c r="E411" s="2"/>
      <c r="F411" s="2"/>
      <c r="G411" s="26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</row>
    <row r="412" spans="1:70" ht="14.25" customHeight="1" x14ac:dyDescent="0.25">
      <c r="A412" s="2"/>
      <c r="B412" s="2"/>
      <c r="C412" s="2"/>
      <c r="D412" s="2"/>
      <c r="E412" s="2"/>
      <c r="F412" s="2"/>
      <c r="G412" s="26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</row>
    <row r="413" spans="1:70" ht="14.25" customHeight="1" x14ac:dyDescent="0.25">
      <c r="A413" s="2"/>
      <c r="B413" s="2"/>
      <c r="C413" s="2"/>
      <c r="D413" s="2"/>
      <c r="E413" s="2"/>
      <c r="F413" s="2"/>
      <c r="G413" s="26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</row>
    <row r="414" spans="1:70" ht="14.25" customHeight="1" x14ac:dyDescent="0.25">
      <c r="A414" s="2"/>
      <c r="B414" s="2"/>
      <c r="C414" s="2"/>
      <c r="D414" s="2"/>
      <c r="E414" s="2"/>
      <c r="F414" s="2"/>
      <c r="G414" s="26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</row>
    <row r="415" spans="1:70" ht="14.25" customHeight="1" x14ac:dyDescent="0.25">
      <c r="A415" s="2"/>
      <c r="B415" s="2"/>
      <c r="C415" s="2"/>
      <c r="D415" s="2"/>
      <c r="E415" s="2"/>
      <c r="F415" s="2"/>
      <c r="G415" s="26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</row>
    <row r="416" spans="1:70" ht="14.25" customHeight="1" x14ac:dyDescent="0.25">
      <c r="A416" s="2"/>
      <c r="B416" s="2"/>
      <c r="C416" s="2"/>
      <c r="D416" s="2"/>
      <c r="E416" s="2"/>
      <c r="F416" s="2"/>
      <c r="G416" s="26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</row>
    <row r="417" spans="1:70" ht="14.25" customHeight="1" x14ac:dyDescent="0.25">
      <c r="A417" s="2"/>
      <c r="B417" s="2"/>
      <c r="C417" s="2"/>
      <c r="D417" s="2"/>
      <c r="E417" s="2"/>
      <c r="F417" s="2"/>
      <c r="G417" s="26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</row>
    <row r="418" spans="1:70" ht="14.25" customHeight="1" x14ac:dyDescent="0.25">
      <c r="A418" s="2"/>
      <c r="B418" s="2"/>
      <c r="C418" s="2"/>
      <c r="D418" s="2"/>
      <c r="E418" s="2"/>
      <c r="F418" s="2"/>
      <c r="G418" s="26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</row>
    <row r="419" spans="1:70" ht="14.25" customHeight="1" x14ac:dyDescent="0.25">
      <c r="A419" s="2"/>
      <c r="B419" s="2"/>
      <c r="C419" s="2"/>
      <c r="D419" s="2"/>
      <c r="E419" s="2"/>
      <c r="F419" s="2"/>
      <c r="G419" s="26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</row>
    <row r="420" spans="1:70" ht="14.25" customHeight="1" x14ac:dyDescent="0.25">
      <c r="A420" s="2"/>
      <c r="B420" s="2"/>
      <c r="C420" s="2"/>
      <c r="D420" s="2"/>
      <c r="E420" s="2"/>
      <c r="F420" s="2"/>
      <c r="G420" s="26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</row>
    <row r="421" spans="1:70" ht="14.25" customHeight="1" x14ac:dyDescent="0.25">
      <c r="A421" s="2"/>
      <c r="B421" s="2"/>
      <c r="C421" s="2"/>
      <c r="D421" s="2"/>
      <c r="E421" s="2"/>
      <c r="F421" s="2"/>
      <c r="G421" s="26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</row>
    <row r="422" spans="1:70" ht="14.25" customHeight="1" x14ac:dyDescent="0.25">
      <c r="A422" s="2"/>
      <c r="B422" s="2"/>
      <c r="C422" s="2"/>
      <c r="D422" s="2"/>
      <c r="E422" s="2"/>
      <c r="F422" s="2"/>
      <c r="G422" s="26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</row>
    <row r="423" spans="1:70" ht="14.25" customHeight="1" x14ac:dyDescent="0.25">
      <c r="A423" s="2"/>
      <c r="B423" s="2"/>
      <c r="C423" s="2"/>
      <c r="D423" s="2"/>
      <c r="E423" s="2"/>
      <c r="F423" s="2"/>
      <c r="G423" s="26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</row>
    <row r="424" spans="1:70" ht="14.25" customHeight="1" x14ac:dyDescent="0.25">
      <c r="A424" s="2"/>
      <c r="B424" s="2"/>
      <c r="C424" s="2"/>
      <c r="D424" s="2"/>
      <c r="E424" s="2"/>
      <c r="F424" s="2"/>
      <c r="G424" s="26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</row>
    <row r="425" spans="1:70" ht="14.25" customHeight="1" x14ac:dyDescent="0.25">
      <c r="A425" s="2"/>
      <c r="B425" s="2"/>
      <c r="C425" s="2"/>
      <c r="D425" s="2"/>
      <c r="E425" s="2"/>
      <c r="F425" s="2"/>
      <c r="G425" s="26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</row>
    <row r="426" spans="1:70" ht="14.25" customHeight="1" x14ac:dyDescent="0.25">
      <c r="A426" s="2"/>
      <c r="B426" s="2"/>
      <c r="C426" s="2"/>
      <c r="D426" s="2"/>
      <c r="E426" s="2"/>
      <c r="F426" s="2"/>
      <c r="G426" s="26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</row>
    <row r="427" spans="1:70" ht="14.25" customHeight="1" x14ac:dyDescent="0.25">
      <c r="A427" s="2"/>
      <c r="B427" s="2"/>
      <c r="C427" s="2"/>
      <c r="D427" s="2"/>
      <c r="E427" s="2"/>
      <c r="F427" s="2"/>
      <c r="G427" s="26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</row>
    <row r="428" spans="1:70" ht="14.25" customHeight="1" x14ac:dyDescent="0.25">
      <c r="A428" s="2"/>
      <c r="B428" s="2"/>
      <c r="C428" s="2"/>
      <c r="D428" s="2"/>
      <c r="E428" s="2"/>
      <c r="F428" s="2"/>
      <c r="G428" s="26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</row>
    <row r="429" spans="1:70" ht="14.25" customHeight="1" x14ac:dyDescent="0.25">
      <c r="A429" s="2"/>
      <c r="B429" s="2"/>
      <c r="C429" s="2"/>
      <c r="D429" s="2"/>
      <c r="E429" s="2"/>
      <c r="F429" s="2"/>
      <c r="G429" s="26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</row>
    <row r="430" spans="1:70" ht="14.25" customHeight="1" x14ac:dyDescent="0.25">
      <c r="A430" s="2"/>
      <c r="B430" s="2"/>
      <c r="C430" s="2"/>
      <c r="D430" s="2"/>
      <c r="E430" s="2"/>
      <c r="F430" s="2"/>
      <c r="G430" s="26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</row>
    <row r="431" spans="1:70" ht="14.25" customHeight="1" x14ac:dyDescent="0.25">
      <c r="A431" s="2"/>
      <c r="B431" s="2"/>
      <c r="C431" s="2"/>
      <c r="D431" s="2"/>
      <c r="E431" s="2"/>
      <c r="F431" s="2"/>
      <c r="G431" s="26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</row>
    <row r="432" spans="1:70" ht="14.25" customHeight="1" x14ac:dyDescent="0.25">
      <c r="A432" s="2"/>
      <c r="B432" s="2"/>
      <c r="C432" s="2"/>
      <c r="D432" s="2"/>
      <c r="E432" s="2"/>
      <c r="F432" s="2"/>
      <c r="G432" s="26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</row>
    <row r="433" spans="1:70" ht="14.25" customHeight="1" x14ac:dyDescent="0.25">
      <c r="A433" s="2"/>
      <c r="B433" s="2"/>
      <c r="C433" s="2"/>
      <c r="D433" s="2"/>
      <c r="E433" s="2"/>
      <c r="F433" s="2"/>
      <c r="G433" s="26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</row>
    <row r="434" spans="1:70" ht="14.25" customHeight="1" x14ac:dyDescent="0.25">
      <c r="A434" s="2"/>
      <c r="B434" s="2"/>
      <c r="C434" s="2"/>
      <c r="D434" s="2"/>
      <c r="E434" s="2"/>
      <c r="F434" s="2"/>
      <c r="G434" s="26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</row>
    <row r="435" spans="1:70" ht="14.25" customHeight="1" x14ac:dyDescent="0.25">
      <c r="A435" s="2"/>
      <c r="B435" s="2"/>
      <c r="C435" s="2"/>
      <c r="D435" s="2"/>
      <c r="E435" s="2"/>
      <c r="F435" s="2"/>
      <c r="G435" s="26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</row>
    <row r="436" spans="1:70" ht="14.25" customHeight="1" x14ac:dyDescent="0.25">
      <c r="A436" s="2"/>
      <c r="B436" s="2"/>
      <c r="C436" s="2"/>
      <c r="D436" s="2"/>
      <c r="E436" s="2"/>
      <c r="F436" s="2"/>
      <c r="G436" s="26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</row>
    <row r="437" spans="1:70" ht="14.25" customHeight="1" x14ac:dyDescent="0.25">
      <c r="A437" s="2"/>
      <c r="B437" s="2"/>
      <c r="C437" s="2"/>
      <c r="D437" s="2"/>
      <c r="E437" s="2"/>
      <c r="F437" s="2"/>
      <c r="G437" s="26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</row>
    <row r="438" spans="1:70" ht="14.25" customHeight="1" x14ac:dyDescent="0.25">
      <c r="A438" s="2"/>
      <c r="B438" s="2"/>
      <c r="C438" s="2"/>
      <c r="D438" s="2"/>
      <c r="E438" s="2"/>
      <c r="F438" s="2"/>
      <c r="G438" s="26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</row>
    <row r="439" spans="1:70" ht="14.25" customHeight="1" x14ac:dyDescent="0.25">
      <c r="A439" s="2"/>
      <c r="B439" s="2"/>
      <c r="C439" s="2"/>
      <c r="D439" s="2"/>
      <c r="E439" s="2"/>
      <c r="F439" s="2"/>
      <c r="G439" s="26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</row>
    <row r="440" spans="1:70" ht="14.25" customHeight="1" x14ac:dyDescent="0.25">
      <c r="A440" s="2"/>
      <c r="B440" s="2"/>
      <c r="C440" s="2"/>
      <c r="D440" s="2"/>
      <c r="E440" s="2"/>
      <c r="F440" s="2"/>
      <c r="G440" s="26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</row>
    <row r="441" spans="1:70" ht="14.25" customHeight="1" x14ac:dyDescent="0.25">
      <c r="A441" s="2"/>
      <c r="B441" s="2"/>
      <c r="C441" s="2"/>
      <c r="D441" s="2"/>
      <c r="E441" s="2"/>
      <c r="F441" s="2"/>
      <c r="G441" s="26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</row>
    <row r="442" spans="1:70" ht="14.25" customHeight="1" x14ac:dyDescent="0.25">
      <c r="A442" s="2"/>
      <c r="B442" s="2"/>
      <c r="C442" s="2"/>
      <c r="D442" s="2"/>
      <c r="E442" s="2"/>
      <c r="F442" s="2"/>
      <c r="G442" s="26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</row>
    <row r="443" spans="1:70" ht="14.25" customHeight="1" x14ac:dyDescent="0.25">
      <c r="A443" s="2"/>
      <c r="B443" s="2"/>
      <c r="C443" s="2"/>
      <c r="D443" s="2"/>
      <c r="E443" s="2"/>
      <c r="F443" s="2"/>
      <c r="G443" s="26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</row>
    <row r="444" spans="1:70" ht="14.25" customHeight="1" x14ac:dyDescent="0.25">
      <c r="A444" s="2"/>
      <c r="B444" s="2"/>
      <c r="C444" s="2"/>
      <c r="D444" s="2"/>
      <c r="E444" s="2"/>
      <c r="F444" s="2"/>
      <c r="G444" s="26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</row>
    <row r="445" spans="1:70" ht="14.25" customHeight="1" x14ac:dyDescent="0.25">
      <c r="A445" s="2"/>
      <c r="B445" s="2"/>
      <c r="C445" s="2"/>
      <c r="D445" s="2"/>
      <c r="E445" s="2"/>
      <c r="F445" s="2"/>
      <c r="G445" s="26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</row>
    <row r="446" spans="1:70" ht="14.25" customHeight="1" x14ac:dyDescent="0.25">
      <c r="A446" s="2"/>
      <c r="B446" s="2"/>
      <c r="C446" s="2"/>
      <c r="D446" s="2"/>
      <c r="E446" s="2"/>
      <c r="F446" s="2"/>
      <c r="G446" s="26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</row>
    <row r="447" spans="1:70" ht="14.25" customHeight="1" x14ac:dyDescent="0.25">
      <c r="A447" s="2"/>
      <c r="B447" s="2"/>
      <c r="C447" s="2"/>
      <c r="D447" s="2"/>
      <c r="E447" s="2"/>
      <c r="F447" s="2"/>
      <c r="G447" s="26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</row>
    <row r="448" spans="1:70" ht="14.25" customHeight="1" x14ac:dyDescent="0.25">
      <c r="A448" s="2"/>
      <c r="B448" s="2"/>
      <c r="C448" s="2"/>
      <c r="D448" s="2"/>
      <c r="E448" s="2"/>
      <c r="F448" s="2"/>
      <c r="G448" s="26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</row>
    <row r="449" spans="1:70" ht="14.25" customHeight="1" x14ac:dyDescent="0.25">
      <c r="A449" s="2"/>
      <c r="B449" s="2"/>
      <c r="C449" s="2"/>
      <c r="D449" s="2"/>
      <c r="E449" s="2"/>
      <c r="F449" s="2"/>
      <c r="G449" s="26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</row>
    <row r="450" spans="1:70" ht="14.25" customHeight="1" x14ac:dyDescent="0.25">
      <c r="A450" s="2"/>
      <c r="B450" s="2"/>
      <c r="C450" s="2"/>
      <c r="D450" s="2"/>
      <c r="E450" s="2"/>
      <c r="F450" s="2"/>
      <c r="G450" s="26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</row>
    <row r="451" spans="1:70" ht="14.25" customHeight="1" x14ac:dyDescent="0.25">
      <c r="A451" s="2"/>
      <c r="B451" s="2"/>
      <c r="C451" s="2"/>
      <c r="D451" s="2"/>
      <c r="E451" s="2"/>
      <c r="F451" s="2"/>
      <c r="G451" s="26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</row>
    <row r="452" spans="1:70" ht="14.25" customHeight="1" x14ac:dyDescent="0.25">
      <c r="A452" s="2"/>
      <c r="B452" s="2"/>
      <c r="C452" s="2"/>
      <c r="D452" s="2"/>
      <c r="E452" s="2"/>
      <c r="F452" s="2"/>
      <c r="G452" s="26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</row>
    <row r="453" spans="1:70" ht="14.25" customHeight="1" x14ac:dyDescent="0.25">
      <c r="A453" s="2"/>
      <c r="B453" s="2"/>
      <c r="C453" s="2"/>
      <c r="D453" s="2"/>
      <c r="E453" s="2"/>
      <c r="F453" s="2"/>
      <c r="G453" s="26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</row>
    <row r="454" spans="1:70" ht="14.25" customHeight="1" x14ac:dyDescent="0.25">
      <c r="A454" s="2"/>
      <c r="B454" s="2"/>
      <c r="C454" s="2"/>
      <c r="D454" s="2"/>
      <c r="E454" s="2"/>
      <c r="F454" s="2"/>
      <c r="G454" s="26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</row>
    <row r="455" spans="1:70" ht="14.25" customHeight="1" x14ac:dyDescent="0.25">
      <c r="A455" s="2"/>
      <c r="B455" s="2"/>
      <c r="C455" s="2"/>
      <c r="D455" s="2"/>
      <c r="E455" s="2"/>
      <c r="F455" s="2"/>
      <c r="G455" s="26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</row>
    <row r="456" spans="1:70" ht="14.25" customHeight="1" x14ac:dyDescent="0.25">
      <c r="A456" s="2"/>
      <c r="B456" s="2"/>
      <c r="C456" s="2"/>
      <c r="D456" s="2"/>
      <c r="E456" s="2"/>
      <c r="F456" s="2"/>
      <c r="G456" s="26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</row>
    <row r="457" spans="1:70" ht="14.25" customHeight="1" x14ac:dyDescent="0.25">
      <c r="A457" s="2"/>
      <c r="B457" s="2"/>
      <c r="C457" s="2"/>
      <c r="D457" s="2"/>
      <c r="E457" s="2"/>
      <c r="F457" s="2"/>
      <c r="G457" s="26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</row>
    <row r="458" spans="1:70" ht="14.25" customHeight="1" x14ac:dyDescent="0.25">
      <c r="A458" s="2"/>
      <c r="B458" s="2"/>
      <c r="C458" s="2"/>
      <c r="D458" s="2"/>
      <c r="E458" s="2"/>
      <c r="F458" s="2"/>
      <c r="G458" s="26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</row>
    <row r="459" spans="1:70" ht="14.25" customHeight="1" x14ac:dyDescent="0.25">
      <c r="A459" s="2"/>
      <c r="B459" s="2"/>
      <c r="C459" s="2"/>
      <c r="D459" s="2"/>
      <c r="E459" s="2"/>
      <c r="F459" s="2"/>
      <c r="G459" s="26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</row>
    <row r="460" spans="1:70" ht="14.25" customHeight="1" x14ac:dyDescent="0.25">
      <c r="A460" s="2"/>
      <c r="B460" s="2"/>
      <c r="C460" s="2"/>
      <c r="D460" s="2"/>
      <c r="E460" s="2"/>
      <c r="F460" s="2"/>
      <c r="G460" s="26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</row>
    <row r="461" spans="1:70" ht="14.25" customHeight="1" x14ac:dyDescent="0.25">
      <c r="A461" s="2"/>
      <c r="B461" s="2"/>
      <c r="C461" s="2"/>
      <c r="D461" s="2"/>
      <c r="E461" s="2"/>
      <c r="F461" s="2"/>
      <c r="G461" s="26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</row>
    <row r="462" spans="1:70" ht="14.25" customHeight="1" x14ac:dyDescent="0.25">
      <c r="A462" s="2"/>
      <c r="B462" s="2"/>
      <c r="C462" s="2"/>
      <c r="D462" s="2"/>
      <c r="E462" s="2"/>
      <c r="F462" s="2"/>
      <c r="G462" s="26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</row>
    <row r="463" spans="1:70" ht="14.25" customHeight="1" x14ac:dyDescent="0.25">
      <c r="A463" s="2"/>
      <c r="B463" s="2"/>
      <c r="C463" s="2"/>
      <c r="D463" s="2"/>
      <c r="E463" s="2"/>
      <c r="F463" s="2"/>
      <c r="G463" s="26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</row>
    <row r="464" spans="1:70" ht="14.25" customHeight="1" x14ac:dyDescent="0.25">
      <c r="A464" s="2"/>
      <c r="B464" s="2"/>
      <c r="C464" s="2"/>
      <c r="D464" s="2"/>
      <c r="E464" s="2"/>
      <c r="F464" s="2"/>
      <c r="G464" s="26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</row>
    <row r="465" spans="1:70" ht="14.25" customHeight="1" x14ac:dyDescent="0.25">
      <c r="A465" s="2"/>
      <c r="B465" s="2"/>
      <c r="C465" s="2"/>
      <c r="D465" s="2"/>
      <c r="E465" s="2"/>
      <c r="F465" s="2"/>
      <c r="G465" s="26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</row>
    <row r="466" spans="1:70" ht="14.25" customHeight="1" x14ac:dyDescent="0.25">
      <c r="A466" s="2"/>
      <c r="B466" s="2"/>
      <c r="C466" s="2"/>
      <c r="D466" s="2"/>
      <c r="E466" s="2"/>
      <c r="F466" s="2"/>
      <c r="G466" s="26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</row>
    <row r="467" spans="1:70" ht="14.25" customHeight="1" x14ac:dyDescent="0.25">
      <c r="A467" s="2"/>
      <c r="B467" s="2"/>
      <c r="C467" s="2"/>
      <c r="D467" s="2"/>
      <c r="E467" s="2"/>
      <c r="F467" s="2"/>
      <c r="G467" s="26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</row>
    <row r="468" spans="1:70" ht="14.25" customHeight="1" x14ac:dyDescent="0.25">
      <c r="A468" s="2"/>
      <c r="B468" s="2"/>
      <c r="C468" s="2"/>
      <c r="D468" s="2"/>
      <c r="E468" s="2"/>
      <c r="F468" s="2"/>
      <c r="G468" s="26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</row>
    <row r="469" spans="1:70" ht="14.25" customHeight="1" x14ac:dyDescent="0.25">
      <c r="A469" s="2"/>
      <c r="B469" s="2"/>
      <c r="C469" s="2"/>
      <c r="D469" s="2"/>
      <c r="E469" s="2"/>
      <c r="F469" s="2"/>
      <c r="G469" s="26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</row>
    <row r="470" spans="1:70" ht="14.25" customHeight="1" x14ac:dyDescent="0.25">
      <c r="A470" s="2"/>
      <c r="B470" s="2"/>
      <c r="C470" s="2"/>
      <c r="D470" s="2"/>
      <c r="E470" s="2"/>
      <c r="F470" s="2"/>
      <c r="G470" s="26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</row>
    <row r="471" spans="1:70" ht="14.25" customHeight="1" x14ac:dyDescent="0.25">
      <c r="A471" s="2"/>
      <c r="B471" s="2"/>
      <c r="C471" s="2"/>
      <c r="D471" s="2"/>
      <c r="E471" s="2"/>
      <c r="F471" s="2"/>
      <c r="G471" s="26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</row>
    <row r="472" spans="1:70" ht="14.25" customHeight="1" x14ac:dyDescent="0.25">
      <c r="A472" s="2"/>
      <c r="B472" s="2"/>
      <c r="C472" s="2"/>
      <c r="D472" s="2"/>
      <c r="E472" s="2"/>
      <c r="F472" s="2"/>
      <c r="G472" s="26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</row>
    <row r="473" spans="1:70" ht="14.25" customHeight="1" x14ac:dyDescent="0.25">
      <c r="A473" s="2"/>
      <c r="B473" s="2"/>
      <c r="C473" s="2"/>
      <c r="D473" s="2"/>
      <c r="E473" s="2"/>
      <c r="F473" s="2"/>
      <c r="G473" s="26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</row>
    <row r="474" spans="1:70" ht="14.25" customHeight="1" x14ac:dyDescent="0.25">
      <c r="A474" s="2"/>
      <c r="B474" s="2"/>
      <c r="C474" s="2"/>
      <c r="D474" s="2"/>
      <c r="E474" s="2"/>
      <c r="F474" s="2"/>
      <c r="G474" s="26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</row>
    <row r="475" spans="1:70" ht="14.25" customHeight="1" x14ac:dyDescent="0.25">
      <c r="A475" s="2"/>
      <c r="B475" s="2"/>
      <c r="C475" s="2"/>
      <c r="D475" s="2"/>
      <c r="E475" s="2"/>
      <c r="F475" s="2"/>
      <c r="G475" s="26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</row>
    <row r="476" spans="1:70" ht="14.25" customHeight="1" x14ac:dyDescent="0.25">
      <c r="A476" s="2"/>
      <c r="B476" s="2"/>
      <c r="C476" s="2"/>
      <c r="D476" s="2"/>
      <c r="E476" s="2"/>
      <c r="F476" s="2"/>
      <c r="G476" s="26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</row>
    <row r="477" spans="1:70" ht="14.25" customHeight="1" x14ac:dyDescent="0.25">
      <c r="A477" s="2"/>
      <c r="B477" s="2"/>
      <c r="C477" s="2"/>
      <c r="D477" s="2"/>
      <c r="E477" s="2"/>
      <c r="F477" s="2"/>
      <c r="G477" s="26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</row>
    <row r="478" spans="1:70" ht="14.25" customHeight="1" x14ac:dyDescent="0.25">
      <c r="A478" s="2"/>
      <c r="B478" s="2"/>
      <c r="C478" s="2"/>
      <c r="D478" s="2"/>
      <c r="E478" s="2"/>
      <c r="F478" s="2"/>
      <c r="G478" s="26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</row>
    <row r="479" spans="1:70" ht="14.25" customHeight="1" x14ac:dyDescent="0.25">
      <c r="A479" s="2"/>
      <c r="B479" s="2"/>
      <c r="C479" s="2"/>
      <c r="D479" s="2"/>
      <c r="E479" s="2"/>
      <c r="F479" s="2"/>
      <c r="G479" s="26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</row>
    <row r="480" spans="1:70" ht="14.25" customHeight="1" x14ac:dyDescent="0.25">
      <c r="A480" s="2"/>
      <c r="B480" s="2"/>
      <c r="C480" s="2"/>
      <c r="D480" s="2"/>
      <c r="E480" s="2"/>
      <c r="F480" s="2"/>
      <c r="G480" s="26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</row>
    <row r="481" spans="1:70" ht="14.25" customHeight="1" x14ac:dyDescent="0.25">
      <c r="A481" s="2"/>
      <c r="B481" s="2"/>
      <c r="C481" s="2"/>
      <c r="D481" s="2"/>
      <c r="E481" s="2"/>
      <c r="F481" s="2"/>
      <c r="G481" s="26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</row>
    <row r="482" spans="1:70" ht="14.25" customHeight="1" x14ac:dyDescent="0.25">
      <c r="A482" s="2"/>
      <c r="B482" s="2"/>
      <c r="C482" s="2"/>
      <c r="D482" s="2"/>
      <c r="E482" s="2"/>
      <c r="F482" s="2"/>
      <c r="G482" s="26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</row>
    <row r="483" spans="1:70" ht="14.25" customHeight="1" x14ac:dyDescent="0.25">
      <c r="A483" s="2"/>
      <c r="B483" s="2"/>
      <c r="C483" s="2"/>
      <c r="D483" s="2"/>
      <c r="E483" s="2"/>
      <c r="F483" s="2"/>
      <c r="G483" s="26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</row>
    <row r="484" spans="1:70" ht="14.25" customHeight="1" x14ac:dyDescent="0.25">
      <c r="A484" s="2"/>
      <c r="B484" s="2"/>
      <c r="C484" s="2"/>
      <c r="D484" s="2"/>
      <c r="E484" s="2"/>
      <c r="F484" s="2"/>
      <c r="G484" s="26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</row>
    <row r="485" spans="1:70" ht="14.25" customHeight="1" x14ac:dyDescent="0.25">
      <c r="A485" s="2"/>
      <c r="B485" s="2"/>
      <c r="C485" s="2"/>
      <c r="D485" s="2"/>
      <c r="E485" s="2"/>
      <c r="F485" s="2"/>
      <c r="G485" s="26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</row>
    <row r="486" spans="1:70" ht="14.25" customHeight="1" x14ac:dyDescent="0.25">
      <c r="A486" s="2"/>
      <c r="B486" s="2"/>
      <c r="C486" s="2"/>
      <c r="D486" s="2"/>
      <c r="E486" s="2"/>
      <c r="F486" s="2"/>
      <c r="G486" s="26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</row>
    <row r="487" spans="1:70" ht="14.25" customHeight="1" x14ac:dyDescent="0.25">
      <c r="A487" s="2"/>
      <c r="B487" s="2"/>
      <c r="C487" s="2"/>
      <c r="D487" s="2"/>
      <c r="E487" s="2"/>
      <c r="F487" s="2"/>
      <c r="G487" s="26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</row>
    <row r="488" spans="1:70" ht="14.25" customHeight="1" x14ac:dyDescent="0.25">
      <c r="A488" s="2"/>
      <c r="B488" s="2"/>
      <c r="C488" s="2"/>
      <c r="D488" s="2"/>
      <c r="E488" s="2"/>
      <c r="F488" s="2"/>
      <c r="G488" s="26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</row>
    <row r="489" spans="1:70" ht="14.25" customHeight="1" x14ac:dyDescent="0.25">
      <c r="A489" s="2"/>
      <c r="B489" s="2"/>
      <c r="C489" s="2"/>
      <c r="D489" s="2"/>
      <c r="E489" s="2"/>
      <c r="F489" s="2"/>
      <c r="G489" s="26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</row>
    <row r="490" spans="1:70" ht="14.25" customHeight="1" x14ac:dyDescent="0.25">
      <c r="A490" s="2"/>
      <c r="B490" s="2"/>
      <c r="C490" s="2"/>
      <c r="D490" s="2"/>
      <c r="E490" s="2"/>
      <c r="F490" s="2"/>
      <c r="G490" s="26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</row>
    <row r="491" spans="1:70" ht="14.25" customHeight="1" x14ac:dyDescent="0.25">
      <c r="A491" s="2"/>
      <c r="B491" s="2"/>
      <c r="C491" s="2"/>
      <c r="D491" s="2"/>
      <c r="E491" s="2"/>
      <c r="F491" s="2"/>
      <c r="G491" s="26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</row>
    <row r="492" spans="1:70" ht="14.25" customHeight="1" x14ac:dyDescent="0.25">
      <c r="A492" s="2"/>
      <c r="B492" s="2"/>
      <c r="C492" s="2"/>
      <c r="D492" s="2"/>
      <c r="E492" s="2"/>
      <c r="F492" s="2"/>
      <c r="G492" s="26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</row>
    <row r="493" spans="1:70" ht="14.25" customHeight="1" x14ac:dyDescent="0.25">
      <c r="A493" s="2"/>
      <c r="B493" s="2"/>
      <c r="C493" s="2"/>
      <c r="D493" s="2"/>
      <c r="E493" s="2"/>
      <c r="F493" s="2"/>
      <c r="G493" s="26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</row>
    <row r="494" spans="1:70" ht="14.25" customHeight="1" x14ac:dyDescent="0.25">
      <c r="A494" s="2"/>
      <c r="B494" s="2"/>
      <c r="C494" s="2"/>
      <c r="D494" s="2"/>
      <c r="E494" s="2"/>
      <c r="F494" s="2"/>
      <c r="G494" s="26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</row>
    <row r="495" spans="1:70" ht="14.25" customHeight="1" x14ac:dyDescent="0.25">
      <c r="A495" s="2"/>
      <c r="B495" s="2"/>
      <c r="C495" s="2"/>
      <c r="D495" s="2"/>
      <c r="E495" s="2"/>
      <c r="F495" s="2"/>
      <c r="G495" s="26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</row>
    <row r="496" spans="1:70" ht="14.25" customHeight="1" x14ac:dyDescent="0.25">
      <c r="A496" s="2"/>
      <c r="B496" s="2"/>
      <c r="C496" s="2"/>
      <c r="D496" s="2"/>
      <c r="E496" s="2"/>
      <c r="F496" s="2"/>
      <c r="G496" s="26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</row>
    <row r="497" spans="1:70" ht="14.25" customHeight="1" x14ac:dyDescent="0.25">
      <c r="A497" s="2"/>
      <c r="B497" s="2"/>
      <c r="C497" s="2"/>
      <c r="D497" s="2"/>
      <c r="E497" s="2"/>
      <c r="F497" s="2"/>
      <c r="G497" s="26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</row>
    <row r="498" spans="1:70" ht="14.25" customHeight="1" x14ac:dyDescent="0.25">
      <c r="A498" s="2"/>
      <c r="B498" s="2"/>
      <c r="C498" s="2"/>
      <c r="D498" s="2"/>
      <c r="E498" s="2"/>
      <c r="F498" s="2"/>
      <c r="G498" s="26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</row>
    <row r="499" spans="1:70" ht="14.25" customHeight="1" x14ac:dyDescent="0.25">
      <c r="A499" s="2"/>
      <c r="B499" s="2"/>
      <c r="C499" s="2"/>
      <c r="D499" s="2"/>
      <c r="E499" s="2"/>
      <c r="F499" s="2"/>
      <c r="G499" s="26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</row>
    <row r="500" spans="1:70" ht="14.25" customHeight="1" x14ac:dyDescent="0.25">
      <c r="A500" s="2"/>
      <c r="B500" s="2"/>
      <c r="C500" s="2"/>
      <c r="D500" s="2"/>
      <c r="E500" s="2"/>
      <c r="F500" s="2"/>
      <c r="G500" s="26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</row>
    <row r="501" spans="1:70" ht="14.25" customHeight="1" x14ac:dyDescent="0.25">
      <c r="A501" s="2"/>
      <c r="B501" s="2"/>
      <c r="C501" s="2"/>
      <c r="D501" s="2"/>
      <c r="E501" s="2"/>
      <c r="F501" s="2"/>
      <c r="G501" s="26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</row>
    <row r="502" spans="1:70" ht="14.25" customHeight="1" x14ac:dyDescent="0.25">
      <c r="A502" s="2"/>
      <c r="B502" s="2"/>
      <c r="C502" s="2"/>
      <c r="D502" s="2"/>
      <c r="E502" s="2"/>
      <c r="F502" s="2"/>
      <c r="G502" s="26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</row>
    <row r="503" spans="1:70" ht="14.25" customHeight="1" x14ac:dyDescent="0.25">
      <c r="A503" s="2"/>
      <c r="B503" s="2"/>
      <c r="C503" s="2"/>
      <c r="D503" s="2"/>
      <c r="E503" s="2"/>
      <c r="F503" s="2"/>
      <c r="G503" s="26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</row>
    <row r="504" spans="1:70" ht="14.25" customHeight="1" x14ac:dyDescent="0.25">
      <c r="A504" s="2"/>
      <c r="B504" s="2"/>
      <c r="C504" s="2"/>
      <c r="D504" s="2"/>
      <c r="E504" s="2"/>
      <c r="F504" s="2"/>
      <c r="G504" s="26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</row>
    <row r="505" spans="1:70" ht="14.25" customHeight="1" x14ac:dyDescent="0.25">
      <c r="A505" s="2"/>
      <c r="B505" s="2"/>
      <c r="C505" s="2"/>
      <c r="D505" s="2"/>
      <c r="E505" s="2"/>
      <c r="F505" s="2"/>
      <c r="G505" s="26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</row>
    <row r="506" spans="1:70" ht="14.25" customHeight="1" x14ac:dyDescent="0.25">
      <c r="A506" s="2"/>
      <c r="B506" s="2"/>
      <c r="C506" s="2"/>
      <c r="D506" s="2"/>
      <c r="E506" s="2"/>
      <c r="F506" s="2"/>
      <c r="G506" s="26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</row>
    <row r="507" spans="1:70" ht="14.25" customHeight="1" x14ac:dyDescent="0.25">
      <c r="A507" s="2"/>
      <c r="B507" s="2"/>
      <c r="C507" s="2"/>
      <c r="D507" s="2"/>
      <c r="E507" s="2"/>
      <c r="F507" s="2"/>
      <c r="G507" s="26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</row>
    <row r="508" spans="1:70" ht="14.25" customHeight="1" x14ac:dyDescent="0.25">
      <c r="A508" s="2"/>
      <c r="B508" s="2"/>
      <c r="C508" s="2"/>
      <c r="D508" s="2"/>
      <c r="E508" s="2"/>
      <c r="F508" s="2"/>
      <c r="G508" s="26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</row>
    <row r="509" spans="1:70" ht="14.25" customHeight="1" x14ac:dyDescent="0.25">
      <c r="A509" s="2"/>
      <c r="B509" s="2"/>
      <c r="C509" s="2"/>
      <c r="D509" s="2"/>
      <c r="E509" s="2"/>
      <c r="F509" s="2"/>
      <c r="G509" s="26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</row>
    <row r="510" spans="1:70" ht="14.25" customHeight="1" x14ac:dyDescent="0.25">
      <c r="A510" s="2"/>
      <c r="B510" s="2"/>
      <c r="C510" s="2"/>
      <c r="D510" s="2"/>
      <c r="E510" s="2"/>
      <c r="F510" s="2"/>
      <c r="G510" s="26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</row>
    <row r="511" spans="1:70" ht="14.25" customHeight="1" x14ac:dyDescent="0.25">
      <c r="A511" s="2"/>
      <c r="B511" s="2"/>
      <c r="C511" s="2"/>
      <c r="D511" s="2"/>
      <c r="E511" s="2"/>
      <c r="F511" s="2"/>
      <c r="G511" s="26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</row>
    <row r="512" spans="1:70" ht="14.25" customHeight="1" x14ac:dyDescent="0.25">
      <c r="A512" s="2"/>
      <c r="B512" s="2"/>
      <c r="C512" s="2"/>
      <c r="D512" s="2"/>
      <c r="E512" s="2"/>
      <c r="F512" s="2"/>
      <c r="G512" s="26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</row>
    <row r="513" spans="1:70" ht="14.25" customHeight="1" x14ac:dyDescent="0.25">
      <c r="A513" s="2"/>
      <c r="B513" s="2"/>
      <c r="C513" s="2"/>
      <c r="D513" s="2"/>
      <c r="E513" s="2"/>
      <c r="F513" s="2"/>
      <c r="G513" s="26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</row>
    <row r="514" spans="1:70" ht="14.25" customHeight="1" x14ac:dyDescent="0.25">
      <c r="A514" s="2"/>
      <c r="B514" s="2"/>
      <c r="C514" s="2"/>
      <c r="D514" s="2"/>
      <c r="E514" s="2"/>
      <c r="F514" s="2"/>
      <c r="G514" s="26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</row>
    <row r="515" spans="1:70" ht="14.25" customHeight="1" x14ac:dyDescent="0.25">
      <c r="A515" s="2"/>
      <c r="B515" s="2"/>
      <c r="C515" s="2"/>
      <c r="D515" s="2"/>
      <c r="E515" s="2"/>
      <c r="F515" s="2"/>
      <c r="G515" s="26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</row>
    <row r="516" spans="1:70" ht="14.25" customHeight="1" x14ac:dyDescent="0.25">
      <c r="A516" s="2"/>
      <c r="B516" s="2"/>
      <c r="C516" s="2"/>
      <c r="D516" s="2"/>
      <c r="E516" s="2"/>
      <c r="F516" s="2"/>
      <c r="G516" s="26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</row>
    <row r="517" spans="1:70" ht="14.25" customHeight="1" x14ac:dyDescent="0.25">
      <c r="A517" s="2"/>
      <c r="B517" s="2"/>
      <c r="C517" s="2"/>
      <c r="D517" s="2"/>
      <c r="E517" s="2"/>
      <c r="F517" s="2"/>
      <c r="G517" s="26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</row>
    <row r="518" spans="1:70" ht="14.25" customHeight="1" x14ac:dyDescent="0.25">
      <c r="A518" s="2"/>
      <c r="B518" s="2"/>
      <c r="C518" s="2"/>
      <c r="D518" s="2"/>
      <c r="E518" s="2"/>
      <c r="F518" s="2"/>
      <c r="G518" s="26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</row>
    <row r="519" spans="1:70" ht="14.25" customHeight="1" x14ac:dyDescent="0.25">
      <c r="A519" s="2"/>
      <c r="B519" s="2"/>
      <c r="C519" s="2"/>
      <c r="D519" s="2"/>
      <c r="E519" s="2"/>
      <c r="F519" s="2"/>
      <c r="G519" s="26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</row>
    <row r="520" spans="1:70" ht="14.25" customHeight="1" x14ac:dyDescent="0.25">
      <c r="A520" s="2"/>
      <c r="B520" s="2"/>
      <c r="C520" s="2"/>
      <c r="D520" s="2"/>
      <c r="E520" s="2"/>
      <c r="F520" s="2"/>
      <c r="G520" s="26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</row>
    <row r="521" spans="1:70" ht="14.25" customHeight="1" x14ac:dyDescent="0.25">
      <c r="A521" s="2"/>
      <c r="B521" s="2"/>
      <c r="C521" s="2"/>
      <c r="D521" s="2"/>
      <c r="E521" s="2"/>
      <c r="F521" s="2"/>
      <c r="G521" s="26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</row>
    <row r="522" spans="1:70" ht="14.25" customHeight="1" x14ac:dyDescent="0.25">
      <c r="A522" s="2"/>
      <c r="B522" s="2"/>
      <c r="C522" s="2"/>
      <c r="D522" s="2"/>
      <c r="E522" s="2"/>
      <c r="F522" s="2"/>
      <c r="G522" s="26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</row>
    <row r="523" spans="1:70" ht="14.25" customHeight="1" x14ac:dyDescent="0.25">
      <c r="A523" s="2"/>
      <c r="B523" s="2"/>
      <c r="C523" s="2"/>
      <c r="D523" s="2"/>
      <c r="E523" s="2"/>
      <c r="F523" s="2"/>
      <c r="G523" s="26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</row>
    <row r="524" spans="1:70" ht="14.25" customHeight="1" x14ac:dyDescent="0.25">
      <c r="A524" s="2"/>
      <c r="B524" s="2"/>
      <c r="C524" s="2"/>
      <c r="D524" s="2"/>
      <c r="E524" s="2"/>
      <c r="F524" s="2"/>
      <c r="G524" s="26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</row>
    <row r="525" spans="1:70" ht="14.25" customHeight="1" x14ac:dyDescent="0.25">
      <c r="A525" s="2"/>
      <c r="B525" s="2"/>
      <c r="C525" s="2"/>
      <c r="D525" s="2"/>
      <c r="E525" s="2"/>
      <c r="F525" s="2"/>
      <c r="G525" s="26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</row>
    <row r="526" spans="1:70" ht="14.25" customHeight="1" x14ac:dyDescent="0.25">
      <c r="A526" s="2"/>
      <c r="B526" s="2"/>
      <c r="C526" s="2"/>
      <c r="D526" s="2"/>
      <c r="E526" s="2"/>
      <c r="F526" s="2"/>
      <c r="G526" s="26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</row>
    <row r="527" spans="1:70" ht="14.25" customHeight="1" x14ac:dyDescent="0.25">
      <c r="A527" s="2"/>
      <c r="B527" s="2"/>
      <c r="C527" s="2"/>
      <c r="D527" s="2"/>
      <c r="E527" s="2"/>
      <c r="F527" s="2"/>
      <c r="G527" s="26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</row>
    <row r="528" spans="1:70" ht="14.25" customHeight="1" x14ac:dyDescent="0.25">
      <c r="A528" s="2"/>
      <c r="B528" s="2"/>
      <c r="C528" s="2"/>
      <c r="D528" s="2"/>
      <c r="E528" s="2"/>
      <c r="F528" s="2"/>
      <c r="G528" s="26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</row>
    <row r="529" spans="1:70" ht="14.25" customHeight="1" x14ac:dyDescent="0.25">
      <c r="A529" s="2"/>
      <c r="B529" s="2"/>
      <c r="C529" s="2"/>
      <c r="D529" s="2"/>
      <c r="E529" s="2"/>
      <c r="F529" s="2"/>
      <c r="G529" s="26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</row>
    <row r="530" spans="1:70" ht="14.25" customHeight="1" x14ac:dyDescent="0.25">
      <c r="A530" s="2"/>
      <c r="B530" s="2"/>
      <c r="C530" s="2"/>
      <c r="D530" s="2"/>
      <c r="E530" s="2"/>
      <c r="F530" s="2"/>
      <c r="G530" s="26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</row>
    <row r="531" spans="1:70" ht="14.25" customHeight="1" x14ac:dyDescent="0.25">
      <c r="A531" s="2"/>
      <c r="B531" s="2"/>
      <c r="C531" s="2"/>
      <c r="D531" s="2"/>
      <c r="E531" s="2"/>
      <c r="F531" s="2"/>
      <c r="G531" s="26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</row>
    <row r="532" spans="1:70" ht="14.25" customHeight="1" x14ac:dyDescent="0.25">
      <c r="A532" s="2"/>
      <c r="B532" s="2"/>
      <c r="C532" s="2"/>
      <c r="D532" s="2"/>
      <c r="E532" s="2"/>
      <c r="F532" s="2"/>
      <c r="G532" s="26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</row>
    <row r="533" spans="1:70" ht="14.25" customHeight="1" x14ac:dyDescent="0.25">
      <c r="A533" s="2"/>
      <c r="B533" s="2"/>
      <c r="C533" s="2"/>
      <c r="D533" s="2"/>
      <c r="E533" s="2"/>
      <c r="F533" s="2"/>
      <c r="G533" s="26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</row>
    <row r="534" spans="1:70" ht="14.25" customHeight="1" x14ac:dyDescent="0.25">
      <c r="A534" s="2"/>
      <c r="B534" s="2"/>
      <c r="C534" s="2"/>
      <c r="D534" s="2"/>
      <c r="E534" s="2"/>
      <c r="F534" s="2"/>
      <c r="G534" s="26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</row>
    <row r="535" spans="1:70" ht="14.25" customHeight="1" x14ac:dyDescent="0.25">
      <c r="A535" s="2"/>
      <c r="B535" s="2"/>
      <c r="C535" s="2"/>
      <c r="D535" s="2"/>
      <c r="E535" s="2"/>
      <c r="F535" s="2"/>
      <c r="G535" s="26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</row>
    <row r="536" spans="1:70" ht="14.25" customHeight="1" x14ac:dyDescent="0.25">
      <c r="A536" s="2"/>
      <c r="B536" s="2"/>
      <c r="C536" s="2"/>
      <c r="D536" s="2"/>
      <c r="E536" s="2"/>
      <c r="F536" s="2"/>
      <c r="G536" s="26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</row>
    <row r="537" spans="1:70" ht="14.25" customHeight="1" x14ac:dyDescent="0.25">
      <c r="A537" s="2"/>
      <c r="B537" s="2"/>
      <c r="C537" s="2"/>
      <c r="D537" s="2"/>
      <c r="E537" s="2"/>
      <c r="F537" s="2"/>
      <c r="G537" s="26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</row>
    <row r="538" spans="1:70" ht="14.25" customHeight="1" x14ac:dyDescent="0.25">
      <c r="A538" s="2"/>
      <c r="B538" s="2"/>
      <c r="C538" s="2"/>
      <c r="D538" s="2"/>
      <c r="E538" s="2"/>
      <c r="F538" s="2"/>
      <c r="G538" s="26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</row>
    <row r="539" spans="1:70" ht="14.25" customHeight="1" x14ac:dyDescent="0.25">
      <c r="A539" s="2"/>
      <c r="B539" s="2"/>
      <c r="C539" s="2"/>
      <c r="D539" s="2"/>
      <c r="E539" s="2"/>
      <c r="F539" s="2"/>
      <c r="G539" s="26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</row>
    <row r="540" spans="1:70" ht="14.25" customHeight="1" x14ac:dyDescent="0.25">
      <c r="A540" s="2"/>
      <c r="B540" s="2"/>
      <c r="C540" s="2"/>
      <c r="D540" s="2"/>
      <c r="E540" s="2"/>
      <c r="F540" s="2"/>
      <c r="G540" s="26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</row>
    <row r="541" spans="1:70" ht="14.25" customHeight="1" x14ac:dyDescent="0.25">
      <c r="A541" s="2"/>
      <c r="B541" s="2"/>
      <c r="C541" s="2"/>
      <c r="D541" s="2"/>
      <c r="E541" s="2"/>
      <c r="F541" s="2"/>
      <c r="G541" s="26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</row>
    <row r="542" spans="1:70" ht="14.25" customHeight="1" x14ac:dyDescent="0.25">
      <c r="A542" s="2"/>
      <c r="B542" s="2"/>
      <c r="C542" s="2"/>
      <c r="D542" s="2"/>
      <c r="E542" s="2"/>
      <c r="F542" s="2"/>
      <c r="G542" s="26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</row>
    <row r="543" spans="1:70" ht="14.25" customHeight="1" x14ac:dyDescent="0.25">
      <c r="A543" s="2"/>
      <c r="B543" s="2"/>
      <c r="C543" s="2"/>
      <c r="D543" s="2"/>
      <c r="E543" s="2"/>
      <c r="F543" s="2"/>
      <c r="G543" s="26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</row>
    <row r="544" spans="1:70" ht="14.25" customHeight="1" x14ac:dyDescent="0.25">
      <c r="A544" s="2"/>
      <c r="B544" s="2"/>
      <c r="C544" s="2"/>
      <c r="D544" s="2"/>
      <c r="E544" s="2"/>
      <c r="F544" s="2"/>
      <c r="G544" s="26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</row>
    <row r="545" spans="1:70" ht="14.25" customHeight="1" x14ac:dyDescent="0.25">
      <c r="A545" s="2"/>
      <c r="B545" s="2"/>
      <c r="C545" s="2"/>
      <c r="D545" s="2"/>
      <c r="E545" s="2"/>
      <c r="F545" s="2"/>
      <c r="G545" s="26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</row>
    <row r="546" spans="1:70" ht="14.25" customHeight="1" x14ac:dyDescent="0.25">
      <c r="A546" s="2"/>
      <c r="B546" s="2"/>
      <c r="C546" s="2"/>
      <c r="D546" s="2"/>
      <c r="E546" s="2"/>
      <c r="F546" s="2"/>
      <c r="G546" s="26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</row>
    <row r="547" spans="1:70" ht="14.25" customHeight="1" x14ac:dyDescent="0.25">
      <c r="A547" s="2"/>
      <c r="B547" s="2"/>
      <c r="C547" s="2"/>
      <c r="D547" s="2"/>
      <c r="E547" s="2"/>
      <c r="F547" s="2"/>
      <c r="G547" s="26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0" ht="14.25" customHeight="1" x14ac:dyDescent="0.25">
      <c r="A548" s="2"/>
      <c r="B548" s="2"/>
      <c r="C548" s="2"/>
      <c r="D548" s="2"/>
      <c r="E548" s="2"/>
      <c r="F548" s="2"/>
      <c r="G548" s="26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0" ht="14.25" customHeight="1" x14ac:dyDescent="0.25">
      <c r="A549" s="2"/>
      <c r="B549" s="2"/>
      <c r="C549" s="2"/>
      <c r="D549" s="2"/>
      <c r="E549" s="2"/>
      <c r="F549" s="2"/>
      <c r="G549" s="26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0" ht="14.25" customHeight="1" x14ac:dyDescent="0.25">
      <c r="A550" s="2"/>
      <c r="B550" s="2"/>
      <c r="C550" s="2"/>
      <c r="D550" s="2"/>
      <c r="E550" s="2"/>
      <c r="F550" s="2"/>
      <c r="G550" s="26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0" ht="14.25" customHeight="1" x14ac:dyDescent="0.25">
      <c r="A551" s="2"/>
      <c r="B551" s="2"/>
      <c r="C551" s="2"/>
      <c r="D551" s="2"/>
      <c r="E551" s="2"/>
      <c r="F551" s="2"/>
      <c r="G551" s="26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0" ht="14.25" customHeight="1" x14ac:dyDescent="0.25">
      <c r="A552" s="2"/>
      <c r="B552" s="2"/>
      <c r="C552" s="2"/>
      <c r="D552" s="2"/>
      <c r="E552" s="2"/>
      <c r="F552" s="2"/>
      <c r="G552" s="26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0" ht="14.25" customHeight="1" x14ac:dyDescent="0.25">
      <c r="A553" s="2"/>
      <c r="B553" s="2"/>
      <c r="C553" s="2"/>
      <c r="D553" s="2"/>
      <c r="E553" s="2"/>
      <c r="F553" s="2"/>
      <c r="G553" s="26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0" ht="14.25" customHeight="1" x14ac:dyDescent="0.25">
      <c r="A554" s="2"/>
      <c r="B554" s="2"/>
      <c r="C554" s="2"/>
      <c r="D554" s="2"/>
      <c r="E554" s="2"/>
      <c r="F554" s="2"/>
      <c r="G554" s="26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0" ht="14.25" customHeight="1" x14ac:dyDescent="0.25">
      <c r="A555" s="2"/>
      <c r="B555" s="2"/>
      <c r="C555" s="2"/>
      <c r="D555" s="2"/>
      <c r="E555" s="2"/>
      <c r="F555" s="2"/>
      <c r="G555" s="26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0" ht="14.25" customHeight="1" x14ac:dyDescent="0.25">
      <c r="A556" s="2"/>
      <c r="B556" s="2"/>
      <c r="C556" s="2"/>
      <c r="D556" s="2"/>
      <c r="E556" s="2"/>
      <c r="F556" s="2"/>
      <c r="G556" s="26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0" ht="14.25" customHeight="1" x14ac:dyDescent="0.25">
      <c r="A557" s="2"/>
      <c r="B557" s="2"/>
      <c r="C557" s="2"/>
      <c r="D557" s="2"/>
      <c r="E557" s="2"/>
      <c r="F557" s="2"/>
      <c r="G557" s="26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0" ht="14.25" customHeight="1" x14ac:dyDescent="0.25">
      <c r="A558" s="2"/>
      <c r="B558" s="2"/>
      <c r="C558" s="2"/>
      <c r="D558" s="2"/>
      <c r="E558" s="2"/>
      <c r="F558" s="2"/>
      <c r="G558" s="26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0" ht="14.25" customHeight="1" x14ac:dyDescent="0.25">
      <c r="A559" s="2"/>
      <c r="B559" s="2"/>
      <c r="C559" s="2"/>
      <c r="D559" s="2"/>
      <c r="E559" s="2"/>
      <c r="F559" s="2"/>
      <c r="G559" s="26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0" ht="14.25" customHeight="1" x14ac:dyDescent="0.25">
      <c r="A560" s="2"/>
      <c r="B560" s="2"/>
      <c r="C560" s="2"/>
      <c r="D560" s="2"/>
      <c r="E560" s="2"/>
      <c r="F560" s="2"/>
      <c r="G560" s="26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4.25" customHeight="1" x14ac:dyDescent="0.25">
      <c r="A561" s="2"/>
      <c r="B561" s="2"/>
      <c r="C561" s="2"/>
      <c r="D561" s="2"/>
      <c r="E561" s="2"/>
      <c r="F561" s="2"/>
      <c r="G561" s="26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4.25" customHeight="1" x14ac:dyDescent="0.25">
      <c r="A562" s="2"/>
      <c r="B562" s="2"/>
      <c r="C562" s="2"/>
      <c r="D562" s="2"/>
      <c r="E562" s="2"/>
      <c r="F562" s="2"/>
      <c r="G562" s="26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4.25" customHeight="1" x14ac:dyDescent="0.25">
      <c r="A563" s="2"/>
      <c r="B563" s="2"/>
      <c r="C563" s="2"/>
      <c r="D563" s="2"/>
      <c r="E563" s="2"/>
      <c r="F563" s="2"/>
      <c r="G563" s="26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4.25" customHeight="1" x14ac:dyDescent="0.25">
      <c r="A564" s="2"/>
      <c r="B564" s="2"/>
      <c r="C564" s="2"/>
      <c r="D564" s="2"/>
      <c r="E564" s="2"/>
      <c r="F564" s="2"/>
      <c r="G564" s="26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4.25" customHeight="1" x14ac:dyDescent="0.25">
      <c r="A565" s="2"/>
      <c r="B565" s="2"/>
      <c r="C565" s="2"/>
      <c r="D565" s="2"/>
      <c r="E565" s="2"/>
      <c r="F565" s="2"/>
      <c r="G565" s="26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ht="14.25" customHeight="1" x14ac:dyDescent="0.25">
      <c r="A566" s="2"/>
      <c r="B566" s="2"/>
      <c r="C566" s="2"/>
      <c r="D566" s="2"/>
      <c r="E566" s="2"/>
      <c r="F566" s="2"/>
      <c r="G566" s="26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  <row r="567" spans="1:70" ht="14.25" customHeight="1" x14ac:dyDescent="0.25">
      <c r="A567" s="2"/>
      <c r="B567" s="2"/>
      <c r="C567" s="2"/>
      <c r="D567" s="2"/>
      <c r="E567" s="2"/>
      <c r="F567" s="2"/>
      <c r="G567" s="26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</row>
    <row r="568" spans="1:70" ht="14.25" customHeight="1" x14ac:dyDescent="0.25">
      <c r="A568" s="2"/>
      <c r="B568" s="2"/>
      <c r="C568" s="2"/>
      <c r="D568" s="2"/>
      <c r="E568" s="2"/>
      <c r="F568" s="2"/>
      <c r="G568" s="26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</row>
    <row r="569" spans="1:70" ht="14.25" customHeight="1" x14ac:dyDescent="0.25">
      <c r="A569" s="2"/>
      <c r="B569" s="2"/>
      <c r="C569" s="2"/>
      <c r="D569" s="2"/>
      <c r="E569" s="2"/>
      <c r="F569" s="2"/>
      <c r="G569" s="26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</row>
    <row r="570" spans="1:70" ht="14.25" customHeight="1" x14ac:dyDescent="0.25">
      <c r="A570" s="2"/>
      <c r="B570" s="2"/>
      <c r="C570" s="2"/>
      <c r="D570" s="2"/>
      <c r="E570" s="2"/>
      <c r="F570" s="2"/>
      <c r="G570" s="26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</row>
    <row r="571" spans="1:70" ht="14.25" customHeight="1" x14ac:dyDescent="0.25">
      <c r="A571" s="2"/>
      <c r="B571" s="2"/>
      <c r="C571" s="2"/>
      <c r="D571" s="2"/>
      <c r="E571" s="2"/>
      <c r="F571" s="2"/>
      <c r="G571" s="26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</row>
    <row r="572" spans="1:70" ht="14.25" customHeight="1" x14ac:dyDescent="0.25">
      <c r="A572" s="2"/>
      <c r="B572" s="2"/>
      <c r="C572" s="2"/>
      <c r="D572" s="2"/>
      <c r="E572" s="2"/>
      <c r="F572" s="2"/>
      <c r="G572" s="26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</row>
    <row r="573" spans="1:70" ht="14.25" customHeight="1" x14ac:dyDescent="0.25">
      <c r="A573" s="2"/>
      <c r="B573" s="2"/>
      <c r="C573" s="2"/>
      <c r="D573" s="2"/>
      <c r="E573" s="2"/>
      <c r="F573" s="2"/>
      <c r="G573" s="26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</row>
    <row r="574" spans="1:70" ht="14.25" customHeight="1" x14ac:dyDescent="0.25">
      <c r="A574" s="2"/>
      <c r="B574" s="2"/>
      <c r="C574" s="2"/>
      <c r="D574" s="2"/>
      <c r="E574" s="2"/>
      <c r="F574" s="2"/>
      <c r="G574" s="26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</row>
    <row r="575" spans="1:70" ht="14.25" customHeight="1" x14ac:dyDescent="0.25">
      <c r="A575" s="2"/>
      <c r="B575" s="2"/>
      <c r="C575" s="2"/>
      <c r="D575" s="2"/>
      <c r="E575" s="2"/>
      <c r="F575" s="2"/>
      <c r="G575" s="26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</row>
    <row r="576" spans="1:70" ht="14.25" customHeight="1" x14ac:dyDescent="0.25">
      <c r="A576" s="2"/>
      <c r="B576" s="2"/>
      <c r="C576" s="2"/>
      <c r="D576" s="2"/>
      <c r="E576" s="2"/>
      <c r="F576" s="2"/>
      <c r="G576" s="26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</row>
    <row r="577" spans="1:70" ht="14.25" customHeight="1" x14ac:dyDescent="0.25">
      <c r="A577" s="2"/>
      <c r="B577" s="2"/>
      <c r="C577" s="2"/>
      <c r="D577" s="2"/>
      <c r="E577" s="2"/>
      <c r="F577" s="2"/>
      <c r="G577" s="26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</row>
    <row r="578" spans="1:70" ht="14.25" customHeight="1" x14ac:dyDescent="0.25">
      <c r="A578" s="2"/>
      <c r="B578" s="2"/>
      <c r="C578" s="2"/>
      <c r="D578" s="2"/>
      <c r="E578" s="2"/>
      <c r="F578" s="2"/>
      <c r="G578" s="26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</row>
    <row r="579" spans="1:70" ht="14.25" customHeight="1" x14ac:dyDescent="0.25">
      <c r="A579" s="2"/>
      <c r="B579" s="2"/>
      <c r="C579" s="2"/>
      <c r="D579" s="2"/>
      <c r="E579" s="2"/>
      <c r="F579" s="2"/>
      <c r="G579" s="26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</row>
    <row r="580" spans="1:70" ht="14.25" customHeight="1" x14ac:dyDescent="0.25">
      <c r="A580" s="2"/>
      <c r="B580" s="2"/>
      <c r="C580" s="2"/>
      <c r="D580" s="2"/>
      <c r="E580" s="2"/>
      <c r="F580" s="2"/>
      <c r="G580" s="26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</row>
    <row r="581" spans="1:70" ht="14.25" customHeight="1" x14ac:dyDescent="0.25">
      <c r="A581" s="2"/>
      <c r="B581" s="2"/>
      <c r="C581" s="2"/>
      <c r="D581" s="2"/>
      <c r="E581" s="2"/>
      <c r="F581" s="2"/>
      <c r="G581" s="26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</row>
    <row r="582" spans="1:70" ht="14.25" customHeight="1" x14ac:dyDescent="0.25">
      <c r="A582" s="2"/>
      <c r="B582" s="2"/>
      <c r="C582" s="2"/>
      <c r="D582" s="2"/>
      <c r="E582" s="2"/>
      <c r="F582" s="2"/>
      <c r="G582" s="26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</row>
    <row r="583" spans="1:70" ht="14.25" customHeight="1" x14ac:dyDescent="0.25">
      <c r="A583" s="2"/>
      <c r="B583" s="2"/>
      <c r="C583" s="2"/>
      <c r="D583" s="2"/>
      <c r="E583" s="2"/>
      <c r="F583" s="2"/>
      <c r="G583" s="26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</row>
    <row r="584" spans="1:70" ht="14.25" customHeight="1" x14ac:dyDescent="0.25">
      <c r="A584" s="2"/>
      <c r="B584" s="2"/>
      <c r="C584" s="2"/>
      <c r="D584" s="2"/>
      <c r="E584" s="2"/>
      <c r="F584" s="2"/>
      <c r="G584" s="26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</row>
    <row r="585" spans="1:70" ht="14.25" customHeight="1" x14ac:dyDescent="0.25">
      <c r="A585" s="2"/>
      <c r="B585" s="2"/>
      <c r="C585" s="2"/>
      <c r="D585" s="2"/>
      <c r="E585" s="2"/>
      <c r="F585" s="2"/>
      <c r="G585" s="26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</row>
    <row r="586" spans="1:70" ht="14.25" customHeight="1" x14ac:dyDescent="0.25">
      <c r="A586" s="2"/>
      <c r="B586" s="2"/>
      <c r="C586" s="2"/>
      <c r="D586" s="2"/>
      <c r="E586" s="2"/>
      <c r="F586" s="2"/>
      <c r="G586" s="26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</row>
    <row r="587" spans="1:70" ht="14.25" customHeight="1" x14ac:dyDescent="0.25">
      <c r="A587" s="2"/>
      <c r="B587" s="2"/>
      <c r="C587" s="2"/>
      <c r="D587" s="2"/>
      <c r="E587" s="2"/>
      <c r="F587" s="2"/>
      <c r="G587" s="26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</row>
    <row r="588" spans="1:70" ht="14.25" customHeight="1" x14ac:dyDescent="0.25">
      <c r="A588" s="2"/>
      <c r="B588" s="2"/>
      <c r="C588" s="2"/>
      <c r="D588" s="2"/>
      <c r="E588" s="2"/>
      <c r="F588" s="2"/>
      <c r="G588" s="26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</row>
    <row r="589" spans="1:70" ht="14.25" customHeight="1" x14ac:dyDescent="0.25">
      <c r="A589" s="2"/>
      <c r="B589" s="2"/>
      <c r="C589" s="2"/>
      <c r="D589" s="2"/>
      <c r="E589" s="2"/>
      <c r="F589" s="2"/>
      <c r="G589" s="26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</row>
    <row r="590" spans="1:70" ht="14.25" customHeight="1" x14ac:dyDescent="0.25">
      <c r="A590" s="2"/>
      <c r="B590" s="2"/>
      <c r="C590" s="2"/>
      <c r="D590" s="2"/>
      <c r="E590" s="2"/>
      <c r="F590" s="2"/>
      <c r="G590" s="26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</row>
    <row r="591" spans="1:70" ht="14.25" customHeight="1" x14ac:dyDescent="0.25">
      <c r="A591" s="2"/>
      <c r="B591" s="2"/>
      <c r="C591" s="2"/>
      <c r="D591" s="2"/>
      <c r="E591" s="2"/>
      <c r="F591" s="2"/>
      <c r="G591" s="26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</row>
    <row r="592" spans="1:70" ht="14.25" customHeight="1" x14ac:dyDescent="0.25">
      <c r="A592" s="2"/>
      <c r="B592" s="2"/>
      <c r="C592" s="2"/>
      <c r="D592" s="2"/>
      <c r="E592" s="2"/>
      <c r="F592" s="2"/>
      <c r="G592" s="26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</row>
    <row r="593" spans="1:70" ht="14.25" customHeight="1" x14ac:dyDescent="0.25">
      <c r="A593" s="2"/>
      <c r="B593" s="2"/>
      <c r="C593" s="2"/>
      <c r="D593" s="2"/>
      <c r="E593" s="2"/>
      <c r="F593" s="2"/>
      <c r="G593" s="26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</row>
    <row r="594" spans="1:70" ht="14.25" customHeight="1" x14ac:dyDescent="0.25">
      <c r="A594" s="2"/>
      <c r="B594" s="2"/>
      <c r="C594" s="2"/>
      <c r="D594" s="2"/>
      <c r="E594" s="2"/>
      <c r="F594" s="2"/>
      <c r="G594" s="26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</row>
    <row r="595" spans="1:70" ht="14.25" customHeight="1" x14ac:dyDescent="0.25">
      <c r="A595" s="2"/>
      <c r="B595" s="2"/>
      <c r="C595" s="2"/>
      <c r="D595" s="2"/>
      <c r="E595" s="2"/>
      <c r="F595" s="2"/>
      <c r="G595" s="26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</row>
    <row r="596" spans="1:70" ht="14.25" customHeight="1" x14ac:dyDescent="0.25">
      <c r="A596" s="2"/>
      <c r="B596" s="2"/>
      <c r="C596" s="2"/>
      <c r="D596" s="2"/>
      <c r="E596" s="2"/>
      <c r="F596" s="2"/>
      <c r="G596" s="26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</row>
    <row r="597" spans="1:70" ht="14.25" customHeight="1" x14ac:dyDescent="0.25">
      <c r="A597" s="2"/>
      <c r="B597" s="2"/>
      <c r="C597" s="2"/>
      <c r="D597" s="2"/>
      <c r="E597" s="2"/>
      <c r="F597" s="2"/>
      <c r="G597" s="26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</row>
    <row r="598" spans="1:70" ht="14.25" customHeight="1" x14ac:dyDescent="0.25">
      <c r="A598" s="2"/>
      <c r="B598" s="2"/>
      <c r="C598" s="2"/>
      <c r="D598" s="2"/>
      <c r="E598" s="2"/>
      <c r="F598" s="2"/>
      <c r="G598" s="26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</row>
    <row r="599" spans="1:70" ht="14.25" customHeight="1" x14ac:dyDescent="0.25">
      <c r="A599" s="2"/>
      <c r="B599" s="2"/>
      <c r="C599" s="2"/>
      <c r="D599" s="2"/>
      <c r="E599" s="2"/>
      <c r="F599" s="2"/>
      <c r="G599" s="26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</row>
    <row r="600" spans="1:70" ht="14.25" customHeight="1" x14ac:dyDescent="0.25">
      <c r="A600" s="2"/>
      <c r="B600" s="2"/>
      <c r="C600" s="2"/>
      <c r="D600" s="2"/>
      <c r="E600" s="2"/>
      <c r="F600" s="2"/>
      <c r="G600" s="26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</row>
    <row r="601" spans="1:70" ht="14.25" customHeight="1" x14ac:dyDescent="0.25">
      <c r="A601" s="2"/>
      <c r="B601" s="2"/>
      <c r="C601" s="2"/>
      <c r="D601" s="2"/>
      <c r="E601" s="2"/>
      <c r="F601" s="2"/>
      <c r="G601" s="26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</row>
    <row r="602" spans="1:70" ht="14.25" customHeight="1" x14ac:dyDescent="0.25">
      <c r="A602" s="2"/>
      <c r="B602" s="2"/>
      <c r="C602" s="2"/>
      <c r="D602" s="2"/>
      <c r="E602" s="2"/>
      <c r="F602" s="2"/>
      <c r="G602" s="26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</row>
    <row r="603" spans="1:70" ht="14.25" customHeight="1" x14ac:dyDescent="0.25">
      <c r="A603" s="2"/>
      <c r="B603" s="2"/>
      <c r="C603" s="2"/>
      <c r="D603" s="2"/>
      <c r="E603" s="2"/>
      <c r="F603" s="2"/>
      <c r="G603" s="26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</row>
    <row r="604" spans="1:70" ht="14.25" customHeight="1" x14ac:dyDescent="0.25">
      <c r="A604" s="2"/>
      <c r="B604" s="2"/>
      <c r="C604" s="2"/>
      <c r="D604" s="2"/>
      <c r="E604" s="2"/>
      <c r="F604" s="2"/>
      <c r="G604" s="26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</row>
    <row r="605" spans="1:70" ht="14.25" customHeight="1" x14ac:dyDescent="0.25">
      <c r="A605" s="2"/>
      <c r="B605" s="2"/>
      <c r="C605" s="2"/>
      <c r="D605" s="2"/>
      <c r="E605" s="2"/>
      <c r="F605" s="2"/>
      <c r="G605" s="26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</row>
    <row r="606" spans="1:70" ht="14.25" customHeight="1" x14ac:dyDescent="0.25">
      <c r="A606" s="2"/>
      <c r="B606" s="2"/>
      <c r="C606" s="2"/>
      <c r="D606" s="2"/>
      <c r="E606" s="2"/>
      <c r="F606" s="2"/>
      <c r="G606" s="26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</row>
    <row r="607" spans="1:70" ht="14.25" customHeight="1" x14ac:dyDescent="0.25">
      <c r="A607" s="2"/>
      <c r="B607" s="2"/>
      <c r="C607" s="2"/>
      <c r="D607" s="2"/>
      <c r="E607" s="2"/>
      <c r="F607" s="2"/>
      <c r="G607" s="26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</row>
    <row r="608" spans="1:70" ht="14.25" customHeight="1" x14ac:dyDescent="0.25">
      <c r="A608" s="2"/>
      <c r="B608" s="2"/>
      <c r="C608" s="2"/>
      <c r="D608" s="2"/>
      <c r="E608" s="2"/>
      <c r="F608" s="2"/>
      <c r="G608" s="26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</row>
    <row r="609" spans="1:70" ht="14.25" customHeight="1" x14ac:dyDescent="0.25">
      <c r="A609" s="2"/>
      <c r="B609" s="2"/>
      <c r="C609" s="2"/>
      <c r="D609" s="2"/>
      <c r="E609" s="2"/>
      <c r="F609" s="2"/>
      <c r="G609" s="26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</row>
    <row r="610" spans="1:70" ht="14.25" customHeight="1" x14ac:dyDescent="0.25">
      <c r="A610" s="2"/>
      <c r="B610" s="2"/>
      <c r="C610" s="2"/>
      <c r="D610" s="2"/>
      <c r="E610" s="2"/>
      <c r="F610" s="2"/>
      <c r="G610" s="26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</row>
    <row r="611" spans="1:70" ht="14.25" customHeight="1" x14ac:dyDescent="0.25">
      <c r="A611" s="2"/>
      <c r="B611" s="2"/>
      <c r="C611" s="2"/>
      <c r="D611" s="2"/>
      <c r="E611" s="2"/>
      <c r="F611" s="2"/>
      <c r="G611" s="26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</row>
    <row r="612" spans="1:70" ht="14.25" customHeight="1" x14ac:dyDescent="0.25">
      <c r="A612" s="2"/>
      <c r="B612" s="2"/>
      <c r="C612" s="2"/>
      <c r="D612" s="2"/>
      <c r="E612" s="2"/>
      <c r="F612" s="2"/>
      <c r="G612" s="26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</row>
    <row r="613" spans="1:70" ht="14.25" customHeight="1" x14ac:dyDescent="0.25">
      <c r="A613" s="2"/>
      <c r="B613" s="2"/>
      <c r="C613" s="2"/>
      <c r="D613" s="2"/>
      <c r="E613" s="2"/>
      <c r="F613" s="2"/>
      <c r="G613" s="26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</row>
    <row r="614" spans="1:70" ht="14.25" customHeight="1" x14ac:dyDescent="0.25">
      <c r="A614" s="2"/>
      <c r="B614" s="2"/>
      <c r="C614" s="2"/>
      <c r="D614" s="2"/>
      <c r="E614" s="2"/>
      <c r="F614" s="2"/>
      <c r="G614" s="26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</row>
    <row r="615" spans="1:70" ht="14.25" customHeight="1" x14ac:dyDescent="0.25">
      <c r="A615" s="2"/>
      <c r="B615" s="2"/>
      <c r="C615" s="2"/>
      <c r="D615" s="2"/>
      <c r="E615" s="2"/>
      <c r="F615" s="2"/>
      <c r="G615" s="26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</row>
    <row r="616" spans="1:70" ht="14.25" customHeight="1" x14ac:dyDescent="0.25">
      <c r="A616" s="2"/>
      <c r="B616" s="2"/>
      <c r="C616" s="2"/>
      <c r="D616" s="2"/>
      <c r="E616" s="2"/>
      <c r="F616" s="2"/>
      <c r="G616" s="26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</row>
    <row r="617" spans="1:70" ht="14.25" customHeight="1" x14ac:dyDescent="0.25">
      <c r="A617" s="2"/>
      <c r="B617" s="2"/>
      <c r="C617" s="2"/>
      <c r="D617" s="2"/>
      <c r="E617" s="2"/>
      <c r="F617" s="2"/>
      <c r="G617" s="26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</row>
    <row r="618" spans="1:70" ht="14.25" customHeight="1" x14ac:dyDescent="0.25">
      <c r="A618" s="2"/>
      <c r="B618" s="2"/>
      <c r="C618" s="2"/>
      <c r="D618" s="2"/>
      <c r="E618" s="2"/>
      <c r="F618" s="2"/>
      <c r="G618" s="26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</row>
    <row r="619" spans="1:70" ht="14.25" customHeight="1" x14ac:dyDescent="0.25">
      <c r="A619" s="2"/>
      <c r="B619" s="2"/>
      <c r="C619" s="2"/>
      <c r="D619" s="2"/>
      <c r="E619" s="2"/>
      <c r="F619" s="2"/>
      <c r="G619" s="26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</row>
    <row r="620" spans="1:70" ht="14.25" customHeight="1" x14ac:dyDescent="0.25">
      <c r="A620" s="2"/>
      <c r="B620" s="2"/>
      <c r="C620" s="2"/>
      <c r="D620" s="2"/>
      <c r="E620" s="2"/>
      <c r="F620" s="2"/>
      <c r="G620" s="26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</row>
    <row r="621" spans="1:70" ht="14.25" customHeight="1" x14ac:dyDescent="0.25">
      <c r="A621" s="2"/>
      <c r="B621" s="2"/>
      <c r="C621" s="2"/>
      <c r="D621" s="2"/>
      <c r="E621" s="2"/>
      <c r="F621" s="2"/>
      <c r="G621" s="26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</row>
    <row r="622" spans="1:70" ht="14.25" customHeight="1" x14ac:dyDescent="0.25">
      <c r="A622" s="2"/>
      <c r="B622" s="2"/>
      <c r="C622" s="2"/>
      <c r="D622" s="2"/>
      <c r="E622" s="2"/>
      <c r="F622" s="2"/>
      <c r="G622" s="26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</row>
    <row r="623" spans="1:70" ht="14.25" customHeight="1" x14ac:dyDescent="0.25">
      <c r="A623" s="2"/>
      <c r="B623" s="2"/>
      <c r="C623" s="2"/>
      <c r="D623" s="2"/>
      <c r="E623" s="2"/>
      <c r="F623" s="2"/>
      <c r="G623" s="26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</row>
    <row r="624" spans="1:70" ht="14.25" customHeight="1" x14ac:dyDescent="0.25">
      <c r="A624" s="2"/>
      <c r="B624" s="2"/>
      <c r="C624" s="2"/>
      <c r="D624" s="2"/>
      <c r="E624" s="2"/>
      <c r="F624" s="2"/>
      <c r="G624" s="26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</row>
    <row r="625" spans="1:70" ht="14.25" customHeight="1" x14ac:dyDescent="0.25">
      <c r="A625" s="2"/>
      <c r="B625" s="2"/>
      <c r="C625" s="2"/>
      <c r="D625" s="2"/>
      <c r="E625" s="2"/>
      <c r="F625" s="2"/>
      <c r="G625" s="26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</row>
    <row r="626" spans="1:70" ht="14.25" customHeight="1" x14ac:dyDescent="0.25">
      <c r="A626" s="2"/>
      <c r="B626" s="2"/>
      <c r="C626" s="2"/>
      <c r="D626" s="2"/>
      <c r="E626" s="2"/>
      <c r="F626" s="2"/>
      <c r="G626" s="26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</row>
    <row r="627" spans="1:70" ht="14.25" customHeight="1" x14ac:dyDescent="0.25">
      <c r="A627" s="2"/>
      <c r="B627" s="2"/>
      <c r="C627" s="2"/>
      <c r="D627" s="2"/>
      <c r="E627" s="2"/>
      <c r="F627" s="2"/>
      <c r="G627" s="26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</row>
    <row r="628" spans="1:70" ht="14.25" customHeight="1" x14ac:dyDescent="0.25">
      <c r="A628" s="2"/>
      <c r="B628" s="2"/>
      <c r="C628" s="2"/>
      <c r="D628" s="2"/>
      <c r="E628" s="2"/>
      <c r="F628" s="2"/>
      <c r="G628" s="26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</row>
    <row r="629" spans="1:70" ht="14.25" customHeight="1" x14ac:dyDescent="0.25">
      <c r="A629" s="2"/>
      <c r="B629" s="2"/>
      <c r="C629" s="2"/>
      <c r="D629" s="2"/>
      <c r="E629" s="2"/>
      <c r="F629" s="2"/>
      <c r="G629" s="26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</row>
    <row r="630" spans="1:70" ht="14.25" customHeight="1" x14ac:dyDescent="0.25">
      <c r="A630" s="2"/>
      <c r="B630" s="2"/>
      <c r="C630" s="2"/>
      <c r="D630" s="2"/>
      <c r="E630" s="2"/>
      <c r="F630" s="2"/>
      <c r="G630" s="26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</row>
    <row r="631" spans="1:70" ht="14.25" customHeight="1" x14ac:dyDescent="0.25">
      <c r="A631" s="2"/>
      <c r="B631" s="2"/>
      <c r="C631" s="2"/>
      <c r="D631" s="2"/>
      <c r="E631" s="2"/>
      <c r="F631" s="2"/>
      <c r="G631" s="26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</row>
    <row r="632" spans="1:70" ht="14.25" customHeight="1" x14ac:dyDescent="0.25">
      <c r="A632" s="2"/>
      <c r="B632" s="2"/>
      <c r="C632" s="2"/>
      <c r="D632" s="2"/>
      <c r="E632" s="2"/>
      <c r="F632" s="2"/>
      <c r="G632" s="26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</row>
    <row r="633" spans="1:70" ht="14.25" customHeight="1" x14ac:dyDescent="0.25">
      <c r="A633" s="2"/>
      <c r="B633" s="2"/>
      <c r="C633" s="2"/>
      <c r="D633" s="2"/>
      <c r="E633" s="2"/>
      <c r="F633" s="2"/>
      <c r="G633" s="26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</row>
    <row r="634" spans="1:70" ht="14.25" customHeight="1" x14ac:dyDescent="0.25">
      <c r="A634" s="2"/>
      <c r="B634" s="2"/>
      <c r="C634" s="2"/>
      <c r="D634" s="2"/>
      <c r="E634" s="2"/>
      <c r="F634" s="2"/>
      <c r="G634" s="26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</row>
    <row r="635" spans="1:70" ht="14.25" customHeight="1" x14ac:dyDescent="0.25">
      <c r="A635" s="2"/>
      <c r="B635" s="2"/>
      <c r="C635" s="2"/>
      <c r="D635" s="2"/>
      <c r="E635" s="2"/>
      <c r="F635" s="2"/>
      <c r="G635" s="26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</row>
    <row r="636" spans="1:70" ht="14.25" customHeight="1" x14ac:dyDescent="0.25">
      <c r="A636" s="2"/>
      <c r="B636" s="2"/>
      <c r="C636" s="2"/>
      <c r="D636" s="2"/>
      <c r="E636" s="2"/>
      <c r="F636" s="2"/>
      <c r="G636" s="26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</row>
    <row r="637" spans="1:70" ht="14.25" customHeight="1" x14ac:dyDescent="0.25">
      <c r="A637" s="2"/>
      <c r="B637" s="2"/>
      <c r="C637" s="2"/>
      <c r="D637" s="2"/>
      <c r="E637" s="2"/>
      <c r="F637" s="2"/>
      <c r="G637" s="26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</row>
    <row r="638" spans="1:70" ht="14.25" customHeight="1" x14ac:dyDescent="0.25">
      <c r="A638" s="2"/>
      <c r="B638" s="2"/>
      <c r="C638" s="2"/>
      <c r="D638" s="2"/>
      <c r="E638" s="2"/>
      <c r="F638" s="2"/>
      <c r="G638" s="26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</row>
    <row r="639" spans="1:70" ht="14.25" customHeight="1" x14ac:dyDescent="0.25">
      <c r="A639" s="2"/>
      <c r="B639" s="2"/>
      <c r="C639" s="2"/>
      <c r="D639" s="2"/>
      <c r="E639" s="2"/>
      <c r="F639" s="2"/>
      <c r="G639" s="26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</row>
    <row r="640" spans="1:70" ht="14.25" customHeight="1" x14ac:dyDescent="0.25">
      <c r="A640" s="2"/>
      <c r="B640" s="2"/>
      <c r="C640" s="2"/>
      <c r="D640" s="2"/>
      <c r="E640" s="2"/>
      <c r="F640" s="2"/>
      <c r="G640" s="26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</row>
    <row r="641" spans="1:70" ht="14.25" customHeight="1" x14ac:dyDescent="0.25">
      <c r="A641" s="2"/>
      <c r="B641" s="2"/>
      <c r="C641" s="2"/>
      <c r="D641" s="2"/>
      <c r="E641" s="2"/>
      <c r="F641" s="2"/>
      <c r="G641" s="26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</row>
    <row r="642" spans="1:70" ht="14.25" customHeight="1" x14ac:dyDescent="0.25">
      <c r="A642" s="2"/>
      <c r="B642" s="2"/>
      <c r="C642" s="2"/>
      <c r="D642" s="2"/>
      <c r="E642" s="2"/>
      <c r="F642" s="2"/>
      <c r="G642" s="26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</row>
    <row r="643" spans="1:70" ht="14.25" customHeight="1" x14ac:dyDescent="0.25">
      <c r="A643" s="2"/>
      <c r="B643" s="2"/>
      <c r="C643" s="2"/>
      <c r="D643" s="2"/>
      <c r="E643" s="2"/>
      <c r="F643" s="2"/>
      <c r="G643" s="26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</row>
    <row r="644" spans="1:70" ht="14.25" customHeight="1" x14ac:dyDescent="0.25">
      <c r="A644" s="2"/>
      <c r="B644" s="2"/>
      <c r="C644" s="2"/>
      <c r="D644" s="2"/>
      <c r="E644" s="2"/>
      <c r="F644" s="2"/>
      <c r="G644" s="26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</row>
    <row r="645" spans="1:70" ht="14.25" customHeight="1" x14ac:dyDescent="0.25">
      <c r="A645" s="2"/>
      <c r="B645" s="2"/>
      <c r="C645" s="2"/>
      <c r="D645" s="2"/>
      <c r="E645" s="2"/>
      <c r="F645" s="2"/>
      <c r="G645" s="26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</row>
    <row r="646" spans="1:70" ht="14.25" customHeight="1" x14ac:dyDescent="0.25">
      <c r="A646" s="2"/>
      <c r="B646" s="2"/>
      <c r="C646" s="2"/>
      <c r="D646" s="2"/>
      <c r="E646" s="2"/>
      <c r="F646" s="2"/>
      <c r="G646" s="26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</row>
    <row r="647" spans="1:70" ht="14.25" customHeight="1" x14ac:dyDescent="0.25">
      <c r="A647" s="2"/>
      <c r="B647" s="2"/>
      <c r="C647" s="2"/>
      <c r="D647" s="2"/>
      <c r="E647" s="2"/>
      <c r="F647" s="2"/>
      <c r="G647" s="26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</row>
    <row r="648" spans="1:70" ht="14.25" customHeight="1" x14ac:dyDescent="0.25">
      <c r="A648" s="2"/>
      <c r="B648" s="2"/>
      <c r="C648" s="2"/>
      <c r="D648" s="2"/>
      <c r="E648" s="2"/>
      <c r="F648" s="2"/>
      <c r="G648" s="26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</row>
    <row r="649" spans="1:70" ht="14.25" customHeight="1" x14ac:dyDescent="0.25">
      <c r="A649" s="2"/>
      <c r="B649" s="2"/>
      <c r="C649" s="2"/>
      <c r="D649" s="2"/>
      <c r="E649" s="2"/>
      <c r="F649" s="2"/>
      <c r="G649" s="26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</row>
    <row r="650" spans="1:70" ht="14.25" customHeight="1" x14ac:dyDescent="0.25">
      <c r="A650" s="2"/>
      <c r="B650" s="2"/>
      <c r="C650" s="2"/>
      <c r="D650" s="2"/>
      <c r="E650" s="2"/>
      <c r="F650" s="2"/>
      <c r="G650" s="26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</row>
    <row r="651" spans="1:70" ht="14.25" customHeight="1" x14ac:dyDescent="0.25">
      <c r="A651" s="2"/>
      <c r="B651" s="2"/>
      <c r="C651" s="2"/>
      <c r="D651" s="2"/>
      <c r="E651" s="2"/>
      <c r="F651" s="2"/>
      <c r="G651" s="26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</row>
    <row r="652" spans="1:70" ht="14.25" customHeight="1" x14ac:dyDescent="0.25">
      <c r="A652" s="2"/>
      <c r="B652" s="2"/>
      <c r="C652" s="2"/>
      <c r="D652" s="2"/>
      <c r="E652" s="2"/>
      <c r="F652" s="2"/>
      <c r="G652" s="26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</row>
    <row r="653" spans="1:70" ht="14.25" customHeight="1" x14ac:dyDescent="0.25">
      <c r="A653" s="2"/>
      <c r="B653" s="2"/>
      <c r="C653" s="2"/>
      <c r="D653" s="2"/>
      <c r="E653" s="2"/>
      <c r="F653" s="2"/>
      <c r="G653" s="26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</row>
    <row r="654" spans="1:70" ht="14.25" customHeight="1" x14ac:dyDescent="0.25">
      <c r="A654" s="2"/>
      <c r="B654" s="2"/>
      <c r="C654" s="2"/>
      <c r="D654" s="2"/>
      <c r="E654" s="2"/>
      <c r="F654" s="2"/>
      <c r="G654" s="26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</row>
    <row r="655" spans="1:70" ht="14.25" customHeight="1" x14ac:dyDescent="0.25">
      <c r="A655" s="2"/>
      <c r="B655" s="2"/>
      <c r="C655" s="2"/>
      <c r="D655" s="2"/>
      <c r="E655" s="2"/>
      <c r="F655" s="2"/>
      <c r="G655" s="26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</row>
    <row r="656" spans="1:70" ht="14.25" customHeight="1" x14ac:dyDescent="0.25">
      <c r="A656" s="2"/>
      <c r="B656" s="2"/>
      <c r="C656" s="2"/>
      <c r="D656" s="2"/>
      <c r="E656" s="2"/>
      <c r="F656" s="2"/>
      <c r="G656" s="26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</row>
    <row r="657" spans="1:70" ht="14.25" customHeight="1" x14ac:dyDescent="0.25">
      <c r="A657" s="2"/>
      <c r="B657" s="2"/>
      <c r="C657" s="2"/>
      <c r="D657" s="2"/>
      <c r="E657" s="2"/>
      <c r="F657" s="2"/>
      <c r="G657" s="26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</row>
    <row r="658" spans="1:70" ht="14.25" customHeight="1" x14ac:dyDescent="0.25">
      <c r="A658" s="2"/>
      <c r="B658" s="2"/>
      <c r="C658" s="2"/>
      <c r="D658" s="2"/>
      <c r="E658" s="2"/>
      <c r="F658" s="2"/>
      <c r="G658" s="26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</row>
    <row r="659" spans="1:70" ht="14.25" customHeight="1" x14ac:dyDescent="0.25">
      <c r="A659" s="2"/>
      <c r="B659" s="2"/>
      <c r="C659" s="2"/>
      <c r="D659" s="2"/>
      <c r="E659" s="2"/>
      <c r="F659" s="2"/>
      <c r="G659" s="26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</row>
    <row r="660" spans="1:70" ht="14.25" customHeight="1" x14ac:dyDescent="0.25">
      <c r="A660" s="2"/>
      <c r="B660" s="2"/>
      <c r="C660" s="2"/>
      <c r="D660" s="2"/>
      <c r="E660" s="2"/>
      <c r="F660" s="2"/>
      <c r="G660" s="26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</row>
    <row r="661" spans="1:70" ht="14.25" customHeight="1" x14ac:dyDescent="0.25">
      <c r="A661" s="2"/>
      <c r="B661" s="2"/>
      <c r="C661" s="2"/>
      <c r="D661" s="2"/>
      <c r="E661" s="2"/>
      <c r="F661" s="2"/>
      <c r="G661" s="26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</row>
    <row r="662" spans="1:70" ht="14.25" customHeight="1" x14ac:dyDescent="0.25">
      <c r="A662" s="2"/>
      <c r="B662" s="2"/>
      <c r="C662" s="2"/>
      <c r="D662" s="2"/>
      <c r="E662" s="2"/>
      <c r="F662" s="2"/>
      <c r="G662" s="26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</row>
    <row r="663" spans="1:70" ht="14.25" customHeight="1" x14ac:dyDescent="0.25">
      <c r="A663" s="2"/>
      <c r="B663" s="2"/>
      <c r="C663" s="2"/>
      <c r="D663" s="2"/>
      <c r="E663" s="2"/>
      <c r="F663" s="2"/>
      <c r="G663" s="26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</row>
    <row r="664" spans="1:70" ht="14.25" customHeight="1" x14ac:dyDescent="0.25">
      <c r="A664" s="2"/>
      <c r="B664" s="2"/>
      <c r="C664" s="2"/>
      <c r="D664" s="2"/>
      <c r="E664" s="2"/>
      <c r="F664" s="2"/>
      <c r="G664" s="26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</row>
    <row r="665" spans="1:70" ht="14.25" customHeight="1" x14ac:dyDescent="0.25">
      <c r="A665" s="2"/>
      <c r="B665" s="2"/>
      <c r="C665" s="2"/>
      <c r="D665" s="2"/>
      <c r="E665" s="2"/>
      <c r="F665" s="2"/>
      <c r="G665" s="26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</row>
    <row r="666" spans="1:70" ht="14.25" customHeight="1" x14ac:dyDescent="0.25">
      <c r="A666" s="2"/>
      <c r="B666" s="2"/>
      <c r="C666" s="2"/>
      <c r="D666" s="2"/>
      <c r="E666" s="2"/>
      <c r="F666" s="2"/>
      <c r="G666" s="26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</row>
    <row r="667" spans="1:70" ht="14.25" customHeight="1" x14ac:dyDescent="0.25">
      <c r="A667" s="2"/>
      <c r="B667" s="2"/>
      <c r="C667" s="2"/>
      <c r="D667" s="2"/>
      <c r="E667" s="2"/>
      <c r="F667" s="2"/>
      <c r="G667" s="26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</row>
    <row r="668" spans="1:70" ht="14.25" customHeight="1" x14ac:dyDescent="0.25">
      <c r="A668" s="2"/>
      <c r="B668" s="2"/>
      <c r="C668" s="2"/>
      <c r="D668" s="2"/>
      <c r="E668" s="2"/>
      <c r="F668" s="2"/>
      <c r="G668" s="26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</row>
    <row r="669" spans="1:70" ht="14.25" customHeight="1" x14ac:dyDescent="0.25">
      <c r="A669" s="2"/>
      <c r="B669" s="2"/>
      <c r="C669" s="2"/>
      <c r="D669" s="2"/>
      <c r="E669" s="2"/>
      <c r="F669" s="2"/>
      <c r="G669" s="26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</row>
    <row r="670" spans="1:70" ht="14.25" customHeight="1" x14ac:dyDescent="0.25">
      <c r="A670" s="2"/>
      <c r="B670" s="2"/>
      <c r="C670" s="2"/>
      <c r="D670" s="2"/>
      <c r="E670" s="2"/>
      <c r="F670" s="2"/>
      <c r="G670" s="26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</row>
    <row r="671" spans="1:70" ht="14.25" customHeight="1" x14ac:dyDescent="0.25">
      <c r="A671" s="2"/>
      <c r="B671" s="2"/>
      <c r="C671" s="2"/>
      <c r="D671" s="2"/>
      <c r="E671" s="2"/>
      <c r="F671" s="2"/>
      <c r="G671" s="26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</row>
    <row r="672" spans="1:70" ht="14.25" customHeight="1" x14ac:dyDescent="0.25">
      <c r="A672" s="2"/>
      <c r="B672" s="2"/>
      <c r="C672" s="2"/>
      <c r="D672" s="2"/>
      <c r="E672" s="2"/>
      <c r="F672" s="2"/>
      <c r="G672" s="26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</row>
    <row r="673" spans="1:70" ht="14.25" customHeight="1" x14ac:dyDescent="0.25">
      <c r="A673" s="2"/>
      <c r="B673" s="2"/>
      <c r="C673" s="2"/>
      <c r="D673" s="2"/>
      <c r="E673" s="2"/>
      <c r="F673" s="2"/>
      <c r="G673" s="26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</row>
    <row r="674" spans="1:70" ht="14.25" customHeight="1" x14ac:dyDescent="0.25">
      <c r="A674" s="2"/>
      <c r="B674" s="2"/>
      <c r="C674" s="2"/>
      <c r="D674" s="2"/>
      <c r="E674" s="2"/>
      <c r="F674" s="2"/>
      <c r="G674" s="26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</row>
    <row r="675" spans="1:70" ht="14.25" customHeight="1" x14ac:dyDescent="0.25">
      <c r="A675" s="2"/>
      <c r="B675" s="2"/>
      <c r="C675" s="2"/>
      <c r="D675" s="2"/>
      <c r="E675" s="2"/>
      <c r="F675" s="2"/>
      <c r="G675" s="26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</row>
    <row r="676" spans="1:70" ht="14.25" customHeight="1" x14ac:dyDescent="0.25">
      <c r="A676" s="2"/>
      <c r="B676" s="2"/>
      <c r="C676" s="2"/>
      <c r="D676" s="2"/>
      <c r="E676" s="2"/>
      <c r="F676" s="2"/>
      <c r="G676" s="26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</row>
    <row r="677" spans="1:70" ht="14.25" customHeight="1" x14ac:dyDescent="0.25">
      <c r="A677" s="2"/>
      <c r="B677" s="2"/>
      <c r="C677" s="2"/>
      <c r="D677" s="2"/>
      <c r="E677" s="2"/>
      <c r="F677" s="2"/>
      <c r="G677" s="26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</row>
    <row r="678" spans="1:70" ht="14.25" customHeight="1" x14ac:dyDescent="0.25">
      <c r="A678" s="2"/>
      <c r="B678" s="2"/>
      <c r="C678" s="2"/>
      <c r="D678" s="2"/>
      <c r="E678" s="2"/>
      <c r="F678" s="2"/>
      <c r="G678" s="26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</row>
    <row r="679" spans="1:70" ht="14.25" customHeight="1" x14ac:dyDescent="0.25">
      <c r="A679" s="2"/>
      <c r="B679" s="2"/>
      <c r="C679" s="2"/>
      <c r="D679" s="2"/>
      <c r="E679" s="2"/>
      <c r="F679" s="2"/>
      <c r="G679" s="26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</row>
    <row r="680" spans="1:70" ht="14.25" customHeight="1" x14ac:dyDescent="0.25">
      <c r="A680" s="2"/>
      <c r="B680" s="2"/>
      <c r="C680" s="2"/>
      <c r="D680" s="2"/>
      <c r="E680" s="2"/>
      <c r="F680" s="2"/>
      <c r="G680" s="26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</row>
    <row r="681" spans="1:70" ht="14.25" customHeight="1" x14ac:dyDescent="0.25">
      <c r="A681" s="2"/>
      <c r="B681" s="2"/>
      <c r="C681" s="2"/>
      <c r="D681" s="2"/>
      <c r="E681" s="2"/>
      <c r="F681" s="2"/>
      <c r="G681" s="26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</row>
    <row r="682" spans="1:70" ht="14.25" customHeight="1" x14ac:dyDescent="0.25">
      <c r="A682" s="2"/>
      <c r="B682" s="2"/>
      <c r="C682" s="2"/>
      <c r="D682" s="2"/>
      <c r="E682" s="2"/>
      <c r="F682" s="2"/>
      <c r="G682" s="26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</row>
    <row r="683" spans="1:70" ht="14.25" customHeight="1" x14ac:dyDescent="0.25">
      <c r="A683" s="2"/>
      <c r="B683" s="2"/>
      <c r="C683" s="2"/>
      <c r="D683" s="2"/>
      <c r="E683" s="2"/>
      <c r="F683" s="2"/>
      <c r="G683" s="26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</row>
    <row r="684" spans="1:70" ht="14.25" customHeight="1" x14ac:dyDescent="0.25">
      <c r="A684" s="2"/>
      <c r="B684" s="2"/>
      <c r="C684" s="2"/>
      <c r="D684" s="2"/>
      <c r="E684" s="2"/>
      <c r="F684" s="2"/>
      <c r="G684" s="26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</row>
    <row r="685" spans="1:70" ht="14.25" customHeight="1" x14ac:dyDescent="0.25">
      <c r="A685" s="2"/>
      <c r="B685" s="2"/>
      <c r="C685" s="2"/>
      <c r="D685" s="2"/>
      <c r="E685" s="2"/>
      <c r="F685" s="2"/>
      <c r="G685" s="26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</row>
    <row r="686" spans="1:70" ht="14.25" customHeight="1" x14ac:dyDescent="0.25">
      <c r="A686" s="2"/>
      <c r="B686" s="2"/>
      <c r="C686" s="2"/>
      <c r="D686" s="2"/>
      <c r="E686" s="2"/>
      <c r="F686" s="2"/>
      <c r="G686" s="26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</row>
    <row r="687" spans="1:70" ht="14.25" customHeight="1" x14ac:dyDescent="0.25">
      <c r="A687" s="2"/>
      <c r="B687" s="2"/>
      <c r="C687" s="2"/>
      <c r="D687" s="2"/>
      <c r="E687" s="2"/>
      <c r="F687" s="2"/>
      <c r="G687" s="26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</row>
    <row r="688" spans="1:70" ht="14.25" customHeight="1" x14ac:dyDescent="0.25">
      <c r="A688" s="2"/>
      <c r="B688" s="2"/>
      <c r="C688" s="2"/>
      <c r="D688" s="2"/>
      <c r="E688" s="2"/>
      <c r="F688" s="2"/>
      <c r="G688" s="26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</row>
    <row r="689" spans="1:70" ht="14.25" customHeight="1" x14ac:dyDescent="0.25">
      <c r="A689" s="2"/>
      <c r="B689" s="2"/>
      <c r="C689" s="2"/>
      <c r="D689" s="2"/>
      <c r="E689" s="2"/>
      <c r="F689" s="2"/>
      <c r="G689" s="26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</row>
    <row r="690" spans="1:70" ht="14.25" customHeight="1" x14ac:dyDescent="0.25">
      <c r="A690" s="2"/>
      <c r="B690" s="2"/>
      <c r="C690" s="2"/>
      <c r="D690" s="2"/>
      <c r="E690" s="2"/>
      <c r="F690" s="2"/>
      <c r="G690" s="26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</row>
    <row r="691" spans="1:70" ht="14.25" customHeight="1" x14ac:dyDescent="0.25">
      <c r="A691" s="2"/>
      <c r="B691" s="2"/>
      <c r="C691" s="2"/>
      <c r="D691" s="2"/>
      <c r="E691" s="2"/>
      <c r="F691" s="2"/>
      <c r="G691" s="26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</row>
    <row r="692" spans="1:70" ht="14.25" customHeight="1" x14ac:dyDescent="0.25">
      <c r="A692" s="2"/>
      <c r="B692" s="2"/>
      <c r="C692" s="2"/>
      <c r="D692" s="2"/>
      <c r="E692" s="2"/>
      <c r="F692" s="2"/>
      <c r="G692" s="26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</row>
    <row r="693" spans="1:70" ht="14.25" customHeight="1" x14ac:dyDescent="0.25">
      <c r="A693" s="2"/>
      <c r="B693" s="2"/>
      <c r="C693" s="2"/>
      <c r="D693" s="2"/>
      <c r="E693" s="2"/>
      <c r="F693" s="2"/>
      <c r="G693" s="26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</row>
    <row r="694" spans="1:70" ht="14.25" customHeight="1" x14ac:dyDescent="0.25">
      <c r="A694" s="2"/>
      <c r="B694" s="2"/>
      <c r="C694" s="2"/>
      <c r="D694" s="2"/>
      <c r="E694" s="2"/>
      <c r="F694" s="2"/>
      <c r="G694" s="26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</row>
    <row r="695" spans="1:70" ht="14.25" customHeight="1" x14ac:dyDescent="0.25">
      <c r="A695" s="2"/>
      <c r="B695" s="2"/>
      <c r="C695" s="2"/>
      <c r="D695" s="2"/>
      <c r="E695" s="2"/>
      <c r="F695" s="2"/>
      <c r="G695" s="26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</row>
    <row r="696" spans="1:70" ht="14.25" customHeight="1" x14ac:dyDescent="0.25">
      <c r="A696" s="2"/>
      <c r="B696" s="2"/>
      <c r="C696" s="2"/>
      <c r="D696" s="2"/>
      <c r="E696" s="2"/>
      <c r="F696" s="2"/>
      <c r="G696" s="26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</row>
    <row r="697" spans="1:70" ht="14.25" customHeight="1" x14ac:dyDescent="0.25">
      <c r="A697" s="2"/>
      <c r="B697" s="2"/>
      <c r="C697" s="2"/>
      <c r="D697" s="2"/>
      <c r="E697" s="2"/>
      <c r="F697" s="2"/>
      <c r="G697" s="26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</row>
    <row r="698" spans="1:70" ht="14.25" customHeight="1" x14ac:dyDescent="0.25">
      <c r="A698" s="2"/>
      <c r="B698" s="2"/>
      <c r="C698" s="2"/>
      <c r="D698" s="2"/>
      <c r="E698" s="2"/>
      <c r="F698" s="2"/>
      <c r="G698" s="26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</row>
    <row r="699" spans="1:70" ht="14.25" customHeight="1" x14ac:dyDescent="0.25">
      <c r="A699" s="2"/>
      <c r="B699" s="2"/>
      <c r="C699" s="2"/>
      <c r="D699" s="2"/>
      <c r="E699" s="2"/>
      <c r="F699" s="2"/>
      <c r="G699" s="26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</row>
    <row r="700" spans="1:70" ht="14.25" customHeight="1" x14ac:dyDescent="0.25">
      <c r="A700" s="2"/>
      <c r="B700" s="2"/>
      <c r="C700" s="2"/>
      <c r="D700" s="2"/>
      <c r="E700" s="2"/>
      <c r="F700" s="2"/>
      <c r="G700" s="26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</row>
    <row r="701" spans="1:70" ht="14.25" customHeight="1" x14ac:dyDescent="0.25">
      <c r="A701" s="2"/>
      <c r="B701" s="2"/>
      <c r="C701" s="2"/>
      <c r="D701" s="2"/>
      <c r="E701" s="2"/>
      <c r="F701" s="2"/>
      <c r="G701" s="26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</row>
    <row r="702" spans="1:70" ht="14.25" customHeight="1" x14ac:dyDescent="0.25">
      <c r="A702" s="2"/>
      <c r="B702" s="2"/>
      <c r="C702" s="2"/>
      <c r="D702" s="2"/>
      <c r="E702" s="2"/>
      <c r="F702" s="2"/>
      <c r="G702" s="26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</row>
    <row r="703" spans="1:70" ht="14.25" customHeight="1" x14ac:dyDescent="0.25">
      <c r="A703" s="2"/>
      <c r="B703" s="2"/>
      <c r="C703" s="2"/>
      <c r="D703" s="2"/>
      <c r="E703" s="2"/>
      <c r="F703" s="2"/>
      <c r="G703" s="26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</row>
    <row r="704" spans="1:70" ht="14.25" customHeight="1" x14ac:dyDescent="0.25">
      <c r="A704" s="2"/>
      <c r="B704" s="2"/>
      <c r="C704" s="2"/>
      <c r="D704" s="2"/>
      <c r="E704" s="2"/>
      <c r="F704" s="2"/>
      <c r="G704" s="26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</row>
    <row r="705" spans="1:70" ht="14.25" customHeight="1" x14ac:dyDescent="0.25">
      <c r="A705" s="2"/>
      <c r="B705" s="2"/>
      <c r="C705" s="2"/>
      <c r="D705" s="2"/>
      <c r="E705" s="2"/>
      <c r="F705" s="2"/>
      <c r="G705" s="26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</row>
    <row r="706" spans="1:70" ht="14.25" customHeight="1" x14ac:dyDescent="0.25">
      <c r="A706" s="2"/>
      <c r="B706" s="2"/>
      <c r="C706" s="2"/>
      <c r="D706" s="2"/>
      <c r="E706" s="2"/>
      <c r="F706" s="2"/>
      <c r="G706" s="26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</row>
    <row r="707" spans="1:70" ht="14.25" customHeight="1" x14ac:dyDescent="0.25">
      <c r="A707" s="2"/>
      <c r="B707" s="2"/>
      <c r="C707" s="2"/>
      <c r="D707" s="2"/>
      <c r="E707" s="2"/>
      <c r="F707" s="2"/>
      <c r="G707" s="26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</row>
    <row r="708" spans="1:70" ht="14.25" customHeight="1" x14ac:dyDescent="0.25">
      <c r="A708" s="2"/>
      <c r="B708" s="2"/>
      <c r="C708" s="2"/>
      <c r="D708" s="2"/>
      <c r="E708" s="2"/>
      <c r="F708" s="2"/>
      <c r="G708" s="26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</row>
    <row r="709" spans="1:70" ht="14.25" customHeight="1" x14ac:dyDescent="0.25">
      <c r="A709" s="2"/>
      <c r="B709" s="2"/>
      <c r="C709" s="2"/>
      <c r="D709" s="2"/>
      <c r="E709" s="2"/>
      <c r="F709" s="2"/>
      <c r="G709" s="26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</row>
    <row r="710" spans="1:70" ht="14.25" customHeight="1" x14ac:dyDescent="0.25">
      <c r="A710" s="2"/>
      <c r="B710" s="2"/>
      <c r="C710" s="2"/>
      <c r="D710" s="2"/>
      <c r="E710" s="2"/>
      <c r="F710" s="2"/>
      <c r="G710" s="26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</row>
    <row r="711" spans="1:70" ht="14.25" customHeight="1" x14ac:dyDescent="0.25">
      <c r="A711" s="2"/>
      <c r="B711" s="2"/>
      <c r="C711" s="2"/>
      <c r="D711" s="2"/>
      <c r="E711" s="2"/>
      <c r="F711" s="2"/>
      <c r="G711" s="26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</row>
    <row r="712" spans="1:70" ht="14.25" customHeight="1" x14ac:dyDescent="0.25">
      <c r="A712" s="2"/>
      <c r="B712" s="2"/>
      <c r="C712" s="2"/>
      <c r="D712" s="2"/>
      <c r="E712" s="2"/>
      <c r="F712" s="2"/>
      <c r="G712" s="26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</row>
    <row r="713" spans="1:70" ht="14.25" customHeight="1" x14ac:dyDescent="0.25">
      <c r="A713" s="2"/>
      <c r="B713" s="2"/>
      <c r="C713" s="2"/>
      <c r="D713" s="2"/>
      <c r="E713" s="2"/>
      <c r="F713" s="2"/>
      <c r="G713" s="26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</row>
    <row r="714" spans="1:70" ht="14.25" customHeight="1" x14ac:dyDescent="0.25">
      <c r="A714" s="2"/>
      <c r="B714" s="2"/>
      <c r="C714" s="2"/>
      <c r="D714" s="2"/>
      <c r="E714" s="2"/>
      <c r="F714" s="2"/>
      <c r="G714" s="26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</row>
    <row r="715" spans="1:70" ht="14.25" customHeight="1" x14ac:dyDescent="0.25">
      <c r="A715" s="2"/>
      <c r="B715" s="2"/>
      <c r="C715" s="2"/>
      <c r="D715" s="2"/>
      <c r="E715" s="2"/>
      <c r="F715" s="2"/>
      <c r="G715" s="26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</row>
    <row r="716" spans="1:70" ht="14.25" customHeight="1" x14ac:dyDescent="0.25">
      <c r="A716" s="2"/>
      <c r="B716" s="2"/>
      <c r="C716" s="2"/>
      <c r="D716" s="2"/>
      <c r="E716" s="2"/>
      <c r="F716" s="2"/>
      <c r="G716" s="26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</row>
    <row r="717" spans="1:70" ht="14.25" customHeight="1" x14ac:dyDescent="0.25">
      <c r="A717" s="2"/>
      <c r="B717" s="2"/>
      <c r="C717" s="2"/>
      <c r="D717" s="2"/>
      <c r="E717" s="2"/>
      <c r="F717" s="2"/>
      <c r="G717" s="26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</row>
    <row r="718" spans="1:70" ht="14.25" customHeight="1" x14ac:dyDescent="0.25">
      <c r="A718" s="2"/>
      <c r="B718" s="2"/>
      <c r="C718" s="2"/>
      <c r="D718" s="2"/>
      <c r="E718" s="2"/>
      <c r="F718" s="2"/>
      <c r="G718" s="26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</row>
    <row r="719" spans="1:70" ht="14.25" customHeight="1" x14ac:dyDescent="0.25">
      <c r="A719" s="2"/>
      <c r="B719" s="2"/>
      <c r="C719" s="2"/>
      <c r="D719" s="2"/>
      <c r="E719" s="2"/>
      <c r="F719" s="2"/>
      <c r="G719" s="26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</row>
    <row r="720" spans="1:70" ht="14.25" customHeight="1" x14ac:dyDescent="0.25">
      <c r="A720" s="2"/>
      <c r="B720" s="2"/>
      <c r="C720" s="2"/>
      <c r="D720" s="2"/>
      <c r="E720" s="2"/>
      <c r="F720" s="2"/>
      <c r="G720" s="26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</row>
    <row r="721" spans="1:70" ht="14.25" customHeight="1" x14ac:dyDescent="0.25">
      <c r="A721" s="2"/>
      <c r="B721" s="2"/>
      <c r="C721" s="2"/>
      <c r="D721" s="2"/>
      <c r="E721" s="2"/>
      <c r="F721" s="2"/>
      <c r="G721" s="26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</row>
    <row r="722" spans="1:70" ht="14.25" customHeight="1" x14ac:dyDescent="0.25">
      <c r="A722" s="2"/>
      <c r="B722" s="2"/>
      <c r="C722" s="2"/>
      <c r="D722" s="2"/>
      <c r="E722" s="2"/>
      <c r="F722" s="2"/>
      <c r="G722" s="26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</row>
    <row r="723" spans="1:70" ht="14.25" customHeight="1" x14ac:dyDescent="0.25">
      <c r="A723" s="2"/>
      <c r="B723" s="2"/>
      <c r="C723" s="2"/>
      <c r="D723" s="2"/>
      <c r="E723" s="2"/>
      <c r="F723" s="2"/>
      <c r="G723" s="26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</row>
    <row r="724" spans="1:70" ht="14.25" customHeight="1" x14ac:dyDescent="0.25">
      <c r="A724" s="2"/>
      <c r="B724" s="2"/>
      <c r="C724" s="2"/>
      <c r="D724" s="2"/>
      <c r="E724" s="2"/>
      <c r="F724" s="2"/>
      <c r="G724" s="26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</row>
    <row r="725" spans="1:70" ht="14.25" customHeight="1" x14ac:dyDescent="0.25">
      <c r="A725" s="2"/>
      <c r="B725" s="2"/>
      <c r="C725" s="2"/>
      <c r="D725" s="2"/>
      <c r="E725" s="2"/>
      <c r="F725" s="2"/>
      <c r="G725" s="26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</row>
    <row r="726" spans="1:70" ht="14.25" customHeight="1" x14ac:dyDescent="0.25">
      <c r="A726" s="2"/>
      <c r="B726" s="2"/>
      <c r="C726" s="2"/>
      <c r="D726" s="2"/>
      <c r="E726" s="2"/>
      <c r="F726" s="2"/>
      <c r="G726" s="26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</row>
    <row r="727" spans="1:70" ht="14.25" customHeight="1" x14ac:dyDescent="0.25">
      <c r="A727" s="2"/>
      <c r="B727" s="2"/>
      <c r="C727" s="2"/>
      <c r="D727" s="2"/>
      <c r="E727" s="2"/>
      <c r="F727" s="2"/>
      <c r="G727" s="26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</row>
    <row r="728" spans="1:70" ht="14.25" customHeight="1" x14ac:dyDescent="0.25">
      <c r="A728" s="2"/>
      <c r="B728" s="2"/>
      <c r="C728" s="2"/>
      <c r="D728" s="2"/>
      <c r="E728" s="2"/>
      <c r="F728" s="2"/>
      <c r="G728" s="26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</row>
    <row r="729" spans="1:70" ht="14.25" customHeight="1" x14ac:dyDescent="0.25">
      <c r="A729" s="2"/>
      <c r="B729" s="2"/>
      <c r="C729" s="2"/>
      <c r="D729" s="2"/>
      <c r="E729" s="2"/>
      <c r="F729" s="2"/>
      <c r="G729" s="26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</row>
    <row r="730" spans="1:70" ht="14.25" customHeight="1" x14ac:dyDescent="0.25">
      <c r="A730" s="2"/>
      <c r="B730" s="2"/>
      <c r="C730" s="2"/>
      <c r="D730" s="2"/>
      <c r="E730" s="2"/>
      <c r="F730" s="2"/>
      <c r="G730" s="26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</row>
    <row r="731" spans="1:70" ht="14.25" customHeight="1" x14ac:dyDescent="0.25">
      <c r="A731" s="2"/>
      <c r="B731" s="2"/>
      <c r="C731" s="2"/>
      <c r="D731" s="2"/>
      <c r="E731" s="2"/>
      <c r="F731" s="2"/>
      <c r="G731" s="26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</row>
    <row r="732" spans="1:70" ht="14.25" customHeight="1" x14ac:dyDescent="0.25">
      <c r="A732" s="2"/>
      <c r="B732" s="2"/>
      <c r="C732" s="2"/>
      <c r="D732" s="2"/>
      <c r="E732" s="2"/>
      <c r="F732" s="2"/>
      <c r="G732" s="26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</row>
    <row r="733" spans="1:70" ht="14.25" customHeight="1" x14ac:dyDescent="0.25">
      <c r="A733" s="2"/>
      <c r="B733" s="2"/>
      <c r="C733" s="2"/>
      <c r="D733" s="2"/>
      <c r="E733" s="2"/>
      <c r="F733" s="2"/>
      <c r="G733" s="26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</row>
    <row r="734" spans="1:70" ht="14.25" customHeight="1" x14ac:dyDescent="0.25">
      <c r="A734" s="2"/>
      <c r="B734" s="2"/>
      <c r="C734" s="2"/>
      <c r="D734" s="2"/>
      <c r="E734" s="2"/>
      <c r="F734" s="2"/>
      <c r="G734" s="26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</row>
    <row r="735" spans="1:70" ht="14.25" customHeight="1" x14ac:dyDescent="0.25">
      <c r="A735" s="2"/>
      <c r="B735" s="2"/>
      <c r="C735" s="2"/>
      <c r="D735" s="2"/>
      <c r="E735" s="2"/>
      <c r="F735" s="2"/>
      <c r="G735" s="26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</row>
    <row r="736" spans="1:70" ht="14.25" customHeight="1" x14ac:dyDescent="0.25">
      <c r="A736" s="2"/>
      <c r="B736" s="2"/>
      <c r="C736" s="2"/>
      <c r="D736" s="2"/>
      <c r="E736" s="2"/>
      <c r="F736" s="2"/>
      <c r="G736" s="26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</row>
    <row r="737" spans="1:70" ht="14.25" customHeight="1" x14ac:dyDescent="0.25">
      <c r="A737" s="2"/>
      <c r="B737" s="2"/>
      <c r="C737" s="2"/>
      <c r="D737" s="2"/>
      <c r="E737" s="2"/>
      <c r="F737" s="2"/>
      <c r="G737" s="26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</row>
    <row r="738" spans="1:70" ht="14.25" customHeight="1" x14ac:dyDescent="0.25">
      <c r="A738" s="2"/>
      <c r="B738" s="2"/>
      <c r="C738" s="2"/>
      <c r="D738" s="2"/>
      <c r="E738" s="2"/>
      <c r="F738" s="2"/>
      <c r="G738" s="26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</row>
    <row r="739" spans="1:70" ht="14.25" customHeight="1" x14ac:dyDescent="0.25">
      <c r="A739" s="2"/>
      <c r="B739" s="2"/>
      <c r="C739" s="2"/>
      <c r="D739" s="2"/>
      <c r="E739" s="2"/>
      <c r="F739" s="2"/>
      <c r="G739" s="26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</row>
    <row r="740" spans="1:70" ht="14.25" customHeight="1" x14ac:dyDescent="0.25">
      <c r="A740" s="2"/>
      <c r="B740" s="2"/>
      <c r="C740" s="2"/>
      <c r="D740" s="2"/>
      <c r="E740" s="2"/>
      <c r="F740" s="2"/>
      <c r="G740" s="26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</row>
    <row r="741" spans="1:70" ht="14.25" customHeight="1" x14ac:dyDescent="0.25">
      <c r="A741" s="2"/>
      <c r="B741" s="2"/>
      <c r="C741" s="2"/>
      <c r="D741" s="2"/>
      <c r="E741" s="2"/>
      <c r="F741" s="2"/>
      <c r="G741" s="26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</row>
    <row r="742" spans="1:70" ht="14.25" customHeight="1" x14ac:dyDescent="0.25">
      <c r="A742" s="2"/>
      <c r="B742" s="2"/>
      <c r="C742" s="2"/>
      <c r="D742" s="2"/>
      <c r="E742" s="2"/>
      <c r="F742" s="2"/>
      <c r="G742" s="26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</row>
    <row r="743" spans="1:70" ht="14.25" customHeight="1" x14ac:dyDescent="0.25">
      <c r="A743" s="2"/>
      <c r="B743" s="2"/>
      <c r="C743" s="2"/>
      <c r="D743" s="2"/>
      <c r="E743" s="2"/>
      <c r="F743" s="2"/>
      <c r="G743" s="26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</row>
    <row r="744" spans="1:70" ht="14.25" customHeight="1" x14ac:dyDescent="0.25">
      <c r="A744" s="2"/>
      <c r="B744" s="2"/>
      <c r="C744" s="2"/>
      <c r="D744" s="2"/>
      <c r="E744" s="2"/>
      <c r="F744" s="2"/>
      <c r="G744" s="26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</row>
    <row r="745" spans="1:70" ht="14.25" customHeight="1" x14ac:dyDescent="0.25">
      <c r="A745" s="2"/>
      <c r="B745" s="2"/>
      <c r="C745" s="2"/>
      <c r="D745" s="2"/>
      <c r="E745" s="2"/>
      <c r="F745" s="2"/>
      <c r="G745" s="26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</row>
    <row r="746" spans="1:70" ht="14.25" customHeight="1" x14ac:dyDescent="0.25">
      <c r="A746" s="2"/>
      <c r="B746" s="2"/>
      <c r="C746" s="2"/>
      <c r="D746" s="2"/>
      <c r="E746" s="2"/>
      <c r="F746" s="2"/>
      <c r="G746" s="26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</row>
    <row r="747" spans="1:70" ht="14.25" customHeight="1" x14ac:dyDescent="0.25">
      <c r="A747" s="2"/>
      <c r="B747" s="2"/>
      <c r="C747" s="2"/>
      <c r="D747" s="2"/>
      <c r="E747" s="2"/>
      <c r="F747" s="2"/>
      <c r="G747" s="26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</row>
    <row r="748" spans="1:70" ht="14.25" customHeight="1" x14ac:dyDescent="0.25">
      <c r="A748" s="2"/>
      <c r="B748" s="2"/>
      <c r="C748" s="2"/>
      <c r="D748" s="2"/>
      <c r="E748" s="2"/>
      <c r="F748" s="2"/>
      <c r="G748" s="26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</row>
    <row r="749" spans="1:70" ht="14.25" customHeight="1" x14ac:dyDescent="0.25">
      <c r="A749" s="2"/>
      <c r="B749" s="2"/>
      <c r="C749" s="2"/>
      <c r="D749" s="2"/>
      <c r="E749" s="2"/>
      <c r="F749" s="2"/>
      <c r="G749" s="26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</row>
    <row r="750" spans="1:70" ht="14.25" customHeight="1" x14ac:dyDescent="0.25">
      <c r="A750" s="2"/>
      <c r="B750" s="2"/>
      <c r="C750" s="2"/>
      <c r="D750" s="2"/>
      <c r="E750" s="2"/>
      <c r="F750" s="2"/>
      <c r="G750" s="26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</row>
    <row r="751" spans="1:70" ht="14.25" customHeight="1" x14ac:dyDescent="0.25">
      <c r="A751" s="2"/>
      <c r="B751" s="2"/>
      <c r="C751" s="2"/>
      <c r="D751" s="2"/>
      <c r="E751" s="2"/>
      <c r="F751" s="2"/>
      <c r="G751" s="26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</row>
    <row r="752" spans="1:70" ht="14.25" customHeight="1" x14ac:dyDescent="0.25">
      <c r="A752" s="2"/>
      <c r="B752" s="2"/>
      <c r="C752" s="2"/>
      <c r="D752" s="2"/>
      <c r="E752" s="2"/>
      <c r="F752" s="2"/>
      <c r="G752" s="26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</row>
    <row r="753" spans="1:70" ht="14.25" customHeight="1" x14ac:dyDescent="0.25">
      <c r="A753" s="2"/>
      <c r="B753" s="2"/>
      <c r="C753" s="2"/>
      <c r="D753" s="2"/>
      <c r="E753" s="2"/>
      <c r="F753" s="2"/>
      <c r="G753" s="26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</row>
    <row r="754" spans="1:70" ht="14.25" customHeight="1" x14ac:dyDescent="0.25">
      <c r="A754" s="2"/>
      <c r="B754" s="2"/>
      <c r="C754" s="2"/>
      <c r="D754" s="2"/>
      <c r="E754" s="2"/>
      <c r="F754" s="2"/>
      <c r="G754" s="26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</row>
    <row r="755" spans="1:70" ht="14.25" customHeight="1" x14ac:dyDescent="0.25">
      <c r="A755" s="2"/>
      <c r="B755" s="2"/>
      <c r="C755" s="2"/>
      <c r="D755" s="2"/>
      <c r="E755" s="2"/>
      <c r="F755" s="2"/>
      <c r="G755" s="26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</row>
    <row r="756" spans="1:70" ht="14.25" customHeight="1" x14ac:dyDescent="0.25">
      <c r="A756" s="2"/>
      <c r="B756" s="2"/>
      <c r="C756" s="2"/>
      <c r="D756" s="2"/>
      <c r="E756" s="2"/>
      <c r="F756" s="2"/>
      <c r="G756" s="26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</row>
    <row r="757" spans="1:70" ht="14.25" customHeight="1" x14ac:dyDescent="0.25">
      <c r="A757" s="2"/>
      <c r="B757" s="2"/>
      <c r="C757" s="2"/>
      <c r="D757" s="2"/>
      <c r="E757" s="2"/>
      <c r="F757" s="2"/>
      <c r="G757" s="26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</row>
    <row r="758" spans="1:70" ht="14.25" customHeight="1" x14ac:dyDescent="0.25">
      <c r="A758" s="2"/>
      <c r="B758" s="2"/>
      <c r="C758" s="2"/>
      <c r="D758" s="2"/>
      <c r="E758" s="2"/>
      <c r="F758" s="2"/>
      <c r="G758" s="26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</row>
    <row r="759" spans="1:70" ht="14.25" customHeight="1" x14ac:dyDescent="0.25">
      <c r="A759" s="2"/>
      <c r="B759" s="2"/>
      <c r="C759" s="2"/>
      <c r="D759" s="2"/>
      <c r="E759" s="2"/>
      <c r="F759" s="2"/>
      <c r="G759" s="26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</row>
    <row r="760" spans="1:70" ht="14.25" customHeight="1" x14ac:dyDescent="0.25">
      <c r="A760" s="2"/>
      <c r="B760" s="2"/>
      <c r="C760" s="2"/>
      <c r="D760" s="2"/>
      <c r="E760" s="2"/>
      <c r="F760" s="2"/>
      <c r="G760" s="26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</row>
    <row r="761" spans="1:70" ht="14.25" customHeight="1" x14ac:dyDescent="0.25">
      <c r="A761" s="2"/>
      <c r="B761" s="2"/>
      <c r="C761" s="2"/>
      <c r="D761" s="2"/>
      <c r="E761" s="2"/>
      <c r="F761" s="2"/>
      <c r="G761" s="26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</row>
    <row r="762" spans="1:70" ht="14.25" customHeight="1" x14ac:dyDescent="0.25">
      <c r="A762" s="2"/>
      <c r="B762" s="2"/>
      <c r="C762" s="2"/>
      <c r="D762" s="2"/>
      <c r="E762" s="2"/>
      <c r="F762" s="2"/>
      <c r="G762" s="26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</row>
    <row r="763" spans="1:70" ht="14.25" customHeight="1" x14ac:dyDescent="0.25">
      <c r="A763" s="2"/>
      <c r="B763" s="2"/>
      <c r="C763" s="2"/>
      <c r="D763" s="2"/>
      <c r="E763" s="2"/>
      <c r="F763" s="2"/>
      <c r="G763" s="26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</row>
    <row r="764" spans="1:70" ht="14.25" customHeight="1" x14ac:dyDescent="0.25">
      <c r="A764" s="2"/>
      <c r="B764" s="2"/>
      <c r="C764" s="2"/>
      <c r="D764" s="2"/>
      <c r="E764" s="2"/>
      <c r="F764" s="2"/>
      <c r="G764" s="26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</row>
    <row r="765" spans="1:70" ht="14.25" customHeight="1" x14ac:dyDescent="0.25">
      <c r="A765" s="2"/>
      <c r="B765" s="2"/>
      <c r="C765" s="2"/>
      <c r="D765" s="2"/>
      <c r="E765" s="2"/>
      <c r="F765" s="2"/>
      <c r="G765" s="26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</row>
    <row r="766" spans="1:70" ht="14.25" customHeight="1" x14ac:dyDescent="0.25">
      <c r="A766" s="2"/>
      <c r="B766" s="2"/>
      <c r="C766" s="2"/>
      <c r="D766" s="2"/>
      <c r="E766" s="2"/>
      <c r="F766" s="2"/>
      <c r="G766" s="26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</row>
    <row r="767" spans="1:70" ht="14.25" customHeight="1" x14ac:dyDescent="0.25">
      <c r="A767" s="2"/>
      <c r="B767" s="2"/>
      <c r="C767" s="2"/>
      <c r="D767" s="2"/>
      <c r="E767" s="2"/>
      <c r="F767" s="2"/>
      <c r="G767" s="26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</row>
    <row r="768" spans="1:70" ht="14.25" customHeight="1" x14ac:dyDescent="0.25">
      <c r="A768" s="2"/>
      <c r="B768" s="2"/>
      <c r="C768" s="2"/>
      <c r="D768" s="2"/>
      <c r="E768" s="2"/>
      <c r="F768" s="2"/>
      <c r="G768" s="26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</row>
    <row r="769" spans="1:70" ht="14.25" customHeight="1" x14ac:dyDescent="0.25">
      <c r="A769" s="2"/>
      <c r="B769" s="2"/>
      <c r="C769" s="2"/>
      <c r="D769" s="2"/>
      <c r="E769" s="2"/>
      <c r="F769" s="2"/>
      <c r="G769" s="26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</row>
    <row r="770" spans="1:70" ht="14.25" customHeight="1" x14ac:dyDescent="0.25">
      <c r="A770" s="2"/>
      <c r="B770" s="2"/>
      <c r="C770" s="2"/>
      <c r="D770" s="2"/>
      <c r="E770" s="2"/>
      <c r="F770" s="2"/>
      <c r="G770" s="26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</row>
    <row r="771" spans="1:70" ht="14.25" customHeight="1" x14ac:dyDescent="0.25">
      <c r="A771" s="2"/>
      <c r="B771" s="2"/>
      <c r="C771" s="2"/>
      <c r="D771" s="2"/>
      <c r="E771" s="2"/>
      <c r="F771" s="2"/>
      <c r="G771" s="26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</row>
    <row r="772" spans="1:70" ht="14.25" customHeight="1" x14ac:dyDescent="0.25">
      <c r="A772" s="2"/>
      <c r="B772" s="2"/>
      <c r="C772" s="2"/>
      <c r="D772" s="2"/>
      <c r="E772" s="2"/>
      <c r="F772" s="2"/>
      <c r="G772" s="26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</row>
    <row r="773" spans="1:70" ht="14.25" customHeight="1" x14ac:dyDescent="0.25">
      <c r="A773" s="2"/>
      <c r="B773" s="2"/>
      <c r="C773" s="2"/>
      <c r="D773" s="2"/>
      <c r="E773" s="2"/>
      <c r="F773" s="2"/>
      <c r="G773" s="26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</row>
    <row r="774" spans="1:70" ht="14.25" customHeight="1" x14ac:dyDescent="0.25">
      <c r="A774" s="2"/>
      <c r="B774" s="2"/>
      <c r="C774" s="2"/>
      <c r="D774" s="2"/>
      <c r="E774" s="2"/>
      <c r="F774" s="2"/>
      <c r="G774" s="26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</row>
    <row r="775" spans="1:70" ht="14.25" customHeight="1" x14ac:dyDescent="0.25">
      <c r="A775" s="2"/>
      <c r="B775" s="2"/>
      <c r="C775" s="2"/>
      <c r="D775" s="2"/>
      <c r="E775" s="2"/>
      <c r="F775" s="2"/>
      <c r="G775" s="26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</row>
    <row r="776" spans="1:70" ht="14.25" customHeight="1" x14ac:dyDescent="0.25">
      <c r="A776" s="2"/>
      <c r="B776" s="2"/>
      <c r="C776" s="2"/>
      <c r="D776" s="2"/>
      <c r="E776" s="2"/>
      <c r="F776" s="2"/>
      <c r="G776" s="26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</row>
    <row r="777" spans="1:70" ht="14.25" customHeight="1" x14ac:dyDescent="0.25">
      <c r="A777" s="2"/>
      <c r="B777" s="2"/>
      <c r="C777" s="2"/>
      <c r="D777" s="2"/>
      <c r="E777" s="2"/>
      <c r="F777" s="2"/>
      <c r="G777" s="26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</row>
    <row r="778" spans="1:70" ht="14.25" customHeight="1" x14ac:dyDescent="0.25">
      <c r="A778" s="2"/>
      <c r="B778" s="2"/>
      <c r="C778" s="2"/>
      <c r="D778" s="2"/>
      <c r="E778" s="2"/>
      <c r="F778" s="2"/>
      <c r="G778" s="26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</row>
    <row r="779" spans="1:70" ht="14.25" customHeight="1" x14ac:dyDescent="0.25">
      <c r="A779" s="2"/>
      <c r="B779" s="2"/>
      <c r="C779" s="2"/>
      <c r="D779" s="2"/>
      <c r="E779" s="2"/>
      <c r="F779" s="2"/>
      <c r="G779" s="26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</row>
    <row r="780" spans="1:70" ht="14.25" customHeight="1" x14ac:dyDescent="0.25">
      <c r="A780" s="2"/>
      <c r="B780" s="2"/>
      <c r="C780" s="2"/>
      <c r="D780" s="2"/>
      <c r="E780" s="2"/>
      <c r="F780" s="2"/>
      <c r="G780" s="26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</row>
    <row r="781" spans="1:70" ht="14.25" customHeight="1" x14ac:dyDescent="0.25">
      <c r="A781" s="2"/>
      <c r="B781" s="2"/>
      <c r="C781" s="2"/>
      <c r="D781" s="2"/>
      <c r="E781" s="2"/>
      <c r="F781" s="2"/>
      <c r="G781" s="26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</row>
    <row r="782" spans="1:70" ht="14.25" customHeight="1" x14ac:dyDescent="0.25">
      <c r="A782" s="2"/>
      <c r="B782" s="2"/>
      <c r="C782" s="2"/>
      <c r="D782" s="2"/>
      <c r="E782" s="2"/>
      <c r="F782" s="2"/>
      <c r="G782" s="26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</row>
    <row r="783" spans="1:70" ht="14.25" customHeight="1" x14ac:dyDescent="0.25">
      <c r="A783" s="2"/>
      <c r="B783" s="2"/>
      <c r="C783" s="2"/>
      <c r="D783" s="2"/>
      <c r="E783" s="2"/>
      <c r="F783" s="2"/>
      <c r="G783" s="26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</row>
    <row r="784" spans="1:70" ht="14.25" customHeight="1" x14ac:dyDescent="0.25">
      <c r="A784" s="2"/>
      <c r="B784" s="2"/>
      <c r="C784" s="2"/>
      <c r="D784" s="2"/>
      <c r="E784" s="2"/>
      <c r="F784" s="2"/>
      <c r="G784" s="26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</row>
    <row r="785" spans="1:70" ht="14.25" customHeight="1" x14ac:dyDescent="0.25">
      <c r="A785" s="2"/>
      <c r="B785" s="2"/>
      <c r="C785" s="2"/>
      <c r="D785" s="2"/>
      <c r="E785" s="2"/>
      <c r="F785" s="2"/>
      <c r="G785" s="26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</row>
    <row r="786" spans="1:70" ht="14.25" customHeight="1" x14ac:dyDescent="0.25">
      <c r="A786" s="2"/>
      <c r="B786" s="2"/>
      <c r="C786" s="2"/>
      <c r="D786" s="2"/>
      <c r="E786" s="2"/>
      <c r="F786" s="2"/>
      <c r="G786" s="26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</row>
    <row r="787" spans="1:70" ht="14.25" customHeight="1" x14ac:dyDescent="0.25">
      <c r="A787" s="2"/>
      <c r="B787" s="2"/>
      <c r="C787" s="2"/>
      <c r="D787" s="2"/>
      <c r="E787" s="2"/>
      <c r="F787" s="2"/>
      <c r="G787" s="26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</row>
    <row r="788" spans="1:70" ht="14.25" customHeight="1" x14ac:dyDescent="0.25">
      <c r="A788" s="2"/>
      <c r="B788" s="2"/>
      <c r="C788" s="2"/>
      <c r="D788" s="2"/>
      <c r="E788" s="2"/>
      <c r="F788" s="2"/>
      <c r="G788" s="26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</row>
    <row r="789" spans="1:70" ht="14.25" customHeight="1" x14ac:dyDescent="0.25">
      <c r="A789" s="2"/>
      <c r="B789" s="2"/>
      <c r="C789" s="2"/>
      <c r="D789" s="2"/>
      <c r="E789" s="2"/>
      <c r="F789" s="2"/>
      <c r="G789" s="26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</row>
    <row r="790" spans="1:70" ht="14.25" customHeight="1" x14ac:dyDescent="0.25">
      <c r="A790" s="2"/>
      <c r="B790" s="2"/>
      <c r="C790" s="2"/>
      <c r="D790" s="2"/>
      <c r="E790" s="2"/>
      <c r="F790" s="2"/>
      <c r="G790" s="26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</row>
    <row r="791" spans="1:70" ht="14.25" customHeight="1" x14ac:dyDescent="0.25">
      <c r="A791" s="2"/>
      <c r="B791" s="2"/>
      <c r="C791" s="2"/>
      <c r="D791" s="2"/>
      <c r="E791" s="2"/>
      <c r="F791" s="2"/>
      <c r="G791" s="26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</row>
    <row r="792" spans="1:70" ht="14.25" customHeight="1" x14ac:dyDescent="0.25">
      <c r="A792" s="2"/>
      <c r="B792" s="2"/>
      <c r="C792" s="2"/>
      <c r="D792" s="2"/>
      <c r="E792" s="2"/>
      <c r="F792" s="2"/>
      <c r="G792" s="26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</row>
    <row r="793" spans="1:70" ht="14.25" customHeight="1" x14ac:dyDescent="0.25">
      <c r="A793" s="2"/>
      <c r="B793" s="2"/>
      <c r="C793" s="2"/>
      <c r="D793" s="2"/>
      <c r="E793" s="2"/>
      <c r="F793" s="2"/>
      <c r="G793" s="26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</row>
    <row r="794" spans="1:70" ht="14.25" customHeight="1" x14ac:dyDescent="0.25">
      <c r="A794" s="2"/>
      <c r="B794" s="2"/>
      <c r="C794" s="2"/>
      <c r="D794" s="2"/>
      <c r="E794" s="2"/>
      <c r="F794" s="2"/>
      <c r="G794" s="26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</row>
    <row r="795" spans="1:70" ht="14.25" customHeight="1" x14ac:dyDescent="0.25">
      <c r="A795" s="2"/>
      <c r="B795" s="2"/>
      <c r="C795" s="2"/>
      <c r="D795" s="2"/>
      <c r="E795" s="2"/>
      <c r="F795" s="2"/>
      <c r="G795" s="26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</row>
    <row r="796" spans="1:70" ht="14.25" customHeight="1" x14ac:dyDescent="0.25">
      <c r="A796" s="2"/>
      <c r="B796" s="2"/>
      <c r="C796" s="2"/>
      <c r="D796" s="2"/>
      <c r="E796" s="2"/>
      <c r="F796" s="2"/>
      <c r="G796" s="26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</row>
    <row r="797" spans="1:70" ht="14.25" customHeight="1" x14ac:dyDescent="0.25">
      <c r="A797" s="2"/>
      <c r="B797" s="2"/>
      <c r="C797" s="2"/>
      <c r="D797" s="2"/>
      <c r="E797" s="2"/>
      <c r="F797" s="2"/>
      <c r="G797" s="26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</row>
    <row r="798" spans="1:70" ht="14.25" customHeight="1" x14ac:dyDescent="0.25">
      <c r="A798" s="2"/>
      <c r="B798" s="2"/>
      <c r="C798" s="2"/>
      <c r="D798" s="2"/>
      <c r="E798" s="2"/>
      <c r="F798" s="2"/>
      <c r="G798" s="26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</row>
    <row r="799" spans="1:70" ht="14.25" customHeight="1" x14ac:dyDescent="0.25">
      <c r="A799" s="2"/>
      <c r="B799" s="2"/>
      <c r="C799" s="2"/>
      <c r="D799" s="2"/>
      <c r="E799" s="2"/>
      <c r="F799" s="2"/>
      <c r="G799" s="26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</row>
    <row r="800" spans="1:70" ht="14.25" customHeight="1" x14ac:dyDescent="0.25">
      <c r="A800" s="2"/>
      <c r="B800" s="2"/>
      <c r="C800" s="2"/>
      <c r="D800" s="2"/>
      <c r="E800" s="2"/>
      <c r="F800" s="2"/>
      <c r="G800" s="26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</row>
    <row r="801" spans="1:70" ht="14.25" customHeight="1" x14ac:dyDescent="0.25">
      <c r="A801" s="2"/>
      <c r="B801" s="2"/>
      <c r="C801" s="2"/>
      <c r="D801" s="2"/>
      <c r="E801" s="2"/>
      <c r="F801" s="2"/>
      <c r="G801" s="26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</row>
    <row r="802" spans="1:70" ht="14.25" customHeight="1" x14ac:dyDescent="0.25">
      <c r="A802" s="2"/>
      <c r="B802" s="2"/>
      <c r="C802" s="2"/>
      <c r="D802" s="2"/>
      <c r="E802" s="2"/>
      <c r="F802" s="2"/>
      <c r="G802" s="26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</row>
    <row r="803" spans="1:70" ht="14.25" customHeight="1" x14ac:dyDescent="0.25">
      <c r="A803" s="2"/>
      <c r="B803" s="2"/>
      <c r="C803" s="2"/>
      <c r="D803" s="2"/>
      <c r="E803" s="2"/>
      <c r="F803" s="2"/>
      <c r="G803" s="26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</row>
    <row r="804" spans="1:70" ht="14.25" customHeight="1" x14ac:dyDescent="0.25">
      <c r="A804" s="2"/>
      <c r="B804" s="2"/>
      <c r="C804" s="2"/>
      <c r="D804" s="2"/>
      <c r="E804" s="2"/>
      <c r="F804" s="2"/>
      <c r="G804" s="26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</row>
    <row r="805" spans="1:70" ht="14.25" customHeight="1" x14ac:dyDescent="0.25">
      <c r="A805" s="2"/>
      <c r="B805" s="2"/>
      <c r="C805" s="2"/>
      <c r="D805" s="2"/>
      <c r="E805" s="2"/>
      <c r="F805" s="2"/>
      <c r="G805" s="26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</row>
    <row r="806" spans="1:70" ht="14.25" customHeight="1" x14ac:dyDescent="0.25">
      <c r="A806" s="2"/>
      <c r="B806" s="2"/>
      <c r="C806" s="2"/>
      <c r="D806" s="2"/>
      <c r="E806" s="2"/>
      <c r="F806" s="2"/>
      <c r="G806" s="26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</row>
    <row r="807" spans="1:70" ht="14.25" customHeight="1" x14ac:dyDescent="0.25">
      <c r="A807" s="2"/>
      <c r="B807" s="2"/>
      <c r="C807" s="2"/>
      <c r="D807" s="2"/>
      <c r="E807" s="2"/>
      <c r="F807" s="2"/>
      <c r="G807" s="26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</row>
    <row r="808" spans="1:70" ht="14.25" customHeight="1" x14ac:dyDescent="0.25">
      <c r="A808" s="2"/>
      <c r="B808" s="2"/>
      <c r="C808" s="2"/>
      <c r="D808" s="2"/>
      <c r="E808" s="2"/>
      <c r="F808" s="2"/>
      <c r="G808" s="26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</row>
    <row r="809" spans="1:70" ht="14.25" customHeight="1" x14ac:dyDescent="0.25">
      <c r="A809" s="2"/>
      <c r="B809" s="2"/>
      <c r="C809" s="2"/>
      <c r="D809" s="2"/>
      <c r="E809" s="2"/>
      <c r="F809" s="2"/>
      <c r="G809" s="26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</row>
    <row r="810" spans="1:70" ht="14.25" customHeight="1" x14ac:dyDescent="0.25">
      <c r="A810" s="2"/>
      <c r="B810" s="2"/>
      <c r="C810" s="2"/>
      <c r="D810" s="2"/>
      <c r="E810" s="2"/>
      <c r="F810" s="2"/>
      <c r="G810" s="26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</row>
    <row r="811" spans="1:70" ht="14.25" customHeight="1" x14ac:dyDescent="0.25">
      <c r="A811" s="2"/>
      <c r="B811" s="2"/>
      <c r="C811" s="2"/>
      <c r="D811" s="2"/>
      <c r="E811" s="2"/>
      <c r="F811" s="2"/>
      <c r="G811" s="26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</row>
    <row r="812" spans="1:70" ht="14.25" customHeight="1" x14ac:dyDescent="0.25">
      <c r="A812" s="2"/>
      <c r="B812" s="2"/>
      <c r="C812" s="2"/>
      <c r="D812" s="2"/>
      <c r="E812" s="2"/>
      <c r="F812" s="2"/>
      <c r="G812" s="26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</row>
    <row r="813" spans="1:70" ht="14.25" customHeight="1" x14ac:dyDescent="0.25">
      <c r="A813" s="2"/>
      <c r="B813" s="2"/>
      <c r="C813" s="2"/>
      <c r="D813" s="2"/>
      <c r="E813" s="2"/>
      <c r="F813" s="2"/>
      <c r="G813" s="26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</row>
    <row r="814" spans="1:70" ht="14.25" customHeight="1" x14ac:dyDescent="0.25">
      <c r="A814" s="2"/>
      <c r="B814" s="2"/>
      <c r="C814" s="2"/>
      <c r="D814" s="2"/>
      <c r="E814" s="2"/>
      <c r="F814" s="2"/>
      <c r="G814" s="26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</row>
    <row r="815" spans="1:70" ht="14.25" customHeight="1" x14ac:dyDescent="0.25">
      <c r="A815" s="2"/>
      <c r="B815" s="2"/>
      <c r="C815" s="2"/>
      <c r="D815" s="2"/>
      <c r="E815" s="2"/>
      <c r="F815" s="2"/>
      <c r="G815" s="26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</row>
    <row r="816" spans="1:70" ht="14.25" customHeight="1" x14ac:dyDescent="0.25">
      <c r="A816" s="2"/>
      <c r="B816" s="2"/>
      <c r="C816" s="2"/>
      <c r="D816" s="2"/>
      <c r="E816" s="2"/>
      <c r="F816" s="2"/>
      <c r="G816" s="26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</row>
    <row r="817" spans="1:70" ht="14.25" customHeight="1" x14ac:dyDescent="0.25">
      <c r="A817" s="2"/>
      <c r="B817" s="2"/>
      <c r="C817" s="2"/>
      <c r="D817" s="2"/>
      <c r="E817" s="2"/>
      <c r="F817" s="2"/>
      <c r="G817" s="26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</row>
    <row r="818" spans="1:70" ht="14.25" customHeight="1" x14ac:dyDescent="0.25">
      <c r="A818" s="2"/>
      <c r="B818" s="2"/>
      <c r="C818" s="2"/>
      <c r="D818" s="2"/>
      <c r="E818" s="2"/>
      <c r="F818" s="2"/>
      <c r="G818" s="26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</row>
    <row r="819" spans="1:70" ht="14.25" customHeight="1" x14ac:dyDescent="0.25">
      <c r="A819" s="2"/>
      <c r="B819" s="2"/>
      <c r="C819" s="2"/>
      <c r="D819" s="2"/>
      <c r="E819" s="2"/>
      <c r="F819" s="2"/>
      <c r="G819" s="26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</row>
    <row r="820" spans="1:70" ht="14.25" customHeight="1" x14ac:dyDescent="0.25">
      <c r="A820" s="2"/>
      <c r="B820" s="2"/>
      <c r="C820" s="2"/>
      <c r="D820" s="2"/>
      <c r="E820" s="2"/>
      <c r="F820" s="2"/>
      <c r="G820" s="26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</row>
    <row r="821" spans="1:70" ht="14.25" customHeight="1" x14ac:dyDescent="0.25">
      <c r="A821" s="2"/>
      <c r="B821" s="2"/>
      <c r="C821" s="2"/>
      <c r="D821" s="2"/>
      <c r="E821" s="2"/>
      <c r="F821" s="2"/>
      <c r="G821" s="26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</row>
    <row r="822" spans="1:70" ht="14.25" customHeight="1" x14ac:dyDescent="0.25">
      <c r="A822" s="2"/>
      <c r="B822" s="2"/>
      <c r="C822" s="2"/>
      <c r="D822" s="2"/>
      <c r="E822" s="2"/>
      <c r="F822" s="2"/>
      <c r="G822" s="26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</row>
    <row r="823" spans="1:70" ht="14.25" customHeight="1" x14ac:dyDescent="0.25">
      <c r="A823" s="2"/>
      <c r="B823" s="2"/>
      <c r="C823" s="2"/>
      <c r="D823" s="2"/>
      <c r="E823" s="2"/>
      <c r="F823" s="2"/>
      <c r="G823" s="26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</row>
    <row r="824" spans="1:70" ht="14.25" customHeight="1" x14ac:dyDescent="0.25">
      <c r="A824" s="2"/>
      <c r="B824" s="2"/>
      <c r="C824" s="2"/>
      <c r="D824" s="2"/>
      <c r="E824" s="2"/>
      <c r="F824" s="2"/>
      <c r="G824" s="26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</row>
    <row r="825" spans="1:70" ht="14.25" customHeight="1" x14ac:dyDescent="0.25">
      <c r="A825" s="2"/>
      <c r="B825" s="2"/>
      <c r="C825" s="2"/>
      <c r="D825" s="2"/>
      <c r="E825" s="2"/>
      <c r="F825" s="2"/>
      <c r="G825" s="26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</row>
    <row r="826" spans="1:70" ht="14.25" customHeight="1" x14ac:dyDescent="0.25">
      <c r="A826" s="2"/>
      <c r="B826" s="2"/>
      <c r="C826" s="2"/>
      <c r="D826" s="2"/>
      <c r="E826" s="2"/>
      <c r="F826" s="2"/>
      <c r="G826" s="26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</row>
    <row r="827" spans="1:70" ht="14.25" customHeight="1" x14ac:dyDescent="0.25">
      <c r="A827" s="2"/>
      <c r="B827" s="2"/>
      <c r="C827" s="2"/>
      <c r="D827" s="2"/>
      <c r="E827" s="2"/>
      <c r="F827" s="2"/>
      <c r="G827" s="26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</row>
    <row r="828" spans="1:70" ht="14.25" customHeight="1" x14ac:dyDescent="0.25">
      <c r="A828" s="2"/>
      <c r="B828" s="2"/>
      <c r="C828" s="2"/>
      <c r="D828" s="2"/>
      <c r="E828" s="2"/>
      <c r="F828" s="2"/>
      <c r="G828" s="26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</row>
    <row r="829" spans="1:70" ht="14.25" customHeight="1" x14ac:dyDescent="0.25">
      <c r="A829" s="2"/>
      <c r="B829" s="2"/>
      <c r="C829" s="2"/>
      <c r="D829" s="2"/>
      <c r="E829" s="2"/>
      <c r="F829" s="2"/>
      <c r="G829" s="26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</row>
    <row r="830" spans="1:70" ht="14.25" customHeight="1" x14ac:dyDescent="0.25">
      <c r="A830" s="2"/>
      <c r="B830" s="2"/>
      <c r="C830" s="2"/>
      <c r="D830" s="2"/>
      <c r="E830" s="2"/>
      <c r="F830" s="2"/>
      <c r="G830" s="26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</row>
    <row r="831" spans="1:70" ht="14.25" customHeight="1" x14ac:dyDescent="0.25">
      <c r="A831" s="2"/>
      <c r="B831" s="2"/>
      <c r="C831" s="2"/>
      <c r="D831" s="2"/>
      <c r="E831" s="2"/>
      <c r="F831" s="2"/>
      <c r="G831" s="26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</row>
    <row r="832" spans="1:70" ht="14.25" customHeight="1" x14ac:dyDescent="0.25">
      <c r="A832" s="2"/>
      <c r="B832" s="2"/>
      <c r="C832" s="2"/>
      <c r="D832" s="2"/>
      <c r="E832" s="2"/>
      <c r="F832" s="2"/>
      <c r="G832" s="26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</row>
    <row r="833" spans="1:70" ht="14.25" customHeight="1" x14ac:dyDescent="0.25">
      <c r="A833" s="2"/>
      <c r="B833" s="2"/>
      <c r="C833" s="2"/>
      <c r="D833" s="2"/>
      <c r="E833" s="2"/>
      <c r="F833" s="2"/>
      <c r="G833" s="26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</row>
    <row r="834" spans="1:70" ht="14.25" customHeight="1" x14ac:dyDescent="0.25">
      <c r="A834" s="2"/>
      <c r="B834" s="2"/>
      <c r="C834" s="2"/>
      <c r="D834" s="2"/>
      <c r="E834" s="2"/>
      <c r="F834" s="2"/>
      <c r="G834" s="26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</row>
    <row r="835" spans="1:70" ht="14.25" customHeight="1" x14ac:dyDescent="0.25">
      <c r="A835" s="2"/>
      <c r="B835" s="2"/>
      <c r="C835" s="2"/>
      <c r="D835" s="2"/>
      <c r="E835" s="2"/>
      <c r="F835" s="2"/>
      <c r="G835" s="26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</row>
    <row r="836" spans="1:70" ht="14.25" customHeight="1" x14ac:dyDescent="0.25">
      <c r="A836" s="2"/>
      <c r="B836" s="2"/>
      <c r="C836" s="2"/>
      <c r="D836" s="2"/>
      <c r="E836" s="2"/>
      <c r="F836" s="2"/>
      <c r="G836" s="26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</row>
    <row r="837" spans="1:70" ht="14.25" customHeight="1" x14ac:dyDescent="0.25">
      <c r="A837" s="2"/>
      <c r="B837" s="2"/>
      <c r="C837" s="2"/>
      <c r="D837" s="2"/>
      <c r="E837" s="2"/>
      <c r="F837" s="2"/>
      <c r="G837" s="26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</row>
    <row r="838" spans="1:70" ht="14.25" customHeight="1" x14ac:dyDescent="0.25">
      <c r="A838" s="2"/>
      <c r="B838" s="2"/>
      <c r="C838" s="2"/>
      <c r="D838" s="2"/>
      <c r="E838" s="2"/>
      <c r="F838" s="2"/>
      <c r="G838" s="26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</row>
    <row r="839" spans="1:70" ht="14.25" customHeight="1" x14ac:dyDescent="0.25">
      <c r="A839" s="2"/>
      <c r="B839" s="2"/>
      <c r="C839" s="2"/>
      <c r="D839" s="2"/>
      <c r="E839" s="2"/>
      <c r="F839" s="2"/>
      <c r="G839" s="26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</row>
    <row r="840" spans="1:70" ht="14.25" customHeight="1" x14ac:dyDescent="0.25">
      <c r="A840" s="2"/>
      <c r="B840" s="2"/>
      <c r="C840" s="2"/>
      <c r="D840" s="2"/>
      <c r="E840" s="2"/>
      <c r="F840" s="2"/>
      <c r="G840" s="26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</row>
    <row r="841" spans="1:70" ht="14.25" customHeight="1" x14ac:dyDescent="0.25">
      <c r="A841" s="2"/>
      <c r="B841" s="2"/>
      <c r="C841" s="2"/>
      <c r="D841" s="2"/>
      <c r="E841" s="2"/>
      <c r="F841" s="2"/>
      <c r="G841" s="26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</row>
    <row r="842" spans="1:70" ht="14.25" customHeight="1" x14ac:dyDescent="0.25">
      <c r="A842" s="2"/>
      <c r="B842" s="2"/>
      <c r="C842" s="2"/>
      <c r="D842" s="2"/>
      <c r="E842" s="2"/>
      <c r="F842" s="2"/>
      <c r="G842" s="26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</row>
    <row r="843" spans="1:70" ht="14.25" customHeight="1" x14ac:dyDescent="0.25">
      <c r="A843" s="2"/>
      <c r="B843" s="2"/>
      <c r="C843" s="2"/>
      <c r="D843" s="2"/>
      <c r="E843" s="2"/>
      <c r="F843" s="2"/>
      <c r="G843" s="26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</row>
    <row r="844" spans="1:70" ht="14.25" customHeight="1" x14ac:dyDescent="0.25">
      <c r="A844" s="2"/>
      <c r="B844" s="2"/>
      <c r="C844" s="2"/>
      <c r="D844" s="2"/>
      <c r="E844" s="2"/>
      <c r="F844" s="2"/>
      <c r="G844" s="26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</row>
    <row r="845" spans="1:70" ht="14.25" customHeight="1" x14ac:dyDescent="0.25">
      <c r="A845" s="2"/>
      <c r="B845" s="2"/>
      <c r="C845" s="2"/>
      <c r="D845" s="2"/>
      <c r="E845" s="2"/>
      <c r="F845" s="2"/>
      <c r="G845" s="26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</row>
    <row r="846" spans="1:70" ht="14.25" customHeight="1" x14ac:dyDescent="0.25">
      <c r="A846" s="2"/>
      <c r="B846" s="2"/>
      <c r="C846" s="2"/>
      <c r="D846" s="2"/>
      <c r="E846" s="2"/>
      <c r="F846" s="2"/>
      <c r="G846" s="26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</row>
    <row r="847" spans="1:70" ht="14.25" customHeight="1" x14ac:dyDescent="0.25">
      <c r="A847" s="2"/>
      <c r="B847" s="2"/>
      <c r="C847" s="2"/>
      <c r="D847" s="2"/>
      <c r="E847" s="2"/>
      <c r="F847" s="2"/>
      <c r="G847" s="26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</row>
    <row r="848" spans="1:70" ht="14.25" customHeight="1" x14ac:dyDescent="0.25">
      <c r="A848" s="2"/>
      <c r="B848" s="2"/>
      <c r="C848" s="2"/>
      <c r="D848" s="2"/>
      <c r="E848" s="2"/>
      <c r="F848" s="2"/>
      <c r="G848" s="26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</row>
    <row r="849" spans="1:70" ht="14.25" customHeight="1" x14ac:dyDescent="0.25">
      <c r="A849" s="2"/>
      <c r="B849" s="2"/>
      <c r="C849" s="2"/>
      <c r="D849" s="2"/>
      <c r="E849" s="2"/>
      <c r="F849" s="2"/>
      <c r="G849" s="26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</row>
    <row r="850" spans="1:70" ht="14.25" customHeight="1" x14ac:dyDescent="0.25">
      <c r="A850" s="2"/>
      <c r="B850" s="2"/>
      <c r="C850" s="2"/>
      <c r="D850" s="2"/>
      <c r="E850" s="2"/>
      <c r="F850" s="2"/>
      <c r="G850" s="26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</row>
    <row r="851" spans="1:70" ht="14.25" customHeight="1" x14ac:dyDescent="0.25">
      <c r="A851" s="2"/>
      <c r="B851" s="2"/>
      <c r="C851" s="2"/>
      <c r="D851" s="2"/>
      <c r="E851" s="2"/>
      <c r="F851" s="2"/>
      <c r="G851" s="26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</row>
    <row r="852" spans="1:70" ht="14.25" customHeight="1" x14ac:dyDescent="0.25">
      <c r="A852" s="2"/>
      <c r="B852" s="2"/>
      <c r="C852" s="2"/>
      <c r="D852" s="2"/>
      <c r="E852" s="2"/>
      <c r="F852" s="2"/>
      <c r="G852" s="26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</row>
    <row r="853" spans="1:70" ht="14.25" customHeight="1" x14ac:dyDescent="0.25">
      <c r="A853" s="2"/>
      <c r="B853" s="2"/>
      <c r="C853" s="2"/>
      <c r="D853" s="2"/>
      <c r="E853" s="2"/>
      <c r="F853" s="2"/>
      <c r="G853" s="26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</row>
    <row r="854" spans="1:70" ht="14.25" customHeight="1" x14ac:dyDescent="0.25">
      <c r="A854" s="2"/>
      <c r="B854" s="2"/>
      <c r="C854" s="2"/>
      <c r="D854" s="2"/>
      <c r="E854" s="2"/>
      <c r="F854" s="2"/>
      <c r="G854" s="26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</row>
    <row r="855" spans="1:70" ht="14.25" customHeight="1" x14ac:dyDescent="0.25">
      <c r="A855" s="2"/>
      <c r="B855" s="2"/>
      <c r="C855" s="2"/>
      <c r="D855" s="2"/>
      <c r="E855" s="2"/>
      <c r="F855" s="2"/>
      <c r="G855" s="26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</row>
    <row r="856" spans="1:70" ht="14.25" customHeight="1" x14ac:dyDescent="0.25">
      <c r="A856" s="2"/>
      <c r="B856" s="2"/>
      <c r="C856" s="2"/>
      <c r="D856" s="2"/>
      <c r="E856" s="2"/>
      <c r="F856" s="2"/>
      <c r="G856" s="26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</row>
    <row r="857" spans="1:70" ht="14.25" customHeight="1" x14ac:dyDescent="0.25">
      <c r="A857" s="2"/>
      <c r="B857" s="2"/>
      <c r="C857" s="2"/>
      <c r="D857" s="2"/>
      <c r="E857" s="2"/>
      <c r="F857" s="2"/>
      <c r="G857" s="26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</row>
    <row r="858" spans="1:70" ht="14.25" customHeight="1" x14ac:dyDescent="0.25">
      <c r="A858" s="2"/>
      <c r="B858" s="2"/>
      <c r="C858" s="2"/>
      <c r="D858" s="2"/>
      <c r="E858" s="2"/>
      <c r="F858" s="2"/>
      <c r="G858" s="26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</row>
    <row r="859" spans="1:70" ht="14.25" customHeight="1" x14ac:dyDescent="0.25">
      <c r="A859" s="2"/>
      <c r="B859" s="2"/>
      <c r="C859" s="2"/>
      <c r="D859" s="2"/>
      <c r="E859" s="2"/>
      <c r="F859" s="2"/>
      <c r="G859" s="26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</row>
    <row r="860" spans="1:70" ht="14.25" customHeight="1" x14ac:dyDescent="0.25">
      <c r="A860" s="2"/>
      <c r="B860" s="2"/>
      <c r="C860" s="2"/>
      <c r="D860" s="2"/>
      <c r="E860" s="2"/>
      <c r="F860" s="2"/>
      <c r="G860" s="26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</row>
    <row r="861" spans="1:70" ht="14.25" customHeight="1" x14ac:dyDescent="0.25">
      <c r="A861" s="2"/>
      <c r="B861" s="2"/>
      <c r="C861" s="2"/>
      <c r="D861" s="2"/>
      <c r="E861" s="2"/>
      <c r="F861" s="2"/>
      <c r="G861" s="26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</row>
    <row r="862" spans="1:70" ht="14.25" customHeight="1" x14ac:dyDescent="0.25">
      <c r="A862" s="2"/>
      <c r="B862" s="2"/>
      <c r="C862" s="2"/>
      <c r="D862" s="2"/>
      <c r="E862" s="2"/>
      <c r="F862" s="2"/>
      <c r="G862" s="26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</row>
    <row r="863" spans="1:70" ht="14.25" customHeight="1" x14ac:dyDescent="0.25">
      <c r="A863" s="2"/>
      <c r="B863" s="2"/>
      <c r="C863" s="2"/>
      <c r="D863" s="2"/>
      <c r="E863" s="2"/>
      <c r="F863" s="2"/>
      <c r="G863" s="26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</row>
    <row r="864" spans="1:70" ht="14.25" customHeight="1" x14ac:dyDescent="0.25">
      <c r="A864" s="2"/>
      <c r="B864" s="2"/>
      <c r="C864" s="2"/>
      <c r="D864" s="2"/>
      <c r="E864" s="2"/>
      <c r="F864" s="2"/>
      <c r="G864" s="26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</row>
    <row r="865" spans="1:70" ht="14.25" customHeight="1" x14ac:dyDescent="0.25">
      <c r="A865" s="2"/>
      <c r="B865" s="2"/>
      <c r="C865" s="2"/>
      <c r="D865" s="2"/>
      <c r="E865" s="2"/>
      <c r="F865" s="2"/>
      <c r="G865" s="26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</row>
    <row r="866" spans="1:70" ht="14.25" customHeight="1" x14ac:dyDescent="0.25">
      <c r="A866" s="2"/>
      <c r="B866" s="2"/>
      <c r="C866" s="2"/>
      <c r="D866" s="2"/>
      <c r="E866" s="2"/>
      <c r="F866" s="2"/>
      <c r="G866" s="26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</row>
    <row r="867" spans="1:70" ht="14.25" customHeight="1" x14ac:dyDescent="0.25">
      <c r="A867" s="2"/>
      <c r="B867" s="2"/>
      <c r="C867" s="2"/>
      <c r="D867" s="2"/>
      <c r="E867" s="2"/>
      <c r="F867" s="2"/>
      <c r="G867" s="26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</row>
    <row r="868" spans="1:70" ht="14.25" customHeight="1" x14ac:dyDescent="0.25">
      <c r="A868" s="2"/>
      <c r="B868" s="2"/>
      <c r="C868" s="2"/>
      <c r="D868" s="2"/>
      <c r="E868" s="2"/>
      <c r="F868" s="2"/>
      <c r="G868" s="26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</row>
    <row r="869" spans="1:70" ht="14.25" customHeight="1" x14ac:dyDescent="0.25">
      <c r="A869" s="2"/>
      <c r="B869" s="2"/>
      <c r="C869" s="2"/>
      <c r="D869" s="2"/>
      <c r="E869" s="2"/>
      <c r="F869" s="2"/>
      <c r="G869" s="26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</row>
    <row r="870" spans="1:70" ht="14.25" customHeight="1" x14ac:dyDescent="0.25">
      <c r="A870" s="2"/>
      <c r="B870" s="2"/>
      <c r="C870" s="2"/>
      <c r="D870" s="2"/>
      <c r="E870" s="2"/>
      <c r="F870" s="2"/>
      <c r="G870" s="26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</row>
    <row r="871" spans="1:70" ht="14.25" customHeight="1" x14ac:dyDescent="0.25">
      <c r="A871" s="2"/>
      <c r="B871" s="2"/>
      <c r="C871" s="2"/>
      <c r="D871" s="2"/>
      <c r="E871" s="2"/>
      <c r="F871" s="2"/>
      <c r="G871" s="26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</row>
    <row r="872" spans="1:70" ht="14.25" customHeight="1" x14ac:dyDescent="0.25">
      <c r="A872" s="2"/>
      <c r="B872" s="2"/>
      <c r="C872" s="2"/>
      <c r="D872" s="2"/>
      <c r="E872" s="2"/>
      <c r="F872" s="2"/>
      <c r="G872" s="26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</row>
    <row r="873" spans="1:70" ht="14.25" customHeight="1" x14ac:dyDescent="0.25">
      <c r="A873" s="2"/>
      <c r="B873" s="2"/>
      <c r="C873" s="2"/>
      <c r="D873" s="2"/>
      <c r="E873" s="2"/>
      <c r="F873" s="2"/>
      <c r="G873" s="26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</row>
    <row r="874" spans="1:70" ht="14.25" customHeight="1" x14ac:dyDescent="0.25">
      <c r="A874" s="2"/>
      <c r="B874" s="2"/>
      <c r="C874" s="2"/>
      <c r="D874" s="2"/>
      <c r="E874" s="2"/>
      <c r="F874" s="2"/>
      <c r="G874" s="26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</row>
    <row r="875" spans="1:70" ht="14.25" customHeight="1" x14ac:dyDescent="0.25">
      <c r="A875" s="2"/>
      <c r="B875" s="2"/>
      <c r="C875" s="2"/>
      <c r="D875" s="2"/>
      <c r="E875" s="2"/>
      <c r="F875" s="2"/>
      <c r="G875" s="26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</row>
    <row r="876" spans="1:70" ht="14.25" customHeight="1" x14ac:dyDescent="0.25">
      <c r="A876" s="2"/>
      <c r="B876" s="2"/>
      <c r="C876" s="2"/>
      <c r="D876" s="2"/>
      <c r="E876" s="2"/>
      <c r="F876" s="2"/>
      <c r="G876" s="26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</row>
    <row r="877" spans="1:70" ht="14.25" customHeight="1" x14ac:dyDescent="0.25">
      <c r="A877" s="2"/>
      <c r="B877" s="2"/>
      <c r="C877" s="2"/>
      <c r="D877" s="2"/>
      <c r="E877" s="2"/>
      <c r="F877" s="2"/>
      <c r="G877" s="26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</row>
    <row r="878" spans="1:70" ht="14.25" customHeight="1" x14ac:dyDescent="0.25">
      <c r="A878" s="2"/>
      <c r="B878" s="2"/>
      <c r="C878" s="2"/>
      <c r="D878" s="2"/>
      <c r="E878" s="2"/>
      <c r="F878" s="2"/>
      <c r="G878" s="26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</row>
    <row r="879" spans="1:70" ht="14.25" customHeight="1" x14ac:dyDescent="0.25">
      <c r="A879" s="2"/>
      <c r="B879" s="2"/>
      <c r="C879" s="2"/>
      <c r="D879" s="2"/>
      <c r="E879" s="2"/>
      <c r="F879" s="2"/>
      <c r="G879" s="26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</row>
    <row r="880" spans="1:70" ht="14.25" customHeight="1" x14ac:dyDescent="0.25">
      <c r="A880" s="2"/>
      <c r="B880" s="2"/>
      <c r="C880" s="2"/>
      <c r="D880" s="2"/>
      <c r="E880" s="2"/>
      <c r="F880" s="2"/>
      <c r="G880" s="26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</row>
    <row r="881" spans="1:70" ht="14.25" customHeight="1" x14ac:dyDescent="0.25">
      <c r="A881" s="2"/>
      <c r="B881" s="2"/>
      <c r="C881" s="2"/>
      <c r="D881" s="2"/>
      <c r="E881" s="2"/>
      <c r="F881" s="2"/>
      <c r="G881" s="26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</row>
    <row r="882" spans="1:70" ht="14.25" customHeight="1" x14ac:dyDescent="0.25">
      <c r="A882" s="2"/>
      <c r="B882" s="2"/>
      <c r="C882" s="2"/>
      <c r="D882" s="2"/>
      <c r="E882" s="2"/>
      <c r="F882" s="2"/>
      <c r="G882" s="26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</row>
    <row r="883" spans="1:70" ht="14.25" customHeight="1" x14ac:dyDescent="0.25">
      <c r="A883" s="2"/>
      <c r="B883" s="2"/>
      <c r="C883" s="2"/>
      <c r="D883" s="2"/>
      <c r="E883" s="2"/>
      <c r="F883" s="2"/>
      <c r="G883" s="26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</row>
    <row r="884" spans="1:70" ht="14.25" customHeight="1" x14ac:dyDescent="0.25">
      <c r="A884" s="2"/>
      <c r="B884" s="2"/>
      <c r="C884" s="2"/>
      <c r="D884" s="2"/>
      <c r="E884" s="2"/>
      <c r="F884" s="2"/>
      <c r="G884" s="26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</row>
    <row r="885" spans="1:70" ht="14.25" customHeight="1" x14ac:dyDescent="0.25">
      <c r="A885" s="2"/>
      <c r="B885" s="2"/>
      <c r="C885" s="2"/>
      <c r="D885" s="2"/>
      <c r="E885" s="2"/>
      <c r="F885" s="2"/>
      <c r="G885" s="26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</row>
    <row r="886" spans="1:70" ht="14.25" customHeight="1" x14ac:dyDescent="0.25">
      <c r="A886" s="2"/>
      <c r="B886" s="2"/>
      <c r="C886" s="2"/>
      <c r="D886" s="2"/>
      <c r="E886" s="2"/>
      <c r="F886" s="2"/>
      <c r="G886" s="26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</row>
    <row r="887" spans="1:70" ht="14.25" customHeight="1" x14ac:dyDescent="0.25">
      <c r="A887" s="2"/>
      <c r="B887" s="2"/>
      <c r="C887" s="2"/>
      <c r="D887" s="2"/>
      <c r="E887" s="2"/>
      <c r="F887" s="2"/>
      <c r="G887" s="26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</row>
    <row r="888" spans="1:70" ht="14.25" customHeight="1" x14ac:dyDescent="0.25">
      <c r="A888" s="2"/>
      <c r="B888" s="2"/>
      <c r="C888" s="2"/>
      <c r="D888" s="2"/>
      <c r="E888" s="2"/>
      <c r="F888" s="2"/>
      <c r="G888" s="26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</row>
    <row r="889" spans="1:70" ht="14.25" customHeight="1" x14ac:dyDescent="0.25">
      <c r="A889" s="2"/>
      <c r="B889" s="2"/>
      <c r="C889" s="2"/>
      <c r="D889" s="2"/>
      <c r="E889" s="2"/>
      <c r="F889" s="2"/>
      <c r="G889" s="26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</row>
    <row r="890" spans="1:70" ht="14.25" customHeight="1" x14ac:dyDescent="0.25">
      <c r="A890" s="2"/>
      <c r="B890" s="2"/>
      <c r="C890" s="2"/>
      <c r="D890" s="2"/>
      <c r="E890" s="2"/>
      <c r="F890" s="2"/>
      <c r="G890" s="26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</row>
    <row r="891" spans="1:70" ht="14.25" customHeight="1" x14ac:dyDescent="0.25">
      <c r="A891" s="2"/>
      <c r="B891" s="2"/>
      <c r="C891" s="2"/>
      <c r="D891" s="2"/>
      <c r="E891" s="2"/>
      <c r="F891" s="2"/>
      <c r="G891" s="26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</row>
    <row r="892" spans="1:70" ht="14.25" customHeight="1" x14ac:dyDescent="0.25">
      <c r="A892" s="2"/>
      <c r="B892" s="2"/>
      <c r="C892" s="2"/>
      <c r="D892" s="2"/>
      <c r="E892" s="2"/>
      <c r="F892" s="2"/>
      <c r="G892" s="26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</row>
    <row r="893" spans="1:70" ht="14.25" customHeight="1" x14ac:dyDescent="0.25">
      <c r="A893" s="2"/>
      <c r="B893" s="2"/>
      <c r="C893" s="2"/>
      <c r="D893" s="2"/>
      <c r="E893" s="2"/>
      <c r="F893" s="2"/>
      <c r="G893" s="26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</row>
    <row r="894" spans="1:70" ht="14.25" customHeight="1" x14ac:dyDescent="0.25">
      <c r="A894" s="2"/>
      <c r="B894" s="2"/>
      <c r="C894" s="2"/>
      <c r="D894" s="2"/>
      <c r="E894" s="2"/>
      <c r="F894" s="2"/>
      <c r="G894" s="26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</row>
    <row r="895" spans="1:70" ht="14.25" customHeight="1" x14ac:dyDescent="0.25">
      <c r="A895" s="2"/>
      <c r="B895" s="2"/>
      <c r="C895" s="2"/>
      <c r="D895" s="2"/>
      <c r="E895" s="2"/>
      <c r="F895" s="2"/>
      <c r="G895" s="26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</row>
    <row r="896" spans="1:70" ht="14.25" customHeight="1" x14ac:dyDescent="0.25">
      <c r="A896" s="2"/>
      <c r="B896" s="2"/>
      <c r="C896" s="2"/>
      <c r="D896" s="2"/>
      <c r="E896" s="2"/>
      <c r="F896" s="2"/>
      <c r="G896" s="26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</row>
    <row r="897" spans="1:70" ht="14.25" customHeight="1" x14ac:dyDescent="0.25">
      <c r="A897" s="2"/>
      <c r="B897" s="2"/>
      <c r="C897" s="2"/>
      <c r="D897" s="2"/>
      <c r="E897" s="2"/>
      <c r="F897" s="2"/>
      <c r="G897" s="26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</row>
    <row r="898" spans="1:70" ht="14.25" customHeight="1" x14ac:dyDescent="0.25">
      <c r="A898" s="2"/>
      <c r="B898" s="2"/>
      <c r="C898" s="2"/>
      <c r="D898" s="2"/>
      <c r="E898" s="2"/>
      <c r="F898" s="2"/>
      <c r="G898" s="26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</row>
    <row r="899" spans="1:70" ht="14.25" customHeight="1" x14ac:dyDescent="0.25">
      <c r="A899" s="2"/>
      <c r="B899" s="2"/>
      <c r="C899" s="2"/>
      <c r="D899" s="2"/>
      <c r="E899" s="2"/>
      <c r="F899" s="2"/>
      <c r="G899" s="26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</row>
    <row r="900" spans="1:70" ht="14.25" customHeight="1" x14ac:dyDescent="0.25">
      <c r="A900" s="2"/>
      <c r="B900" s="2"/>
      <c r="C900" s="2"/>
      <c r="D900" s="2"/>
      <c r="E900" s="2"/>
      <c r="F900" s="2"/>
      <c r="G900" s="26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</row>
    <row r="901" spans="1:70" ht="14.25" customHeight="1" x14ac:dyDescent="0.25">
      <c r="A901" s="2"/>
      <c r="B901" s="2"/>
      <c r="C901" s="2"/>
      <c r="D901" s="2"/>
      <c r="E901" s="2"/>
      <c r="F901" s="2"/>
      <c r="G901" s="26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</row>
    <row r="902" spans="1:70" ht="14.25" customHeight="1" x14ac:dyDescent="0.25">
      <c r="A902" s="2"/>
      <c r="B902" s="2"/>
      <c r="C902" s="2"/>
      <c r="D902" s="2"/>
      <c r="E902" s="2"/>
      <c r="F902" s="2"/>
      <c r="G902" s="26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</row>
    <row r="903" spans="1:70" ht="14.25" customHeight="1" x14ac:dyDescent="0.25">
      <c r="A903" s="2"/>
      <c r="B903" s="2"/>
      <c r="C903" s="2"/>
      <c r="D903" s="2"/>
      <c r="E903" s="2"/>
      <c r="F903" s="2"/>
      <c r="G903" s="26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</row>
    <row r="904" spans="1:70" ht="14.25" customHeight="1" x14ac:dyDescent="0.25">
      <c r="A904" s="2"/>
      <c r="B904" s="2"/>
      <c r="C904" s="2"/>
      <c r="D904" s="2"/>
      <c r="E904" s="2"/>
      <c r="F904" s="2"/>
      <c r="G904" s="26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</row>
    <row r="905" spans="1:70" ht="14.25" customHeight="1" x14ac:dyDescent="0.25">
      <c r="A905" s="2"/>
      <c r="B905" s="2"/>
      <c r="C905" s="2"/>
      <c r="D905" s="2"/>
      <c r="E905" s="2"/>
      <c r="F905" s="2"/>
      <c r="G905" s="26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</row>
    <row r="906" spans="1:70" ht="14.25" customHeight="1" x14ac:dyDescent="0.25">
      <c r="A906" s="2"/>
      <c r="B906" s="2"/>
      <c r="C906" s="2"/>
      <c r="D906" s="2"/>
      <c r="E906" s="2"/>
      <c r="F906" s="2"/>
      <c r="G906" s="26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</row>
    <row r="907" spans="1:70" ht="14.25" customHeight="1" x14ac:dyDescent="0.25">
      <c r="A907" s="2"/>
      <c r="B907" s="2"/>
      <c r="C907" s="2"/>
      <c r="D907" s="2"/>
      <c r="E907" s="2"/>
      <c r="F907" s="2"/>
      <c r="G907" s="26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</row>
    <row r="908" spans="1:70" ht="14.25" customHeight="1" x14ac:dyDescent="0.25">
      <c r="A908" s="2"/>
      <c r="B908" s="2"/>
      <c r="C908" s="2"/>
      <c r="D908" s="2"/>
      <c r="E908" s="2"/>
      <c r="F908" s="2"/>
      <c r="G908" s="26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</row>
    <row r="909" spans="1:70" ht="14.25" customHeight="1" x14ac:dyDescent="0.25">
      <c r="A909" s="2"/>
      <c r="B909" s="2"/>
      <c r="C909" s="2"/>
      <c r="D909" s="2"/>
      <c r="E909" s="2"/>
      <c r="F909" s="2"/>
      <c r="G909" s="26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</row>
    <row r="910" spans="1:70" ht="14.25" customHeight="1" x14ac:dyDescent="0.25">
      <c r="A910" s="2"/>
      <c r="B910" s="2"/>
      <c r="C910" s="2"/>
      <c r="D910" s="2"/>
      <c r="E910" s="2"/>
      <c r="F910" s="2"/>
      <c r="G910" s="26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</row>
    <row r="911" spans="1:70" ht="14.25" customHeight="1" x14ac:dyDescent="0.25">
      <c r="A911" s="2"/>
      <c r="B911" s="2"/>
      <c r="C911" s="2"/>
      <c r="D911" s="2"/>
      <c r="E911" s="2"/>
      <c r="F911" s="2"/>
      <c r="G911" s="26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</row>
    <row r="912" spans="1:70" ht="14.25" customHeight="1" x14ac:dyDescent="0.25">
      <c r="A912" s="2"/>
      <c r="B912" s="2"/>
      <c r="C912" s="2"/>
      <c r="D912" s="2"/>
      <c r="E912" s="2"/>
      <c r="F912" s="2"/>
      <c r="G912" s="26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</row>
    <row r="913" spans="1:70" ht="14.25" customHeight="1" x14ac:dyDescent="0.25">
      <c r="A913" s="2"/>
      <c r="B913" s="2"/>
      <c r="C913" s="2"/>
      <c r="D913" s="2"/>
      <c r="E913" s="2"/>
      <c r="F913" s="2"/>
      <c r="G913" s="26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</row>
    <row r="914" spans="1:70" ht="14.25" customHeight="1" x14ac:dyDescent="0.25">
      <c r="A914" s="2"/>
      <c r="B914" s="2"/>
      <c r="C914" s="2"/>
      <c r="D914" s="2"/>
      <c r="E914" s="2"/>
      <c r="F914" s="2"/>
      <c r="G914" s="26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</row>
    <row r="915" spans="1:70" ht="14.25" customHeight="1" x14ac:dyDescent="0.25">
      <c r="A915" s="2"/>
      <c r="B915" s="2"/>
      <c r="C915" s="2"/>
      <c r="D915" s="2"/>
      <c r="E915" s="2"/>
      <c r="F915" s="2"/>
      <c r="G915" s="26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</row>
    <row r="916" spans="1:70" ht="14.25" customHeight="1" x14ac:dyDescent="0.25">
      <c r="A916" s="2"/>
      <c r="B916" s="2"/>
      <c r="C916" s="2"/>
      <c r="D916" s="2"/>
      <c r="E916" s="2"/>
      <c r="F916" s="2"/>
      <c r="G916" s="26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</row>
    <row r="917" spans="1:70" ht="14.25" customHeight="1" x14ac:dyDescent="0.25">
      <c r="A917" s="2"/>
      <c r="B917" s="2"/>
      <c r="C917" s="2"/>
      <c r="D917" s="2"/>
      <c r="E917" s="2"/>
      <c r="F917" s="2"/>
      <c r="G917" s="26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</row>
    <row r="918" spans="1:70" ht="14.25" customHeight="1" x14ac:dyDescent="0.25">
      <c r="A918" s="2"/>
      <c r="B918" s="2"/>
      <c r="C918" s="2"/>
      <c r="D918" s="2"/>
      <c r="E918" s="2"/>
      <c r="F918" s="2"/>
      <c r="G918" s="26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</row>
    <row r="919" spans="1:70" ht="14.25" customHeight="1" x14ac:dyDescent="0.25">
      <c r="A919" s="2"/>
      <c r="B919" s="2"/>
      <c r="C919" s="2"/>
      <c r="D919" s="2"/>
      <c r="E919" s="2"/>
      <c r="F919" s="2"/>
      <c r="G919" s="26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</row>
    <row r="920" spans="1:70" ht="14.25" customHeight="1" x14ac:dyDescent="0.25">
      <c r="A920" s="2"/>
      <c r="B920" s="2"/>
      <c r="C920" s="2"/>
      <c r="D920" s="2"/>
      <c r="E920" s="2"/>
      <c r="F920" s="2"/>
      <c r="G920" s="26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</row>
    <row r="921" spans="1:70" ht="14.25" customHeight="1" x14ac:dyDescent="0.25">
      <c r="A921" s="2"/>
      <c r="B921" s="2"/>
      <c r="C921" s="2"/>
      <c r="D921" s="2"/>
      <c r="E921" s="2"/>
      <c r="F921" s="2"/>
      <c r="G921" s="26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</row>
    <row r="922" spans="1:70" ht="14.25" customHeight="1" x14ac:dyDescent="0.25">
      <c r="A922" s="2"/>
      <c r="B922" s="2"/>
      <c r="C922" s="2"/>
      <c r="D922" s="2"/>
      <c r="E922" s="2"/>
      <c r="F922" s="2"/>
      <c r="G922" s="26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</row>
    <row r="923" spans="1:70" ht="14.25" customHeight="1" x14ac:dyDescent="0.25">
      <c r="A923" s="2"/>
      <c r="B923" s="2"/>
      <c r="C923" s="2"/>
      <c r="D923" s="2"/>
      <c r="E923" s="2"/>
      <c r="F923" s="2"/>
      <c r="G923" s="26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</row>
    <row r="924" spans="1:70" ht="14.25" customHeight="1" x14ac:dyDescent="0.25">
      <c r="A924" s="2"/>
      <c r="B924" s="2"/>
      <c r="C924" s="2"/>
      <c r="D924" s="2"/>
      <c r="E924" s="2"/>
      <c r="F924" s="2"/>
      <c r="G924" s="26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</row>
    <row r="925" spans="1:70" ht="14.25" customHeight="1" x14ac:dyDescent="0.25">
      <c r="A925" s="2"/>
      <c r="B925" s="2"/>
      <c r="C925" s="2"/>
      <c r="D925" s="2"/>
      <c r="E925" s="2"/>
      <c r="F925" s="2"/>
      <c r="G925" s="26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</row>
    <row r="926" spans="1:70" ht="14.25" customHeight="1" x14ac:dyDescent="0.25">
      <c r="A926" s="2"/>
      <c r="B926" s="2"/>
      <c r="C926" s="2"/>
      <c r="D926" s="2"/>
      <c r="E926" s="2"/>
      <c r="F926" s="2"/>
      <c r="G926" s="26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</row>
    <row r="927" spans="1:70" ht="14.25" customHeight="1" x14ac:dyDescent="0.25">
      <c r="A927" s="2"/>
      <c r="B927" s="2"/>
      <c r="C927" s="2"/>
      <c r="D927" s="2"/>
      <c r="E927" s="2"/>
      <c r="F927" s="2"/>
      <c r="G927" s="26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</row>
    <row r="928" spans="1:70" ht="14.25" customHeight="1" x14ac:dyDescent="0.25">
      <c r="A928" s="2"/>
      <c r="B928" s="2"/>
      <c r="C928" s="2"/>
      <c r="D928" s="2"/>
      <c r="E928" s="2"/>
      <c r="F928" s="2"/>
      <c r="G928" s="26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</row>
    <row r="929" spans="1:70" ht="14.25" customHeight="1" x14ac:dyDescent="0.25">
      <c r="A929" s="2"/>
      <c r="B929" s="2"/>
      <c r="C929" s="2"/>
      <c r="D929" s="2"/>
      <c r="E929" s="2"/>
      <c r="F929" s="2"/>
      <c r="G929" s="26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</row>
    <row r="930" spans="1:70" ht="14.25" customHeight="1" x14ac:dyDescent="0.25">
      <c r="A930" s="2"/>
      <c r="B930" s="2"/>
      <c r="C930" s="2"/>
      <c r="D930" s="2"/>
      <c r="E930" s="2"/>
      <c r="F930" s="2"/>
      <c r="G930" s="26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</row>
    <row r="931" spans="1:70" ht="14.25" customHeight="1" x14ac:dyDescent="0.25">
      <c r="A931" s="2"/>
      <c r="B931" s="2"/>
      <c r="C931" s="2"/>
      <c r="D931" s="2"/>
      <c r="E931" s="2"/>
      <c r="F931" s="2"/>
      <c r="G931" s="26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</row>
    <row r="932" spans="1:70" ht="14.25" customHeight="1" x14ac:dyDescent="0.25">
      <c r="A932" s="2"/>
      <c r="B932" s="2"/>
      <c r="C932" s="2"/>
      <c r="D932" s="2"/>
      <c r="E932" s="2"/>
      <c r="F932" s="2"/>
      <c r="G932" s="26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</row>
    <row r="933" spans="1:70" ht="14.25" customHeight="1" x14ac:dyDescent="0.25">
      <c r="A933" s="2"/>
      <c r="B933" s="2"/>
      <c r="C933" s="2"/>
      <c r="D933" s="2"/>
      <c r="E933" s="2"/>
      <c r="F933" s="2"/>
      <c r="G933" s="26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</row>
    <row r="934" spans="1:70" ht="14.25" customHeight="1" x14ac:dyDescent="0.25">
      <c r="A934" s="2"/>
      <c r="B934" s="2"/>
      <c r="C934" s="2"/>
      <c r="D934" s="2"/>
      <c r="E934" s="2"/>
      <c r="F934" s="2"/>
      <c r="G934" s="26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</row>
    <row r="935" spans="1:70" ht="14.25" customHeight="1" x14ac:dyDescent="0.25">
      <c r="A935" s="2"/>
      <c r="B935" s="2"/>
      <c r="C935" s="2"/>
      <c r="D935" s="2"/>
      <c r="E935" s="2"/>
      <c r="F935" s="2"/>
      <c r="G935" s="26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</row>
    <row r="936" spans="1:70" ht="14.25" customHeight="1" x14ac:dyDescent="0.25">
      <c r="A936" s="2"/>
      <c r="B936" s="2"/>
      <c r="C936" s="2"/>
      <c r="D936" s="2"/>
      <c r="E936" s="2"/>
      <c r="F936" s="2"/>
      <c r="G936" s="26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</row>
    <row r="937" spans="1:70" ht="14.25" customHeight="1" x14ac:dyDescent="0.25">
      <c r="A937" s="2"/>
      <c r="B937" s="2"/>
      <c r="C937" s="2"/>
      <c r="D937" s="2"/>
      <c r="E937" s="2"/>
      <c r="F937" s="2"/>
      <c r="G937" s="26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</row>
    <row r="938" spans="1:70" ht="14.25" customHeight="1" x14ac:dyDescent="0.25">
      <c r="A938" s="2"/>
      <c r="B938" s="2"/>
      <c r="C938" s="2"/>
      <c r="D938" s="2"/>
      <c r="E938" s="2"/>
      <c r="F938" s="2"/>
      <c r="G938" s="26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</row>
    <row r="939" spans="1:70" ht="14.25" customHeight="1" x14ac:dyDescent="0.25">
      <c r="A939" s="2"/>
      <c r="B939" s="2"/>
      <c r="C939" s="2"/>
      <c r="D939" s="2"/>
      <c r="E939" s="2"/>
      <c r="F939" s="2"/>
      <c r="G939" s="26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</row>
    <row r="940" spans="1:70" ht="14.25" customHeight="1" x14ac:dyDescent="0.25">
      <c r="A940" s="2"/>
      <c r="B940" s="2"/>
      <c r="C940" s="2"/>
      <c r="D940" s="2"/>
      <c r="E940" s="2"/>
      <c r="F940" s="2"/>
      <c r="G940" s="26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</row>
    <row r="941" spans="1:70" ht="14.25" customHeight="1" x14ac:dyDescent="0.25">
      <c r="A941" s="2"/>
      <c r="B941" s="2"/>
      <c r="C941" s="2"/>
      <c r="D941" s="2"/>
      <c r="E941" s="2"/>
      <c r="F941" s="2"/>
      <c r="G941" s="26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</row>
    <row r="942" spans="1:70" ht="14.25" customHeight="1" x14ac:dyDescent="0.25">
      <c r="A942" s="2"/>
      <c r="B942" s="2"/>
      <c r="C942" s="2"/>
      <c r="D942" s="2"/>
      <c r="E942" s="2"/>
      <c r="F942" s="2"/>
      <c r="G942" s="26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</row>
    <row r="943" spans="1:70" ht="14.25" customHeight="1" x14ac:dyDescent="0.25">
      <c r="A943" s="2"/>
      <c r="B943" s="2"/>
      <c r="C943" s="2"/>
      <c r="D943" s="2"/>
      <c r="E943" s="2"/>
      <c r="F943" s="2"/>
      <c r="G943" s="26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</row>
    <row r="944" spans="1:70" ht="14.25" customHeight="1" x14ac:dyDescent="0.25">
      <c r="A944" s="2"/>
      <c r="B944" s="2"/>
      <c r="C944" s="2"/>
      <c r="D944" s="2"/>
      <c r="E944" s="2"/>
      <c r="F944" s="2"/>
      <c r="G944" s="26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</row>
    <row r="945" spans="1:70" ht="14.25" customHeight="1" x14ac:dyDescent="0.25">
      <c r="A945" s="2"/>
      <c r="B945" s="2"/>
      <c r="C945" s="2"/>
      <c r="D945" s="2"/>
      <c r="E945" s="2"/>
      <c r="F945" s="2"/>
      <c r="G945" s="26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</row>
    <row r="946" spans="1:70" ht="14.25" customHeight="1" x14ac:dyDescent="0.25">
      <c r="A946" s="2"/>
      <c r="B946" s="2"/>
      <c r="C946" s="2"/>
      <c r="D946" s="2"/>
      <c r="E946" s="2"/>
      <c r="F946" s="2"/>
      <c r="G946" s="26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</row>
    <row r="947" spans="1:70" ht="14.25" customHeight="1" x14ac:dyDescent="0.25">
      <c r="A947" s="2"/>
      <c r="B947" s="2"/>
      <c r="C947" s="2"/>
      <c r="D947" s="2"/>
      <c r="E947" s="2"/>
      <c r="F947" s="2"/>
      <c r="G947" s="26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</row>
    <row r="948" spans="1:70" ht="14.25" customHeight="1" x14ac:dyDescent="0.25">
      <c r="A948" s="2"/>
      <c r="B948" s="2"/>
      <c r="C948" s="2"/>
      <c r="D948" s="2"/>
      <c r="E948" s="2"/>
      <c r="F948" s="2"/>
      <c r="G948" s="26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</row>
    <row r="949" spans="1:70" ht="14.25" customHeight="1" x14ac:dyDescent="0.25">
      <c r="A949" s="2"/>
      <c r="B949" s="2"/>
      <c r="C949" s="2"/>
      <c r="D949" s="2"/>
      <c r="E949" s="2"/>
      <c r="F949" s="2"/>
      <c r="G949" s="26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</row>
    <row r="950" spans="1:70" ht="14.25" customHeight="1" x14ac:dyDescent="0.25">
      <c r="A950" s="2"/>
      <c r="B950" s="2"/>
      <c r="C950" s="2"/>
      <c r="D950" s="2"/>
      <c r="E950" s="2"/>
      <c r="F950" s="2"/>
      <c r="G950" s="26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</row>
    <row r="951" spans="1:70" ht="14.25" customHeight="1" x14ac:dyDescent="0.25">
      <c r="A951" s="2"/>
      <c r="B951" s="2"/>
      <c r="C951" s="2"/>
      <c r="D951" s="2"/>
      <c r="E951" s="2"/>
      <c r="F951" s="2"/>
      <c r="G951" s="26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</row>
    <row r="952" spans="1:70" ht="14.25" customHeight="1" x14ac:dyDescent="0.25">
      <c r="A952" s="2"/>
      <c r="B952" s="2"/>
      <c r="C952" s="2"/>
      <c r="D952" s="2"/>
      <c r="E952" s="2"/>
      <c r="F952" s="2"/>
      <c r="G952" s="26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</row>
    <row r="953" spans="1:70" ht="14.25" customHeight="1" x14ac:dyDescent="0.25">
      <c r="A953" s="2"/>
      <c r="B953" s="2"/>
      <c r="C953" s="2"/>
      <c r="D953" s="2"/>
      <c r="E953" s="2"/>
      <c r="F953" s="2"/>
      <c r="G953" s="26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</row>
    <row r="954" spans="1:70" ht="14.25" customHeight="1" x14ac:dyDescent="0.25">
      <c r="A954" s="2"/>
      <c r="B954" s="2"/>
      <c r="C954" s="2"/>
      <c r="D954" s="2"/>
      <c r="E954" s="2"/>
      <c r="F954" s="2"/>
      <c r="G954" s="26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</row>
    <row r="955" spans="1:70" ht="14.25" customHeight="1" x14ac:dyDescent="0.25">
      <c r="A955" s="2"/>
      <c r="B955" s="2"/>
      <c r="C955" s="2"/>
      <c r="D955" s="2"/>
      <c r="E955" s="2"/>
      <c r="F955" s="2"/>
      <c r="G955" s="26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</row>
    <row r="956" spans="1:70" ht="14.25" customHeight="1" x14ac:dyDescent="0.25">
      <c r="A956" s="2"/>
      <c r="B956" s="2"/>
      <c r="C956" s="2"/>
      <c r="D956" s="2"/>
      <c r="E956" s="2"/>
      <c r="F956" s="2"/>
      <c r="G956" s="26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</row>
    <row r="957" spans="1:70" ht="14.25" customHeight="1" x14ac:dyDescent="0.25">
      <c r="A957" s="2"/>
      <c r="B957" s="2"/>
      <c r="C957" s="2"/>
      <c r="D957" s="2"/>
      <c r="E957" s="2"/>
      <c r="F957" s="2"/>
      <c r="G957" s="26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</row>
    <row r="958" spans="1:70" ht="14.25" customHeight="1" x14ac:dyDescent="0.25">
      <c r="A958" s="2"/>
      <c r="B958" s="2"/>
      <c r="C958" s="2"/>
      <c r="D958" s="2"/>
      <c r="E958" s="2"/>
      <c r="F958" s="2"/>
      <c r="G958" s="26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</row>
    <row r="959" spans="1:70" ht="14.25" customHeight="1" x14ac:dyDescent="0.25">
      <c r="A959" s="2"/>
      <c r="B959" s="2"/>
      <c r="C959" s="2"/>
      <c r="D959" s="2"/>
      <c r="E959" s="2"/>
      <c r="F959" s="2"/>
      <c r="G959" s="26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</row>
    <row r="960" spans="1:70" ht="14.25" customHeight="1" x14ac:dyDescent="0.25">
      <c r="A960" s="2"/>
      <c r="B960" s="2"/>
      <c r="C960" s="2"/>
      <c r="D960" s="2"/>
      <c r="E960" s="2"/>
      <c r="F960" s="2"/>
      <c r="G960" s="26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</row>
    <row r="961" spans="1:70" ht="14.25" customHeight="1" x14ac:dyDescent="0.25">
      <c r="A961" s="2"/>
      <c r="B961" s="2"/>
      <c r="C961" s="2"/>
      <c r="D961" s="2"/>
      <c r="E961" s="2"/>
      <c r="F961" s="2"/>
      <c r="G961" s="26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</row>
    <row r="962" spans="1:70" ht="14.25" customHeight="1" x14ac:dyDescent="0.25">
      <c r="A962" s="2"/>
      <c r="B962" s="2"/>
      <c r="C962" s="2"/>
      <c r="D962" s="2"/>
      <c r="E962" s="2"/>
      <c r="F962" s="2"/>
      <c r="G962" s="26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</row>
    <row r="963" spans="1:70" ht="14.25" customHeight="1" x14ac:dyDescent="0.25">
      <c r="A963" s="2"/>
      <c r="B963" s="2"/>
      <c r="C963" s="2"/>
      <c r="D963" s="2"/>
      <c r="E963" s="2"/>
      <c r="F963" s="2"/>
      <c r="G963" s="26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</row>
    <row r="964" spans="1:70" ht="14.25" customHeight="1" x14ac:dyDescent="0.25">
      <c r="A964" s="2"/>
      <c r="B964" s="2"/>
      <c r="C964" s="2"/>
      <c r="D964" s="2"/>
      <c r="E964" s="2"/>
      <c r="F964" s="2"/>
      <c r="G964" s="26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</row>
    <row r="965" spans="1:70" ht="14.25" customHeight="1" x14ac:dyDescent="0.25">
      <c r="A965" s="2"/>
      <c r="B965" s="2"/>
      <c r="C965" s="2"/>
      <c r="D965" s="2"/>
      <c r="E965" s="2"/>
      <c r="F965" s="2"/>
      <c r="G965" s="26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</row>
    <row r="966" spans="1:70" ht="14.25" customHeight="1" x14ac:dyDescent="0.25">
      <c r="A966" s="2"/>
      <c r="B966" s="2"/>
      <c r="C966" s="2"/>
      <c r="D966" s="2"/>
      <c r="E966" s="2"/>
      <c r="F966" s="2"/>
      <c r="G966" s="26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</row>
    <row r="967" spans="1:70" ht="14.25" customHeight="1" x14ac:dyDescent="0.25">
      <c r="A967" s="2"/>
      <c r="B967" s="2"/>
      <c r="C967" s="2"/>
      <c r="D967" s="2"/>
      <c r="E967" s="2"/>
      <c r="F967" s="2"/>
      <c r="G967" s="26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</row>
    <row r="968" spans="1:70" ht="14.25" customHeight="1" x14ac:dyDescent="0.25">
      <c r="A968" s="2"/>
      <c r="B968" s="2"/>
      <c r="C968" s="2"/>
      <c r="D968" s="2"/>
      <c r="E968" s="2"/>
      <c r="F968" s="2"/>
      <c r="G968" s="26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</row>
    <row r="969" spans="1:70" ht="14.25" customHeight="1" x14ac:dyDescent="0.25">
      <c r="A969" s="2"/>
      <c r="B969" s="2"/>
      <c r="C969" s="2"/>
      <c r="D969" s="2"/>
      <c r="E969" s="2"/>
      <c r="F969" s="2"/>
      <c r="G969" s="26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</row>
    <row r="970" spans="1:70" ht="14.25" customHeight="1" x14ac:dyDescent="0.25">
      <c r="A970" s="2"/>
      <c r="B970" s="2"/>
      <c r="C970" s="2"/>
      <c r="D970" s="2"/>
      <c r="E970" s="2"/>
      <c r="F970" s="2"/>
      <c r="G970" s="26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</row>
    <row r="971" spans="1:70" ht="14.25" customHeight="1" x14ac:dyDescent="0.25">
      <c r="A971" s="2"/>
      <c r="B971" s="2"/>
      <c r="C971" s="2"/>
      <c r="D971" s="2"/>
      <c r="E971" s="2"/>
      <c r="F971" s="2"/>
      <c r="G971" s="26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</row>
    <row r="972" spans="1:70" ht="14.25" customHeight="1" x14ac:dyDescent="0.25">
      <c r="A972" s="2"/>
      <c r="B972" s="2"/>
      <c r="C972" s="2"/>
      <c r="D972" s="2"/>
      <c r="E972" s="2"/>
      <c r="F972" s="2"/>
      <c r="G972" s="26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</row>
    <row r="973" spans="1:70" ht="14.25" customHeight="1" x14ac:dyDescent="0.25">
      <c r="A973" s="2"/>
      <c r="B973" s="2"/>
      <c r="C973" s="2"/>
      <c r="D973" s="2"/>
      <c r="E973" s="2"/>
      <c r="F973" s="2"/>
      <c r="G973" s="26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</row>
    <row r="974" spans="1:70" ht="14.25" customHeight="1" x14ac:dyDescent="0.25">
      <c r="A974" s="2"/>
      <c r="B974" s="2"/>
      <c r="C974" s="2"/>
      <c r="D974" s="2"/>
      <c r="E974" s="2"/>
      <c r="F974" s="2"/>
      <c r="G974" s="26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</row>
    <row r="975" spans="1:70" ht="14.25" customHeight="1" x14ac:dyDescent="0.25">
      <c r="A975" s="2"/>
      <c r="B975" s="2"/>
      <c r="C975" s="2"/>
      <c r="D975" s="2"/>
      <c r="E975" s="2"/>
      <c r="F975" s="2"/>
      <c r="G975" s="26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</row>
    <row r="976" spans="1:70" ht="14.25" customHeight="1" x14ac:dyDescent="0.25">
      <c r="A976" s="2"/>
      <c r="B976" s="2"/>
      <c r="C976" s="2"/>
      <c r="D976" s="2"/>
      <c r="E976" s="2"/>
      <c r="F976" s="2"/>
      <c r="G976" s="26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</row>
    <row r="977" spans="1:70" ht="14.25" customHeight="1" x14ac:dyDescent="0.25">
      <c r="A977" s="2"/>
      <c r="B977" s="2"/>
      <c r="C977" s="2"/>
      <c r="D977" s="2"/>
      <c r="E977" s="2"/>
      <c r="F977" s="2"/>
      <c r="G977" s="26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</row>
    <row r="978" spans="1:70" ht="14.25" customHeight="1" x14ac:dyDescent="0.25">
      <c r="A978" s="2"/>
      <c r="B978" s="2"/>
      <c r="C978" s="2"/>
      <c r="D978" s="2"/>
      <c r="E978" s="2"/>
      <c r="F978" s="2"/>
      <c r="G978" s="26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</row>
    <row r="979" spans="1:70" ht="14.25" customHeight="1" x14ac:dyDescent="0.25">
      <c r="A979" s="2"/>
      <c r="B979" s="2"/>
      <c r="C979" s="2"/>
      <c r="D979" s="2"/>
      <c r="E979" s="2"/>
      <c r="F979" s="2"/>
      <c r="G979" s="26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</row>
    <row r="980" spans="1:70" ht="14.25" customHeight="1" x14ac:dyDescent="0.25">
      <c r="A980" s="2"/>
      <c r="B980" s="2"/>
      <c r="C980" s="2"/>
      <c r="D980" s="2"/>
      <c r="E980" s="2"/>
      <c r="F980" s="2"/>
      <c r="G980" s="26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</row>
    <row r="981" spans="1:70" ht="14.25" customHeight="1" x14ac:dyDescent="0.25">
      <c r="A981" s="2"/>
      <c r="B981" s="2"/>
      <c r="C981" s="2"/>
      <c r="D981" s="2"/>
      <c r="E981" s="2"/>
      <c r="F981" s="2"/>
      <c r="G981" s="26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</row>
    <row r="982" spans="1:70" ht="14.25" customHeight="1" x14ac:dyDescent="0.25">
      <c r="A982" s="2"/>
      <c r="B982" s="2"/>
      <c r="C982" s="2"/>
      <c r="D982" s="2"/>
      <c r="E982" s="2"/>
      <c r="F982" s="2"/>
      <c r="G982" s="26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</row>
    <row r="983" spans="1:70" ht="14.25" customHeight="1" x14ac:dyDescent="0.25">
      <c r="A983" s="2"/>
      <c r="B983" s="2"/>
      <c r="C983" s="2"/>
      <c r="D983" s="2"/>
      <c r="E983" s="2"/>
      <c r="F983" s="2"/>
      <c r="G983" s="26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</row>
    <row r="984" spans="1:70" ht="14.25" customHeight="1" x14ac:dyDescent="0.25">
      <c r="A984" s="2"/>
      <c r="B984" s="2"/>
      <c r="C984" s="2"/>
      <c r="D984" s="2"/>
      <c r="E984" s="2"/>
      <c r="F984" s="2"/>
      <c r="G984" s="26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</row>
    <row r="985" spans="1:70" ht="14.25" customHeight="1" x14ac:dyDescent="0.25">
      <c r="A985" s="2"/>
      <c r="B985" s="2"/>
      <c r="C985" s="2"/>
      <c r="D985" s="2"/>
      <c r="E985" s="2"/>
      <c r="F985" s="2"/>
      <c r="G985" s="26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</row>
    <row r="986" spans="1:70" ht="14.25" customHeight="1" x14ac:dyDescent="0.25">
      <c r="A986" s="2"/>
      <c r="B986" s="2"/>
      <c r="C986" s="2"/>
      <c r="D986" s="2"/>
      <c r="E986" s="2"/>
      <c r="F986" s="2"/>
      <c r="G986" s="26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</row>
    <row r="987" spans="1:70" ht="14.25" customHeight="1" x14ac:dyDescent="0.25">
      <c r="A987" s="2"/>
      <c r="B987" s="2"/>
      <c r="C987" s="2"/>
      <c r="D987" s="2"/>
      <c r="E987" s="2"/>
      <c r="F987" s="2"/>
      <c r="G987" s="26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</row>
    <row r="988" spans="1:70" ht="14.25" customHeight="1" x14ac:dyDescent="0.25">
      <c r="A988" s="2"/>
      <c r="B988" s="2"/>
      <c r="C988" s="2"/>
      <c r="D988" s="2"/>
      <c r="E988" s="2"/>
      <c r="F988" s="2"/>
      <c r="G988" s="26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</row>
    <row r="989" spans="1:70" ht="14.25" customHeight="1" x14ac:dyDescent="0.25">
      <c r="A989" s="2"/>
      <c r="B989" s="2"/>
      <c r="C989" s="2"/>
      <c r="D989" s="2"/>
      <c r="E989" s="2"/>
      <c r="F989" s="2"/>
      <c r="G989" s="26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</row>
    <row r="990" spans="1:70" ht="14.25" customHeight="1" x14ac:dyDescent="0.25">
      <c r="A990" s="2"/>
      <c r="B990" s="2"/>
      <c r="C990" s="2"/>
      <c r="D990" s="2"/>
      <c r="E990" s="2"/>
      <c r="F990" s="2"/>
      <c r="G990" s="26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</row>
    <row r="991" spans="1:70" ht="14.25" customHeight="1" x14ac:dyDescent="0.25">
      <c r="A991" s="2"/>
      <c r="B991" s="2"/>
      <c r="C991" s="2"/>
      <c r="D991" s="2"/>
      <c r="E991" s="2"/>
      <c r="F991" s="2"/>
      <c r="G991" s="26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</row>
    <row r="992" spans="1:70" ht="14.25" customHeight="1" x14ac:dyDescent="0.25">
      <c r="A992" s="2"/>
      <c r="B992" s="2"/>
      <c r="C992" s="2"/>
      <c r="D992" s="2"/>
      <c r="E992" s="2"/>
      <c r="F992" s="2"/>
      <c r="G992" s="26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</row>
    <row r="993" spans="1:70" ht="14.25" customHeight="1" x14ac:dyDescent="0.25">
      <c r="A993" s="2"/>
      <c r="B993" s="2"/>
      <c r="C993" s="2"/>
      <c r="D993" s="2"/>
      <c r="E993" s="2"/>
      <c r="F993" s="2"/>
      <c r="G993" s="26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</row>
    <row r="994" spans="1:70" ht="14.25" customHeight="1" x14ac:dyDescent="0.25">
      <c r="A994" s="2"/>
      <c r="B994" s="2"/>
      <c r="C994" s="2"/>
      <c r="D994" s="2"/>
      <c r="E994" s="2"/>
      <c r="F994" s="2"/>
      <c r="G994" s="26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</row>
    <row r="995" spans="1:70" ht="14.25" customHeight="1" x14ac:dyDescent="0.25">
      <c r="A995" s="2"/>
      <c r="B995" s="2"/>
      <c r="C995" s="2"/>
      <c r="D995" s="2"/>
      <c r="E995" s="2"/>
      <c r="F995" s="2"/>
      <c r="G995" s="26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</row>
    <row r="996" spans="1:70" ht="14.25" customHeight="1" x14ac:dyDescent="0.25">
      <c r="A996" s="2"/>
      <c r="B996" s="2"/>
      <c r="C996" s="2"/>
      <c r="D996" s="2"/>
      <c r="E996" s="2"/>
      <c r="F996" s="2"/>
      <c r="G996" s="26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</row>
    <row r="997" spans="1:70" ht="14.25" customHeight="1" x14ac:dyDescent="0.25">
      <c r="A997" s="2"/>
      <c r="B997" s="2"/>
      <c r="C997" s="2"/>
      <c r="D997" s="2"/>
      <c r="E997" s="2"/>
      <c r="F997" s="2"/>
      <c r="G997" s="26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</row>
    <row r="998" spans="1:70" ht="14.25" customHeight="1" x14ac:dyDescent="0.25">
      <c r="A998" s="2"/>
      <c r="B998" s="2"/>
      <c r="C998" s="2"/>
      <c r="D998" s="2"/>
      <c r="E998" s="2"/>
      <c r="F998" s="2"/>
      <c r="G998" s="26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</row>
    <row r="999" spans="1:70" ht="14.25" customHeight="1" x14ac:dyDescent="0.25">
      <c r="A999" s="2"/>
      <c r="B999" s="2"/>
      <c r="C999" s="2"/>
      <c r="D999" s="2"/>
      <c r="E999" s="2"/>
      <c r="F999" s="2"/>
      <c r="G999" s="26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</row>
    <row r="1000" spans="1:70" ht="14.25" customHeight="1" x14ac:dyDescent="0.25">
      <c r="A1000" s="2"/>
      <c r="B1000" s="2"/>
      <c r="C1000" s="2"/>
      <c r="D1000" s="2"/>
      <c r="E1000" s="2"/>
      <c r="F1000" s="2"/>
      <c r="G1000" s="26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</row>
    <row r="1001" spans="1:70" ht="14.25" customHeight="1" x14ac:dyDescent="0.25">
      <c r="A1001" s="2"/>
      <c r="B1001" s="2"/>
      <c r="C1001" s="2"/>
      <c r="D1001" s="2"/>
      <c r="E1001" s="2"/>
      <c r="F1001" s="2"/>
      <c r="G1001" s="266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</row>
    <row r="1002" spans="1:70" ht="14.25" customHeight="1" x14ac:dyDescent="0.25">
      <c r="A1002" s="2"/>
      <c r="B1002" s="2"/>
      <c r="C1002" s="2"/>
      <c r="D1002" s="2"/>
      <c r="E1002" s="2"/>
      <c r="F1002" s="2"/>
      <c r="G1002" s="266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</row>
    <row r="1003" spans="1:70" ht="14.25" customHeight="1" x14ac:dyDescent="0.25">
      <c r="A1003" s="2"/>
      <c r="B1003" s="2"/>
      <c r="C1003" s="2"/>
      <c r="D1003" s="2"/>
      <c r="E1003" s="2"/>
      <c r="F1003" s="2"/>
      <c r="G1003" s="266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</row>
    <row r="1004" spans="1:70" ht="14.25" customHeight="1" x14ac:dyDescent="0.25">
      <c r="A1004" s="2"/>
      <c r="B1004" s="2"/>
      <c r="C1004" s="2"/>
      <c r="D1004" s="2"/>
      <c r="E1004" s="2"/>
      <c r="F1004" s="2"/>
      <c r="G1004" s="266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</row>
  </sheetData>
  <mergeCells count="2">
    <mergeCell ref="A1:A3"/>
    <mergeCell ref="AV2:AX2"/>
  </mergeCells>
  <conditionalFormatting sqref="AV3:AX3">
    <cfRule type="cellIs" dxfId="39" priority="1" operator="equal">
      <formula>#REF!</formula>
    </cfRule>
  </conditionalFormatting>
  <conditionalFormatting sqref="AV3:AX3">
    <cfRule type="cellIs" dxfId="38" priority="2" operator="equal">
      <formula>#REF!</formula>
    </cfRule>
  </conditionalFormatting>
  <conditionalFormatting sqref="AV3:AX3">
    <cfRule type="cellIs" dxfId="37" priority="3" operator="equal">
      <formula>#REF!</formula>
    </cfRule>
  </conditionalFormatting>
  <conditionalFormatting sqref="AV3:AX3">
    <cfRule type="cellIs" dxfId="36" priority="4" operator="equal">
      <formula>#REF!</formula>
    </cfRule>
  </conditionalFormatting>
  <conditionalFormatting sqref="AT4:AU4">
    <cfRule type="cellIs" dxfId="35" priority="5" operator="equal">
      <formula>#REF!</formula>
    </cfRule>
  </conditionalFormatting>
  <conditionalFormatting sqref="AT4:AU4">
    <cfRule type="cellIs" dxfId="34" priority="6" operator="equal">
      <formula>#REF!</formula>
    </cfRule>
  </conditionalFormatting>
  <conditionalFormatting sqref="AT4:AU4">
    <cfRule type="cellIs" dxfId="33" priority="7" operator="equal">
      <formula>#REF!</formula>
    </cfRule>
  </conditionalFormatting>
  <conditionalFormatting sqref="AT4:AU4">
    <cfRule type="cellIs" dxfId="32" priority="8" operator="equal">
      <formula>#REF!</formula>
    </cfRule>
  </conditionalFormatting>
  <conditionalFormatting sqref="AT4:AU4">
    <cfRule type="cellIs" dxfId="31" priority="9" operator="equal">
      <formula>#REF!</formula>
    </cfRule>
  </conditionalFormatting>
  <conditionalFormatting sqref="AT4:AU4">
    <cfRule type="cellIs" dxfId="30" priority="10" operator="equal">
      <formula>#REF!</formula>
    </cfRule>
  </conditionalFormatting>
  <conditionalFormatting sqref="AT4:AU4">
    <cfRule type="cellIs" dxfId="29" priority="11" operator="equal">
      <formula>#REF!</formula>
    </cfRule>
  </conditionalFormatting>
  <conditionalFormatting sqref="AT4:AU4">
    <cfRule type="cellIs" dxfId="28" priority="12" operator="equal">
      <formula>#REF!</formula>
    </cfRule>
  </conditionalFormatting>
  <conditionalFormatting sqref="D3:AU3">
    <cfRule type="cellIs" dxfId="27" priority="13" operator="equal">
      <formula>#REF!</formula>
    </cfRule>
  </conditionalFormatting>
  <conditionalFormatting sqref="D3:AU3">
    <cfRule type="cellIs" dxfId="26" priority="14" operator="equal">
      <formula>#REF!</formula>
    </cfRule>
  </conditionalFormatting>
  <conditionalFormatting sqref="D3:AU3">
    <cfRule type="cellIs" dxfId="25" priority="15" operator="equal">
      <formula>#REF!</formula>
    </cfRule>
  </conditionalFormatting>
  <conditionalFormatting sqref="D3:AU3">
    <cfRule type="cellIs" dxfId="24" priority="16" operator="equal">
      <formula>#REF!</formula>
    </cfRule>
  </conditionalFormatting>
  <pageMargins left="0.7" right="0.7" top="0.75" bottom="0.75" header="0" footer="0"/>
  <pageSetup paperSize="3" orientation="landscape"/>
  <headerFooter>
    <oddHeader>&amp;C000000OVERALL DRAW</oddHeader>
    <oddFooter>&amp;C000000PAGE &amp;P OF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6923C"/>
    <pageSetUpPr fitToPage="1"/>
  </sheetPr>
  <dimension ref="A1:AY1025"/>
  <sheetViews>
    <sheetView showGridLines="0" topLeftCell="A42" workbookViewId="0">
      <selection activeCell="G47" sqref="G47"/>
    </sheetView>
  </sheetViews>
  <sheetFormatPr defaultColWidth="14.42578125" defaultRowHeight="15" customHeight="1" x14ac:dyDescent="0.25"/>
  <cols>
    <col min="1" max="1" width="38.140625" customWidth="1"/>
    <col min="2" max="2" width="29" customWidth="1"/>
    <col min="3" max="3" width="22.42578125" customWidth="1"/>
    <col min="4" max="4" width="19" customWidth="1"/>
    <col min="5" max="5" width="18.140625" customWidth="1"/>
    <col min="6" max="6" width="2.85546875" customWidth="1"/>
    <col min="7" max="7" width="13.140625" customWidth="1"/>
    <col min="8" max="51" width="8.85546875" customWidth="1"/>
  </cols>
  <sheetData>
    <row r="1" spans="1:51" ht="15" customHeight="1" x14ac:dyDescent="0.25">
      <c r="A1" s="1081" t="s">
        <v>358</v>
      </c>
      <c r="B1" s="1082"/>
      <c r="C1" s="1082"/>
      <c r="D1" s="1083" t="s">
        <v>150</v>
      </c>
      <c r="E1" s="1084"/>
      <c r="F1" s="21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23.25" customHeight="1" x14ac:dyDescent="0.25">
      <c r="A2" s="436"/>
      <c r="B2" s="437"/>
      <c r="C2" s="437"/>
      <c r="D2" s="487">
        <v>0</v>
      </c>
      <c r="E2" s="488" t="s">
        <v>359</v>
      </c>
      <c r="F2" s="21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25.9" customHeight="1" x14ac:dyDescent="0.25">
      <c r="A3" s="481" t="s">
        <v>360</v>
      </c>
      <c r="B3" s="482" t="s">
        <v>155</v>
      </c>
      <c r="C3" s="489" t="s">
        <v>361</v>
      </c>
      <c r="D3" s="482" t="s">
        <v>362</v>
      </c>
      <c r="E3" s="483" t="s">
        <v>363</v>
      </c>
      <c r="F3" s="2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23.25" customHeight="1" x14ac:dyDescent="0.25">
      <c r="A4" s="220" t="s">
        <v>364</v>
      </c>
      <c r="B4" s="290">
        <f>Assumptions!E6</f>
        <v>48.144000000000005</v>
      </c>
      <c r="C4" s="290">
        <f>Assumptions!E7</f>
        <v>500</v>
      </c>
      <c r="D4" s="504">
        <f>Assumptions!E8*(1+D$2)</f>
        <v>3.0468124999999997</v>
      </c>
      <c r="E4" s="491">
        <f>12*B4*C4*D4</f>
        <v>880114.44600000011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23.25" customHeight="1" x14ac:dyDescent="0.25">
      <c r="A5" s="10" t="s">
        <v>365</v>
      </c>
      <c r="B5" s="289">
        <f>Assumptions!E11</f>
        <v>48.144000000000005</v>
      </c>
      <c r="C5" s="289">
        <f>Assumptions!E12</f>
        <v>750</v>
      </c>
      <c r="D5" s="291">
        <f>Assumptions!E13*(1+D$2)</f>
        <v>3.0468124999999997</v>
      </c>
      <c r="E5" s="14">
        <f t="shared" ref="E5:E10" si="0">12*B5*C5*D5</f>
        <v>1320171.669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23.25" customHeight="1" x14ac:dyDescent="0.25">
      <c r="A6" s="220" t="s">
        <v>366</v>
      </c>
      <c r="B6" s="290">
        <f>Assumptions!E16</f>
        <v>39.546857142857135</v>
      </c>
      <c r="C6" s="290">
        <f>Assumptions!E17</f>
        <v>1050</v>
      </c>
      <c r="D6" s="291">
        <f>Assumptions!E18*(1+D$2)</f>
        <v>2.9942812499999998</v>
      </c>
      <c r="E6" s="14">
        <f t="shared" si="0"/>
        <v>1492021.6017749996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23.25" customHeight="1" x14ac:dyDescent="0.25">
      <c r="A7" s="220" t="s">
        <v>367</v>
      </c>
      <c r="B7" s="290">
        <f>Assumptions!E21</f>
        <v>14.350615384615384</v>
      </c>
      <c r="C7" s="290">
        <f>Assumptions!E22</f>
        <v>1300</v>
      </c>
      <c r="D7" s="291">
        <f>Assumptions!E23*(1+D$2)</f>
        <v>3.1518749999999995</v>
      </c>
      <c r="E7" s="14">
        <f t="shared" si="0"/>
        <v>705608.99549999996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23.25" customHeight="1" x14ac:dyDescent="0.25">
      <c r="A8" s="220" t="s">
        <v>368</v>
      </c>
      <c r="B8" s="290">
        <f>Assumptions!E28</f>
        <v>12.036000000000001</v>
      </c>
      <c r="C8" s="290">
        <f>Assumptions!E29</f>
        <v>500</v>
      </c>
      <c r="D8" s="291">
        <f>Assumptions!E30*(1+D$2)</f>
        <v>0.77658057000000003</v>
      </c>
      <c r="E8" s="14">
        <f t="shared" si="0"/>
        <v>56081.542443120015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23.25" customHeight="1" x14ac:dyDescent="0.25">
      <c r="A9" s="220" t="s">
        <v>369</v>
      </c>
      <c r="B9" s="289">
        <f>Assumptions!E33</f>
        <v>12.036000000000001</v>
      </c>
      <c r="C9" s="289">
        <f>Assumptions!E34</f>
        <v>750</v>
      </c>
      <c r="D9" s="291">
        <f>Assumptions!E35*(1+D$2)</f>
        <v>0.71198907000000011</v>
      </c>
      <c r="E9" s="14">
        <f t="shared" si="0"/>
        <v>77125.504018680018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23.25" customHeight="1" x14ac:dyDescent="0.25">
      <c r="A10" s="220" t="s">
        <v>370</v>
      </c>
      <c r="B10" s="12">
        <f>Assumptions!E38</f>
        <v>9.8867142857142838</v>
      </c>
      <c r="C10" s="12">
        <f>Assumptions!E39</f>
        <v>1050</v>
      </c>
      <c r="D10" s="13">
        <f>Assumptions!E40*(1+D$2)</f>
        <v>0.64732697142857143</v>
      </c>
      <c r="E10" s="14">
        <f t="shared" si="0"/>
        <v>80639.203880982837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</row>
    <row r="11" spans="1:51" ht="23.25" customHeight="1" x14ac:dyDescent="0.25">
      <c r="A11" s="220" t="s">
        <v>371</v>
      </c>
      <c r="B11" s="12">
        <f>Assumptions!E43</f>
        <v>3.5876538461538461</v>
      </c>
      <c r="C11" s="12">
        <f>Assumptions!E44</f>
        <v>1300</v>
      </c>
      <c r="D11" s="13">
        <f>Assumptions!E45*(1+D$2)</f>
        <v>0.65355126923076923</v>
      </c>
      <c r="E11" s="14">
        <f>12*B11*C11*D11</f>
        <v>36577.565305546152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23.25" customHeight="1" x14ac:dyDescent="0.25">
      <c r="A12" s="16" t="s">
        <v>372</v>
      </c>
      <c r="B12" s="17">
        <f>SUM(B4:B11)</f>
        <v>187.73184065934066</v>
      </c>
      <c r="C12" s="18">
        <f>(B4*C4)+(B5*C5)+(B6*C6)+(B7*C7)+(B8*C8)+(B9*C9)+(B10*C10)+(B11*C11)</f>
        <v>150450.00000000003</v>
      </c>
      <c r="D12" s="457"/>
      <c r="E12" s="19">
        <f>SUM(E4:E11)</f>
        <v>4648340.5279233288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23.25" customHeight="1" x14ac:dyDescent="0.25">
      <c r="A13" s="20" t="s">
        <v>373</v>
      </c>
      <c r="B13" s="456"/>
      <c r="C13" s="21">
        <f>C12/B12</f>
        <v>801.40907089387952</v>
      </c>
      <c r="D13" s="22">
        <f>(E12/12)/C12</f>
        <v>2.5746873423747245</v>
      </c>
      <c r="E13" s="458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23.25" customHeight="1" x14ac:dyDescent="0.25">
      <c r="A14" s="215"/>
      <c r="B14" s="358"/>
      <c r="C14" s="357"/>
      <c r="D14" s="355"/>
      <c r="E14" s="354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23.25" customHeight="1" x14ac:dyDescent="0.25">
      <c r="A15" s="497"/>
      <c r="B15" s="498"/>
      <c r="C15" s="498"/>
      <c r="D15" s="499">
        <v>0</v>
      </c>
      <c r="E15" s="500" t="s">
        <v>498</v>
      </c>
      <c r="F15" s="21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23.25" customHeight="1" x14ac:dyDescent="0.25">
      <c r="A16" s="481" t="s">
        <v>499</v>
      </c>
      <c r="B16" s="482" t="s">
        <v>215</v>
      </c>
      <c r="C16" s="489" t="s">
        <v>500</v>
      </c>
      <c r="D16" s="482" t="s">
        <v>501</v>
      </c>
      <c r="E16" s="483" t="s">
        <v>363</v>
      </c>
      <c r="F16" s="215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23.25" customHeight="1" x14ac:dyDescent="0.25">
      <c r="A17" s="501" t="s">
        <v>502</v>
      </c>
      <c r="B17" s="290">
        <f>Assumptions!E72</f>
        <v>150</v>
      </c>
      <c r="C17" s="502">
        <f>Assumptions!E73</f>
        <v>195</v>
      </c>
      <c r="D17" s="503">
        <f>B17*(C17*0.677)*30</f>
        <v>594067.50000000012</v>
      </c>
      <c r="E17" s="491">
        <f>D17*12</f>
        <v>7128810.0000000019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23.25" hidden="1" customHeight="1" x14ac:dyDescent="0.25">
      <c r="A18" s="210"/>
      <c r="B18" s="11"/>
      <c r="C18" s="12"/>
      <c r="D18" s="5"/>
      <c r="E18" s="14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23.25" customHeight="1" x14ac:dyDescent="0.25">
      <c r="A19" s="220"/>
      <c r="B19" s="12"/>
      <c r="C19" s="12"/>
      <c r="D19" s="13"/>
      <c r="E19" s="1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23.25" customHeight="1" x14ac:dyDescent="0.25">
      <c r="A20" s="16" t="s">
        <v>372</v>
      </c>
      <c r="B20" s="17">
        <f>SUM(B17:B19)</f>
        <v>150</v>
      </c>
      <c r="C20" s="18">
        <f>Assumptions!E70</f>
        <v>63750</v>
      </c>
      <c r="D20" s="457"/>
      <c r="E20" s="19">
        <f>SUM(E17:E19)</f>
        <v>7128810.0000000019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23.25" customHeight="1" x14ac:dyDescent="0.25">
      <c r="A21" s="20" t="s">
        <v>373</v>
      </c>
      <c r="B21" s="456"/>
      <c r="C21" s="21">
        <f>C20/B20</f>
        <v>425</v>
      </c>
      <c r="D21" s="22"/>
      <c r="E21" s="45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9.75" customHeight="1" x14ac:dyDescent="0.25">
      <c r="A22" s="215"/>
      <c r="B22" s="358"/>
      <c r="C22" s="357"/>
      <c r="D22" s="355"/>
      <c r="E22" s="35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23.25" customHeight="1" x14ac:dyDescent="0.25">
      <c r="A23" s="215"/>
      <c r="B23" s="356"/>
      <c r="C23" s="357"/>
      <c r="D23" s="355"/>
      <c r="E23" s="2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23.25" customHeight="1" x14ac:dyDescent="0.25">
      <c r="A24" s="442" t="s">
        <v>375</v>
      </c>
      <c r="B24" s="443" t="s">
        <v>376</v>
      </c>
      <c r="C24" s="443" t="s">
        <v>377</v>
      </c>
      <c r="D24" s="444" t="s">
        <v>363</v>
      </c>
      <c r="E24" s="21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21" customHeight="1" x14ac:dyDescent="0.25">
      <c r="A25" s="494" t="s">
        <v>128</v>
      </c>
      <c r="B25" s="495">
        <f>Assumptions!E50</f>
        <v>41825</v>
      </c>
      <c r="C25" s="496">
        <f>Assumptions!E51</f>
        <v>34.333199999999998</v>
      </c>
      <c r="D25" s="218">
        <f t="shared" ref="D25:D27" si="1">B25*C25</f>
        <v>1435986.0899999999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21" customHeight="1" x14ac:dyDescent="0.25">
      <c r="A26" s="287" t="s">
        <v>378</v>
      </c>
      <c r="B26" s="295">
        <f>Assumptions!E63</f>
        <v>0</v>
      </c>
      <c r="C26" s="292">
        <f>Assumptions!E64</f>
        <v>29.1312</v>
      </c>
      <c r="D26" s="4">
        <f t="shared" si="1"/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23.25" customHeight="1" x14ac:dyDescent="0.25">
      <c r="A27" s="25" t="s">
        <v>65</v>
      </c>
      <c r="B27" s="296">
        <f>Assumptions!E56</f>
        <v>0</v>
      </c>
      <c r="C27" s="293">
        <f>Assumptions!E57</f>
        <v>32.252400000000002</v>
      </c>
      <c r="D27" s="7">
        <f t="shared" si="1"/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23.25" customHeight="1" x14ac:dyDescent="0.25">
      <c r="A28" s="27" t="s">
        <v>379</v>
      </c>
      <c r="B28" s="226">
        <f>SUM(B25:B27)</f>
        <v>41825</v>
      </c>
      <c r="C28" s="227">
        <f>IF(B28=0,0,D28/B28)</f>
        <v>34.333199999999998</v>
      </c>
      <c r="D28" s="218">
        <f>SUM(D25:D27)</f>
        <v>1435986.0899999999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23.25" customHeight="1" x14ac:dyDescent="0.25">
      <c r="A29" s="446" t="s">
        <v>380</v>
      </c>
      <c r="B29" s="441"/>
      <c r="C29" s="21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23.25" customHeight="1" x14ac:dyDescent="0.25">
      <c r="A30" s="3" t="s">
        <v>138</v>
      </c>
      <c r="B30" s="808">
        <f>((Assumptions!E6+Assumptions!E28)*Assumptions!B82)+((Assumptions!E11+Assumptions!E33)*Assumptions!B83)+((Assumptions!E16+Assumptions!E21+Assumptions!E38+Assumptions!E43)*Assumptions!B84)</f>
        <v>270.14868131868133</v>
      </c>
      <c r="C30" s="389"/>
      <c r="D30" s="2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23.25" customHeight="1" x14ac:dyDescent="0.25">
      <c r="A31" s="6" t="s">
        <v>139</v>
      </c>
      <c r="B31" s="808">
        <f>(Assumptions!E50*Assumptions!H50*Assumptions!B85)+(Assumptions!E50*Assumptions!H51*Assumptions!B86)+(Assumptions!E56*Assumptions!B88)+(Assumptions!E65*Assumptions!B89)</f>
        <v>250.95000000000002</v>
      </c>
      <c r="C31" s="389"/>
      <c r="D31" s="28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23.25" customHeight="1" x14ac:dyDescent="0.25">
      <c r="A32" s="228" t="s">
        <v>381</v>
      </c>
      <c r="B32" s="229">
        <f>Assumptions!C98</f>
        <v>270.14868131868133</v>
      </c>
      <c r="C32" s="389"/>
      <c r="D32" s="28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23.25" hidden="1" customHeight="1" x14ac:dyDescent="0.25">
      <c r="A33" s="391"/>
      <c r="B33" s="392"/>
      <c r="C33" s="215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23.25" hidden="1" customHeight="1" x14ac:dyDescent="0.25">
      <c r="A34" s="393"/>
      <c r="B34" s="358"/>
      <c r="C34" s="357"/>
      <c r="D34" s="3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23.25" hidden="1" customHeight="1" x14ac:dyDescent="0.25">
      <c r="A35" s="393"/>
      <c r="B35" s="358"/>
      <c r="C35" s="357"/>
      <c r="D35" s="3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23.25" hidden="1" customHeight="1" x14ac:dyDescent="0.25">
      <c r="A36" s="394"/>
      <c r="B36" s="358"/>
      <c r="C36" s="357"/>
      <c r="D36" s="3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23.25" hidden="1" customHeight="1" x14ac:dyDescent="0.25">
      <c r="A37" s="395"/>
      <c r="B37" s="358"/>
      <c r="C37" s="357"/>
      <c r="D37" s="3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23.25" customHeight="1" x14ac:dyDescent="0.25">
      <c r="A38" s="396"/>
      <c r="B38" s="358"/>
      <c r="C38" s="357"/>
      <c r="D38" s="355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5" customHeight="1" x14ac:dyDescent="0.25">
      <c r="A39" s="1085" t="s">
        <v>382</v>
      </c>
      <c r="B39" s="1082"/>
      <c r="C39" s="1110" t="s">
        <v>150</v>
      </c>
      <c r="D39" s="1084"/>
      <c r="E39" s="21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4.25" customHeight="1" x14ac:dyDescent="0.25">
      <c r="A40" s="481" t="s">
        <v>383</v>
      </c>
      <c r="B40" s="482" t="s">
        <v>384</v>
      </c>
      <c r="C40" s="482" t="s">
        <v>385</v>
      </c>
      <c r="D40" s="483" t="s">
        <v>386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30.75" customHeight="1" x14ac:dyDescent="0.25">
      <c r="A41" s="31" t="s">
        <v>387</v>
      </c>
      <c r="B41" s="32">
        <f>D41/B12</f>
        <v>24760.533490737118</v>
      </c>
      <c r="C41" s="33">
        <f>D41/C12</f>
        <v>30.896248108496696</v>
      </c>
      <c r="D41" s="34">
        <f>E12</f>
        <v>4648340.5279233288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27" customHeight="1" x14ac:dyDescent="0.25">
      <c r="A42" s="359" t="s">
        <v>503</v>
      </c>
      <c r="B42" s="1111" t="s">
        <v>503</v>
      </c>
      <c r="C42" s="1112"/>
      <c r="D42" s="360">
        <f>E20</f>
        <v>7128810.0000000019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23.25" customHeight="1" x14ac:dyDescent="0.25">
      <c r="A43" s="35" t="s">
        <v>388</v>
      </c>
      <c r="B43" s="1086" t="s">
        <v>504</v>
      </c>
      <c r="C43" s="1087"/>
      <c r="D43" s="36">
        <f>D28</f>
        <v>1435986.0899999999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23.25" customHeight="1" x14ac:dyDescent="0.25">
      <c r="A44" s="37"/>
      <c r="B44" s="1088" t="s">
        <v>390</v>
      </c>
      <c r="C44" s="1089"/>
      <c r="D44" s="38">
        <f>SUM(D41:D43)</f>
        <v>13213136.617923331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23.25" customHeight="1" x14ac:dyDescent="0.25">
      <c r="A45" s="39" t="s">
        <v>391</v>
      </c>
      <c r="B45" s="38" t="s">
        <v>392</v>
      </c>
      <c r="C45" s="38" t="s">
        <v>393</v>
      </c>
      <c r="D45" s="38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23.25" customHeight="1" x14ac:dyDescent="0.25">
      <c r="A46" s="37" t="s">
        <v>394</v>
      </c>
      <c r="B46" s="40">
        <f>Assumptions!B101</f>
        <v>150</v>
      </c>
      <c r="C46" s="41">
        <f>D46/C12</f>
        <v>3.2320879120879118</v>
      </c>
      <c r="D46" s="40">
        <f>B46*B30*12</f>
        <v>486267.62637362641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23.25" customHeight="1" x14ac:dyDescent="0.25">
      <c r="A47" s="37" t="s">
        <v>395</v>
      </c>
      <c r="B47" s="56">
        <v>300</v>
      </c>
      <c r="C47" s="41">
        <f>D47/C12</f>
        <v>3.1779661016949148</v>
      </c>
      <c r="D47" s="40">
        <f>B47*Assumptions!C97*12</f>
        <v>478125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23.25" customHeight="1" x14ac:dyDescent="0.25">
      <c r="A48" s="37" t="s">
        <v>397</v>
      </c>
      <c r="B48" s="40">
        <f>D48/B12</f>
        <v>4926.8124150180674</v>
      </c>
      <c r="C48" s="41">
        <f>D48/C12</f>
        <v>6.1476873596186978</v>
      </c>
      <c r="D48" s="40">
        <f>0.07*D44</f>
        <v>924919.56325463322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23.25" customHeight="1" x14ac:dyDescent="0.25">
      <c r="A49" s="42" t="s">
        <v>398</v>
      </c>
      <c r="B49" s="1090"/>
      <c r="C49" s="1091"/>
      <c r="D49" s="43">
        <f>SUM(D46:D48)</f>
        <v>1889312.1896282597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23.25" customHeight="1" x14ac:dyDescent="0.25">
      <c r="A50" s="44">
        <v>0.06</v>
      </c>
      <c r="B50" s="1092"/>
      <c r="C50" s="1093"/>
      <c r="D50" s="45">
        <f>-A50*(D44-D42)</f>
        <v>-365059.59707539971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23.25" customHeight="1" x14ac:dyDescent="0.25">
      <c r="A51" s="46" t="s">
        <v>399</v>
      </c>
      <c r="B51" s="47">
        <f>D51/B12</f>
        <v>78502.342270317095</v>
      </c>
      <c r="C51" s="48">
        <f>D51/C12</f>
        <v>97.955395217522025</v>
      </c>
      <c r="D51" s="230">
        <f>D44+D49+D50</f>
        <v>14737389.210476192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23.25" customHeight="1" x14ac:dyDescent="0.25">
      <c r="A52" s="438" t="s">
        <v>400</v>
      </c>
      <c r="B52" s="439" t="s">
        <v>384</v>
      </c>
      <c r="C52" s="439" t="s">
        <v>401</v>
      </c>
      <c r="D52" s="445" t="s">
        <v>386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23.25" customHeight="1" x14ac:dyDescent="0.25">
      <c r="A53" s="231" t="s">
        <v>402</v>
      </c>
      <c r="B53" s="232">
        <f>D53/B12</f>
        <v>-21114.910350077429</v>
      </c>
      <c r="C53" s="232">
        <f>D53/C12</f>
        <v>-26.347231541222985</v>
      </c>
      <c r="D53" s="232">
        <f>-0.3*D44</f>
        <v>-3963940.9853769988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23.25" customHeight="1" x14ac:dyDescent="0.25">
      <c r="A54" s="49" t="s">
        <v>403</v>
      </c>
      <c r="B54" s="233">
        <f>D54/B12</f>
        <v>57387.431920239665</v>
      </c>
      <c r="C54" s="234"/>
      <c r="D54" s="233">
        <f>D51+D53</f>
        <v>10773448.225099193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23.25" customHeight="1" x14ac:dyDescent="0.25">
      <c r="A55" s="474" t="s">
        <v>404</v>
      </c>
      <c r="B55" s="475" t="s">
        <v>405</v>
      </c>
      <c r="C55" s="476">
        <v>4.4999999999999998E-2</v>
      </c>
      <c r="D55" s="537">
        <f>D54/C55</f>
        <v>239409960.55775985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23.25" customHeight="1" x14ac:dyDescent="0.25">
      <c r="A56" s="1094" t="s">
        <v>406</v>
      </c>
      <c r="B56" s="1095"/>
      <c r="C56" s="1108" t="s">
        <v>150</v>
      </c>
      <c r="D56" s="1097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23.25" customHeight="1" x14ac:dyDescent="0.25">
      <c r="A57" s="477"/>
      <c r="B57" s="478" t="s">
        <v>407</v>
      </c>
      <c r="C57" s="478" t="s">
        <v>408</v>
      </c>
      <c r="D57" s="479" t="s">
        <v>384</v>
      </c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23.25" customHeight="1" x14ac:dyDescent="0.25">
      <c r="A58" s="235" t="s">
        <v>409</v>
      </c>
      <c r="B58" s="480">
        <v>245</v>
      </c>
      <c r="C58" s="236">
        <f>B58*(C12+B28+C20+((Assumptions!E78)*0.85)+38000+8300+18750+12750)</f>
        <v>87076675</v>
      </c>
      <c r="D58" s="236">
        <f t="shared" ref="D58:D85" si="2">C58/B$12</f>
        <v>463835.40849636617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23.25" customHeight="1" x14ac:dyDescent="0.25">
      <c r="A59" s="235" t="s">
        <v>410</v>
      </c>
      <c r="B59" s="50">
        <f>Assumptions!C100</f>
        <v>22500</v>
      </c>
      <c r="C59" s="236">
        <f>B32*B59</f>
        <v>6078345.3296703296</v>
      </c>
      <c r="D59" s="40">
        <f t="shared" si="2"/>
        <v>32377.8071334214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23.25" customHeight="1" x14ac:dyDescent="0.25">
      <c r="A60" s="235" t="s">
        <v>411</v>
      </c>
      <c r="B60" s="51">
        <v>0.05</v>
      </c>
      <c r="C60" s="236">
        <f>B60*C58</f>
        <v>4353833.75</v>
      </c>
      <c r="D60" s="40">
        <f t="shared" si="2"/>
        <v>23191.770424818307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23.25" customHeight="1" x14ac:dyDescent="0.25">
      <c r="A61" s="235" t="s">
        <v>505</v>
      </c>
      <c r="B61" s="817">
        <v>2.5000000000000001E-2</v>
      </c>
      <c r="C61" s="236">
        <f>C58*((1+B61)^2)-C58</f>
        <v>4408256.671875</v>
      </c>
      <c r="D61" s="40">
        <f>C61/B$12</f>
        <v>23481.667555128537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23.25" customHeight="1" x14ac:dyDescent="0.25">
      <c r="A62" s="235" t="s">
        <v>412</v>
      </c>
      <c r="B62" s="428" t="s">
        <v>413</v>
      </c>
      <c r="C62" s="236">
        <f>10*'Parcel Data'!D48</f>
        <v>12844080</v>
      </c>
      <c r="D62" s="40">
        <f t="shared" si="2"/>
        <v>68417.163305328402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23.25" customHeight="1" x14ac:dyDescent="0.25">
      <c r="A63" s="235" t="s">
        <v>506</v>
      </c>
      <c r="B63" s="52" t="s">
        <v>507</v>
      </c>
      <c r="C63" s="397">
        <f>('Parcel Data'!F46+('Parcel Data'!F47*0.7))</f>
        <v>19450568.531475585</v>
      </c>
      <c r="D63" s="40">
        <f t="shared" si="2"/>
        <v>103608.25560098089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27.6" customHeight="1" x14ac:dyDescent="0.25">
      <c r="A64" s="235" t="s">
        <v>416</v>
      </c>
      <c r="B64" s="53">
        <v>5000</v>
      </c>
      <c r="C64" s="236">
        <f>B12*B64</f>
        <v>938659.20329670329</v>
      </c>
      <c r="D64" s="40">
        <f t="shared" si="2"/>
        <v>5000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23.25" hidden="1" customHeight="1" x14ac:dyDescent="0.25">
      <c r="A65" s="235" t="s">
        <v>417</v>
      </c>
      <c r="B65" s="429"/>
      <c r="C65" s="237"/>
      <c r="D65" s="4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23.25" customHeight="1" x14ac:dyDescent="0.25">
      <c r="A66" s="933" t="s">
        <v>418</v>
      </c>
      <c r="B66" s="812">
        <v>520</v>
      </c>
      <c r="C66" s="236">
        <f>Assumptions!C106*'Phase II Financial'!B66</f>
        <v>871000</v>
      </c>
      <c r="D66" s="40">
        <f t="shared" ref="D66:D71" si="3">C66/$B$12</f>
        <v>4639.5965486777595</v>
      </c>
      <c r="E66" s="2"/>
      <c r="F66" s="2"/>
      <c r="G66" s="7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23.25" customHeight="1" x14ac:dyDescent="0.25">
      <c r="A67" s="933" t="s">
        <v>419</v>
      </c>
      <c r="B67" s="812">
        <v>400</v>
      </c>
      <c r="C67" s="236">
        <f>Assumptions!C107*'Phase II Financial'!B67</f>
        <v>180000</v>
      </c>
      <c r="D67" s="40">
        <f t="shared" si="3"/>
        <v>958.81444174741296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23.25" customHeight="1" x14ac:dyDescent="0.25">
      <c r="A68" s="933" t="s">
        <v>420</v>
      </c>
      <c r="B68" s="812">
        <v>120</v>
      </c>
      <c r="C68" s="236">
        <f>Assumptions!C108*'Phase II Financial'!B68</f>
        <v>100800</v>
      </c>
      <c r="D68" s="40">
        <f t="shared" si="3"/>
        <v>536.93608737855129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23.25" customHeight="1" x14ac:dyDescent="0.25">
      <c r="A69" s="933" t="s">
        <v>421</v>
      </c>
      <c r="B69" s="812">
        <v>150</v>
      </c>
      <c r="C69" s="236">
        <f>Assumptions!C109*'Phase II Financial'!B69</f>
        <v>277500</v>
      </c>
      <c r="D69" s="40">
        <f t="shared" si="3"/>
        <v>1478.1722643605949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23.25" customHeight="1" x14ac:dyDescent="0.25">
      <c r="A70" s="933" t="s">
        <v>422</v>
      </c>
      <c r="B70" s="813">
        <v>25</v>
      </c>
      <c r="C70" s="236">
        <f>Assumptions!C110*'Phase II Financial'!B70</f>
        <v>10905000</v>
      </c>
      <c r="D70" s="40">
        <f t="shared" si="3"/>
        <v>58088.174929197434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23.25" customHeight="1" x14ac:dyDescent="0.25">
      <c r="A71" s="933" t="s">
        <v>423</v>
      </c>
      <c r="B71" s="813">
        <v>30</v>
      </c>
      <c r="C71" s="236">
        <f>Assumptions!C111*'Phase II Financial'!B71</f>
        <v>3048000</v>
      </c>
      <c r="D71" s="40">
        <f t="shared" si="3"/>
        <v>16235.924546922859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23.25" customHeight="1" x14ac:dyDescent="0.25">
      <c r="A72" s="3" t="s">
        <v>424</v>
      </c>
      <c r="B72" s="55" t="s">
        <v>425</v>
      </c>
      <c r="C72" s="56">
        <v>400000</v>
      </c>
      <c r="D72" s="40">
        <f t="shared" si="2"/>
        <v>2130.6987594386956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23.25" customHeight="1" x14ac:dyDescent="0.25">
      <c r="A73" s="3" t="s">
        <v>426</v>
      </c>
      <c r="B73" s="55" t="s">
        <v>425</v>
      </c>
      <c r="C73" s="56">
        <v>450000</v>
      </c>
      <c r="D73" s="40">
        <f t="shared" si="2"/>
        <v>2397.0361043685325</v>
      </c>
      <c r="E73" s="57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21.75" customHeight="1" x14ac:dyDescent="0.25">
      <c r="A74" s="3" t="s">
        <v>427</v>
      </c>
      <c r="B74" s="58">
        <v>0.04</v>
      </c>
      <c r="C74" s="40">
        <f>B74*(C58+C60)</f>
        <v>3657220.35</v>
      </c>
      <c r="D74" s="40">
        <f t="shared" si="2"/>
        <v>19481.087156847381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22.5" customHeight="1" x14ac:dyDescent="0.25">
      <c r="A75" s="3" t="s">
        <v>135</v>
      </c>
      <c r="B75" s="59">
        <v>0.03</v>
      </c>
      <c r="C75" s="40">
        <f>B75*SUM(C58:C74)</f>
        <v>4651198.1650895281</v>
      </c>
      <c r="D75" s="40">
        <f t="shared" si="2"/>
        <v>24775.755400649487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23.25" customHeight="1" x14ac:dyDescent="0.25">
      <c r="A76" s="3" t="s">
        <v>428</v>
      </c>
      <c r="B76" s="58">
        <v>0.03</v>
      </c>
      <c r="C76" s="40">
        <f>B76*(C58+C60)</f>
        <v>2742915.2624999997</v>
      </c>
      <c r="D76" s="40">
        <f t="shared" si="2"/>
        <v>14610.815367635532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26.25" customHeight="1" x14ac:dyDescent="0.25">
      <c r="A77" s="3" t="s">
        <v>429</v>
      </c>
      <c r="B77" s="60" t="s">
        <v>425</v>
      </c>
      <c r="C77" s="56">
        <v>1300000</v>
      </c>
      <c r="D77" s="40">
        <f t="shared" si="2"/>
        <v>6924.7709681757606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23.25" customHeight="1" x14ac:dyDescent="0.25">
      <c r="A78" s="3" t="s">
        <v>430</v>
      </c>
      <c r="B78" s="61">
        <v>3000</v>
      </c>
      <c r="C78" s="40">
        <f>B78*B12</f>
        <v>563195.52197802195</v>
      </c>
      <c r="D78" s="40">
        <f t="shared" si="2"/>
        <v>3000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23.25" customHeight="1" x14ac:dyDescent="0.25">
      <c r="A79" s="3" t="s">
        <v>431</v>
      </c>
      <c r="B79" s="55" t="s">
        <v>425</v>
      </c>
      <c r="C79" s="56">
        <v>500000</v>
      </c>
      <c r="D79" s="40">
        <f t="shared" si="2"/>
        <v>2663.3734492983695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23.25" customHeight="1" x14ac:dyDescent="0.25">
      <c r="A80" s="3" t="s">
        <v>432</v>
      </c>
      <c r="B80" s="62">
        <v>6</v>
      </c>
      <c r="C80" s="40">
        <f>-B80*(D53/12)</f>
        <v>1981970.4926884994</v>
      </c>
      <c r="D80" s="40">
        <f t="shared" si="2"/>
        <v>10557.455175038715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23.25" customHeight="1" x14ac:dyDescent="0.25">
      <c r="A81" s="3" t="s">
        <v>433</v>
      </c>
      <c r="B81" s="63">
        <v>45</v>
      </c>
      <c r="C81" s="40">
        <f>B28*B81</f>
        <v>1882125</v>
      </c>
      <c r="D81" s="40">
        <f t="shared" si="2"/>
        <v>10025.603506521387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27" customHeight="1" x14ac:dyDescent="0.25">
      <c r="A82" s="3" t="s">
        <v>434</v>
      </c>
      <c r="B82" s="816">
        <v>0.06</v>
      </c>
      <c r="C82" s="40">
        <f>B82*D28*10</f>
        <v>861591.65399999986</v>
      </c>
      <c r="D82" s="40">
        <f t="shared" si="2"/>
        <v>4589.4806708013339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27" customHeight="1" x14ac:dyDescent="0.25">
      <c r="A83" s="3" t="s">
        <v>435</v>
      </c>
      <c r="B83" s="931">
        <v>1.4999999999999999E-2</v>
      </c>
      <c r="C83" s="297">
        <v>1600174</v>
      </c>
      <c r="D83" s="40">
        <f t="shared" si="2"/>
        <v>8523.7218917151386</v>
      </c>
      <c r="E83" s="1109"/>
      <c r="F83" s="1070"/>
      <c r="G83" s="51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23.25" customHeight="1" x14ac:dyDescent="0.25">
      <c r="A84" s="64" t="s">
        <v>436</v>
      </c>
      <c r="B84" s="932">
        <v>0.05</v>
      </c>
      <c r="C84" s="297">
        <v>5334968</v>
      </c>
      <c r="D84" s="40">
        <f t="shared" si="2"/>
        <v>28418.024248112844</v>
      </c>
      <c r="E84" s="1109"/>
      <c r="F84" s="1070"/>
      <c r="G84" s="515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23.25" customHeight="1" x14ac:dyDescent="0.25">
      <c r="A85" s="6" t="s">
        <v>437</v>
      </c>
      <c r="B85" s="815">
        <v>1.4999999999999999E-2</v>
      </c>
      <c r="C85" s="65">
        <f>B85*C58</f>
        <v>1306150.125</v>
      </c>
      <c r="D85" s="40">
        <f t="shared" si="2"/>
        <v>6957.5311274454925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23.25" customHeight="1" x14ac:dyDescent="0.25">
      <c r="A86" s="459" t="s">
        <v>438</v>
      </c>
      <c r="B86" s="460"/>
      <c r="C86" s="468">
        <f>SUM(C58:C85)</f>
        <v>177764227.05757365</v>
      </c>
      <c r="D86" s="468">
        <f>ROUND(C86/B12,-3)</f>
        <v>947000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23.25" customHeight="1" x14ac:dyDescent="0.25">
      <c r="A87" s="461" t="s">
        <v>439</v>
      </c>
      <c r="B87" s="462">
        <f>D54/C86</f>
        <v>6.060526576930423E-2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23.25" customHeight="1" x14ac:dyDescent="0.25">
      <c r="A88" s="463" t="s">
        <v>440</v>
      </c>
      <c r="B88" s="464">
        <f>(D55/C86)-1</f>
        <v>0.34678368376231616</v>
      </c>
      <c r="C88" s="73"/>
      <c r="D88" s="74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</row>
    <row r="89" spans="1:51" ht="23.25" customHeight="1" x14ac:dyDescent="0.25">
      <c r="A89" s="465">
        <v>0.3</v>
      </c>
      <c r="B89" s="466">
        <f>(D55/(1+A89))</f>
        <v>184161508.12135372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23.25" customHeight="1" x14ac:dyDescent="0.25">
      <c r="A90" s="467">
        <v>0.3</v>
      </c>
      <c r="B90" s="466">
        <f>ROUND((D55/(1+A90))-C86,-3)</f>
        <v>6397000</v>
      </c>
      <c r="C90" s="78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</row>
    <row r="91" spans="1:51" ht="23.25" customHeight="1" x14ac:dyDescent="0.25">
      <c r="A91" s="79"/>
      <c r="B91" s="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</row>
    <row r="92" spans="1:51" ht="15" customHeight="1" x14ac:dyDescent="0.25">
      <c r="A92" s="1104" t="s">
        <v>441</v>
      </c>
      <c r="B92" s="1082"/>
      <c r="C92" s="455" t="s">
        <v>150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</row>
    <row r="93" spans="1:51" ht="23.25" customHeight="1" x14ac:dyDescent="0.25">
      <c r="A93" s="238"/>
      <c r="B93" s="239" t="s">
        <v>95</v>
      </c>
      <c r="C93" s="240" t="s">
        <v>401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</row>
    <row r="94" spans="1:51" ht="23.25" customHeight="1" x14ac:dyDescent="0.25">
      <c r="A94" s="241" t="s">
        <v>508</v>
      </c>
      <c r="B94" s="267">
        <f>IF(B90&lt;0,B90,0)</f>
        <v>0</v>
      </c>
      <c r="C94" s="19">
        <f>B94/(C12+C21+B28)</f>
        <v>0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</row>
    <row r="95" spans="1:51" ht="23.25" customHeight="1" x14ac:dyDescent="0.25">
      <c r="A95" s="243" t="s">
        <v>443</v>
      </c>
      <c r="B95" s="267">
        <f>C86+B94</f>
        <v>177764227.05757365</v>
      </c>
      <c r="C95" s="19">
        <f>B95/(C12+C21+B28)</f>
        <v>922.4920968218662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</row>
    <row r="96" spans="1:51" ht="23.25" customHeight="1" x14ac:dyDescent="0.25">
      <c r="A96" s="284">
        <f>Assumptions!I56</f>
        <v>0.6</v>
      </c>
      <c r="B96" s="236">
        <f>C86*A96</f>
        <v>106658536.23454419</v>
      </c>
      <c r="C96" s="416">
        <f>B96/(C12+C21+B28)</f>
        <v>553.49525809311967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</row>
    <row r="97" spans="1:51" ht="23.25" customHeight="1" x14ac:dyDescent="0.25">
      <c r="A97" s="244" t="s">
        <v>121</v>
      </c>
      <c r="B97" s="510">
        <f>Assumptions!I59</f>
        <v>901112.83516483521</v>
      </c>
      <c r="C97" s="417">
        <f>B97/(C12+C21+B28)</f>
        <v>4.6762471985720557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</row>
    <row r="98" spans="1:51" ht="23.25" customHeight="1" x14ac:dyDescent="0.25">
      <c r="A98" s="409" t="s">
        <v>444</v>
      </c>
      <c r="B98" s="40">
        <f>Assumptions!I63</f>
        <v>780000</v>
      </c>
      <c r="C98" s="418">
        <f>B98/(C12+C21+B28)</f>
        <v>4.0477426050856247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</row>
    <row r="99" spans="1:51" ht="23.25" customHeight="1" x14ac:dyDescent="0.25">
      <c r="A99" s="431" t="s">
        <v>509</v>
      </c>
      <c r="B99" s="236">
        <f>Assumptions!I74</f>
        <v>11343500</v>
      </c>
      <c r="C99" s="418">
        <f>B99/(C12+C21+B28)</f>
        <v>58.866113129216387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</row>
    <row r="100" spans="1:51" ht="23.25" customHeight="1" x14ac:dyDescent="0.25">
      <c r="A100" s="806" t="s">
        <v>221</v>
      </c>
      <c r="B100" s="510">
        <f>Assumptions!I77</f>
        <v>3111500</v>
      </c>
      <c r="C100" s="418">
        <f>B100/(C12+C21+B28)</f>
        <v>16.146860404774259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</row>
    <row r="101" spans="1:51" ht="24" customHeight="1" x14ac:dyDescent="0.25">
      <c r="A101" s="430">
        <f>Assumptions!I80</f>
        <v>0.30922744636389232</v>
      </c>
      <c r="B101" s="65">
        <f>A101*B95</f>
        <v>54969577.987864628</v>
      </c>
      <c r="C101" s="419">
        <f>B101/(C12+C21+B28)</f>
        <v>285.25987539109821</v>
      </c>
      <c r="D101" s="74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</row>
    <row r="102" spans="1:51" ht="35.25" customHeight="1" x14ac:dyDescent="0.25">
      <c r="A102" s="217" t="s">
        <v>446</v>
      </c>
      <c r="B102" s="232">
        <f>B96+B101+B97+B98+B99+B100</f>
        <v>177764227.05757368</v>
      </c>
      <c r="C102" s="420">
        <f>B102/(C12+C21+B28)</f>
        <v>922.49209682186631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</row>
    <row r="103" spans="1:51" ht="23.25" customHeight="1" x14ac:dyDescent="0.25">
      <c r="A103" s="248"/>
      <c r="B103" s="249"/>
      <c r="C103" s="250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</row>
    <row r="104" spans="1:51" ht="21.75" customHeight="1" x14ac:dyDescent="0.25">
      <c r="A104" s="1074" t="s">
        <v>447</v>
      </c>
      <c r="B104" s="1075"/>
      <c r="C104" s="454" t="s">
        <v>150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</row>
    <row r="105" spans="1:51" ht="48" customHeight="1" x14ac:dyDescent="0.25">
      <c r="A105" s="251"/>
      <c r="B105" s="80" t="s">
        <v>448</v>
      </c>
      <c r="C105" s="80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</row>
    <row r="106" spans="1:51" ht="36.75" customHeight="1" x14ac:dyDescent="0.25">
      <c r="A106" s="81" t="s">
        <v>449</v>
      </c>
      <c r="B106" s="83">
        <f>ROUND(D55,-2)</f>
        <v>239410000</v>
      </c>
      <c r="C106" s="8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</row>
    <row r="107" spans="1:51" ht="29.25" customHeight="1" x14ac:dyDescent="0.25">
      <c r="A107" s="84">
        <v>0.02</v>
      </c>
      <c r="B107" s="173">
        <f>(-ROUND(A107*B106,-2))</f>
        <v>-4788200</v>
      </c>
      <c r="C107" s="86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</row>
    <row r="108" spans="1:51" ht="37.5" customHeight="1" x14ac:dyDescent="0.25">
      <c r="A108" s="252" t="s">
        <v>450</v>
      </c>
      <c r="B108" s="88">
        <f>B106+B107</f>
        <v>234621800</v>
      </c>
      <c r="C108" s="88"/>
      <c r="D108" s="2"/>
      <c r="E108" s="8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</row>
    <row r="109" spans="1:51" ht="29.25" customHeight="1" x14ac:dyDescent="0.25">
      <c r="A109" s="81" t="s">
        <v>451</v>
      </c>
      <c r="B109" s="83">
        <f>-B96</f>
        <v>-106658536.23454419</v>
      </c>
      <c r="C109" s="8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</row>
    <row r="110" spans="1:51" ht="23.25" customHeight="1" x14ac:dyDescent="0.25">
      <c r="A110" s="90" t="s">
        <v>452</v>
      </c>
      <c r="B110" s="86">
        <f t="shared" ref="B110" si="4">-B101</f>
        <v>-54969577.987864628</v>
      </c>
      <c r="C110" s="86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</row>
    <row r="111" spans="1:51" ht="23.25" customHeight="1" x14ac:dyDescent="0.25">
      <c r="A111" s="219" t="s">
        <v>453</v>
      </c>
      <c r="B111" s="93">
        <f>ROUND(B108+B109+B110,-2)</f>
        <v>72993700</v>
      </c>
      <c r="C111" s="93"/>
      <c r="D111" s="94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</row>
    <row r="112" spans="1:51" ht="23.25" customHeight="1" x14ac:dyDescent="0.25">
      <c r="A112" s="1076" t="s">
        <v>454</v>
      </c>
      <c r="B112" s="1077"/>
      <c r="C112" s="1078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</row>
    <row r="113" spans="1:51" ht="23.25" customHeight="1" x14ac:dyDescent="0.25">
      <c r="A113" s="95" t="s">
        <v>455</v>
      </c>
      <c r="B113" s="96">
        <f>ROUND((B106)/B12,-2)</f>
        <v>1275300</v>
      </c>
      <c r="C113" s="96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</row>
    <row r="114" spans="1:51" ht="23.25" customHeight="1" x14ac:dyDescent="0.25">
      <c r="A114" s="97" t="s">
        <v>456</v>
      </c>
      <c r="B114" s="98">
        <f>B108/B12</f>
        <v>1249770.9454931843</v>
      </c>
      <c r="C114" s="98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</row>
    <row r="115" spans="1:51" ht="14.25" hidden="1" customHeight="1" x14ac:dyDescent="0.25">
      <c r="A115" s="1105" t="s">
        <v>457</v>
      </c>
      <c r="B115" s="1106"/>
      <c r="C115" s="1107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</row>
    <row r="116" spans="1:51" ht="23.25" customHeight="1" x14ac:dyDescent="0.25">
      <c r="A116" s="1079" t="s">
        <v>457</v>
      </c>
      <c r="B116" s="1075"/>
      <c r="C116" s="1080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</row>
    <row r="117" spans="1:51" ht="29.25" customHeight="1" x14ac:dyDescent="0.25">
      <c r="A117" s="253"/>
      <c r="B117" s="80" t="s">
        <v>448</v>
      </c>
      <c r="C117" s="80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</row>
    <row r="118" spans="1:51" ht="23.25" customHeight="1" x14ac:dyDescent="0.25">
      <c r="A118" s="100" t="s">
        <v>458</v>
      </c>
      <c r="B118" s="101">
        <f>(B111+B101)/B101</f>
        <v>2.3278926757653928</v>
      </c>
      <c r="C118" s="10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</row>
    <row r="119" spans="1:51" ht="23.25" customHeight="1" x14ac:dyDescent="0.25">
      <c r="A119" s="102" t="s">
        <v>459</v>
      </c>
      <c r="B119" s="410">
        <f>'Phase II Draw'!B39</f>
        <v>0.24316862143317586</v>
      </c>
      <c r="C119" s="103"/>
      <c r="D119" s="104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</row>
    <row r="120" spans="1:51" ht="23.25" customHeight="1" x14ac:dyDescent="0.25">
      <c r="A120" s="102" t="s">
        <v>460</v>
      </c>
      <c r="B120" s="410">
        <f>'Phase II Draw'!B44</f>
        <v>0.11707089096451395</v>
      </c>
      <c r="C120" s="103"/>
      <c r="D120" s="104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</row>
    <row r="121" spans="1:51" ht="23.25" customHeight="1" x14ac:dyDescent="0.25">
      <c r="A121" s="100" t="s">
        <v>461</v>
      </c>
      <c r="B121" s="106">
        <f>D54/B96</f>
        <v>0.10100877628217372</v>
      </c>
      <c r="C121" s="105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</row>
    <row r="122" spans="1:51" ht="23.25" customHeight="1" x14ac:dyDescent="0.25">
      <c r="A122" s="100" t="s">
        <v>462</v>
      </c>
      <c r="B122" s="106">
        <f>C55</f>
        <v>4.4999999999999998E-2</v>
      </c>
      <c r="C122" s="106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</row>
    <row r="123" spans="1:51" ht="23.2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</row>
    <row r="124" spans="1:51" ht="23.2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</row>
    <row r="125" spans="1:51" ht="23.2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</row>
    <row r="126" spans="1:51" ht="23.2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</row>
    <row r="127" spans="1:51" ht="23.2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</row>
    <row r="128" spans="1:51" ht="23.2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</row>
    <row r="129" spans="1:51" ht="23.25" hidden="1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</row>
    <row r="130" spans="1:51" ht="23.2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</row>
    <row r="131" spans="1:51" ht="23.2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</row>
    <row r="132" spans="1:51" ht="23.2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</row>
    <row r="133" spans="1:51" ht="23.2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</row>
    <row r="134" spans="1:51" ht="23.2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</row>
    <row r="135" spans="1:51" ht="23.25" customHeight="1" x14ac:dyDescent="0.25">
      <c r="A135" s="174"/>
      <c r="B135" s="174"/>
      <c r="C135" s="174"/>
      <c r="D135" s="28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</row>
    <row r="136" spans="1:51" ht="23.2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</row>
    <row r="137" spans="1:51" ht="23.2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</row>
    <row r="138" spans="1:51" ht="23.2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</row>
    <row r="139" spans="1:51" ht="23.2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</row>
    <row r="140" spans="1:51" ht="23.2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</row>
    <row r="141" spans="1:51" ht="23.2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</row>
    <row r="142" spans="1:51" ht="23.2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</row>
    <row r="143" spans="1:51" ht="23.2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</row>
    <row r="144" spans="1:51" ht="23.2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</row>
    <row r="145" spans="1:51" ht="23.2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</row>
    <row r="146" spans="1:51" ht="23.2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</row>
    <row r="147" spans="1:51" ht="23.2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</row>
    <row r="148" spans="1:51" ht="23.2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</row>
    <row r="149" spans="1:51" ht="23.2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</row>
    <row r="150" spans="1:51" ht="23.2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</row>
    <row r="151" spans="1:51" ht="23.2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</row>
    <row r="152" spans="1:51" ht="23.2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</row>
    <row r="153" spans="1:51" ht="23.2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</row>
    <row r="154" spans="1:51" ht="23.2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</row>
    <row r="155" spans="1:51" ht="23.2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</row>
    <row r="156" spans="1:51" ht="23.2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</row>
    <row r="157" spans="1:51" ht="23.2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</row>
    <row r="158" spans="1:51" ht="23.2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</row>
    <row r="159" spans="1:51" ht="23.2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</row>
    <row r="160" spans="1:51" ht="23.2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</row>
    <row r="161" spans="1:51" ht="23.2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spans="1:51" ht="23.2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</row>
    <row r="163" spans="1:51" ht="23.2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</row>
    <row r="164" spans="1:51" ht="23.2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</row>
    <row r="165" spans="1:51" ht="23.2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</row>
    <row r="166" spans="1:51" ht="23.2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</row>
    <row r="167" spans="1:51" ht="23.2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</row>
    <row r="168" spans="1:51" ht="23.2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</row>
    <row r="169" spans="1:51" ht="23.2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</row>
    <row r="170" spans="1:51" ht="23.2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</row>
    <row r="171" spans="1:51" ht="23.2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</row>
    <row r="172" spans="1:51" ht="23.2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spans="1:51" ht="23.2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</row>
    <row r="174" spans="1:51" ht="23.2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</row>
    <row r="175" spans="1:51" ht="23.2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</row>
    <row r="176" spans="1:51" ht="23.2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</row>
    <row r="177" spans="1:51" ht="23.2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</row>
    <row r="178" spans="1:51" ht="23.2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</row>
    <row r="179" spans="1:51" ht="23.2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</row>
    <row r="180" spans="1:51" ht="23.2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</row>
    <row r="181" spans="1:51" ht="23.2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</row>
    <row r="182" spans="1:51" ht="23.2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</row>
    <row r="183" spans="1:51" ht="23.2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</row>
    <row r="184" spans="1:51" ht="23.2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</row>
    <row r="185" spans="1:51" ht="23.2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</row>
    <row r="186" spans="1:51" ht="23.2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</row>
    <row r="187" spans="1:51" ht="23.2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</row>
    <row r="188" spans="1:51" ht="23.2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</row>
    <row r="189" spans="1:51" ht="23.2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</row>
    <row r="190" spans="1:51" ht="23.2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</row>
    <row r="191" spans="1:51" ht="23.2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</row>
    <row r="192" spans="1:51" ht="23.2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</row>
    <row r="193" spans="1:51" ht="23.2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</row>
    <row r="194" spans="1:51" ht="23.2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</row>
    <row r="195" spans="1:51" ht="23.2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</row>
    <row r="196" spans="1:51" ht="23.2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</row>
    <row r="197" spans="1:51" ht="23.2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</row>
    <row r="198" spans="1:51" ht="23.2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</row>
    <row r="199" spans="1:51" ht="23.2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</row>
    <row r="200" spans="1:51" ht="23.2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</row>
    <row r="201" spans="1:51" ht="23.2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</row>
    <row r="202" spans="1:51" ht="23.2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</row>
    <row r="203" spans="1:51" ht="23.2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</row>
    <row r="204" spans="1:51" ht="23.2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spans="1:51" ht="23.2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</row>
    <row r="206" spans="1:51" ht="23.2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</row>
    <row r="207" spans="1:51" ht="23.2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</row>
    <row r="208" spans="1:51" ht="23.2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</row>
    <row r="209" spans="1:51" ht="23.2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</row>
    <row r="210" spans="1:51" ht="23.2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</row>
    <row r="211" spans="1:51" ht="23.2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</row>
    <row r="212" spans="1:51" ht="23.2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</row>
    <row r="213" spans="1:51" ht="23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</row>
    <row r="214" spans="1:51" ht="23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</row>
    <row r="215" spans="1:51" ht="23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</row>
    <row r="216" spans="1:51" ht="23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</row>
    <row r="217" spans="1:51" ht="23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</row>
    <row r="218" spans="1:51" ht="23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</row>
    <row r="219" spans="1:51" ht="23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</row>
    <row r="220" spans="1:51" ht="23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</row>
    <row r="221" spans="1:51" ht="23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</row>
    <row r="222" spans="1:51" ht="23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</row>
    <row r="223" spans="1:51" ht="23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</row>
    <row r="224" spans="1:51" ht="23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</row>
    <row r="225" spans="1:51" ht="23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</row>
    <row r="226" spans="1:51" ht="23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</row>
    <row r="227" spans="1:51" ht="23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</row>
    <row r="228" spans="1:51" ht="23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</row>
    <row r="229" spans="1:51" ht="23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</row>
    <row r="230" spans="1:51" ht="23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</row>
    <row r="231" spans="1:51" ht="23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</row>
    <row r="232" spans="1:51" ht="23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</row>
    <row r="233" spans="1:51" ht="23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</row>
    <row r="234" spans="1:51" ht="23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</row>
    <row r="235" spans="1:51" ht="23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</row>
    <row r="236" spans="1:51" ht="23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</row>
    <row r="237" spans="1:51" ht="23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</row>
    <row r="238" spans="1:51" ht="23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</row>
    <row r="239" spans="1:51" ht="23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</row>
    <row r="240" spans="1:51" ht="23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</row>
    <row r="241" spans="1:51" ht="23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</row>
    <row r="242" spans="1:51" ht="23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</row>
    <row r="243" spans="1:51" ht="23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</row>
    <row r="244" spans="1:51" ht="23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</row>
    <row r="245" spans="1:51" ht="23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</row>
    <row r="246" spans="1:51" ht="23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</row>
    <row r="247" spans="1:51" ht="23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</row>
    <row r="248" spans="1:51" ht="23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</row>
    <row r="249" spans="1:51" ht="23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</row>
    <row r="250" spans="1:51" ht="23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</row>
    <row r="251" spans="1:51" ht="23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</row>
    <row r="252" spans="1:51" ht="23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</row>
    <row r="253" spans="1:51" ht="23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</row>
    <row r="254" spans="1:51" ht="23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</row>
    <row r="255" spans="1:51" ht="23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</row>
    <row r="256" spans="1:51" ht="23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</row>
    <row r="257" spans="1:51" ht="23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</row>
    <row r="258" spans="1:51" ht="23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</row>
    <row r="259" spans="1:51" ht="23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</row>
    <row r="260" spans="1:51" ht="23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</row>
    <row r="261" spans="1:51" ht="23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</row>
    <row r="262" spans="1:51" ht="23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</row>
    <row r="263" spans="1:51" ht="23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</row>
    <row r="264" spans="1:51" ht="23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</row>
    <row r="265" spans="1:51" ht="23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</row>
    <row r="266" spans="1:51" ht="23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</row>
    <row r="267" spans="1:51" ht="23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</row>
    <row r="268" spans="1:51" ht="23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</row>
    <row r="269" spans="1:51" ht="23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</row>
    <row r="270" spans="1:51" ht="23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</row>
    <row r="271" spans="1:51" ht="23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</row>
    <row r="272" spans="1:51" ht="23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</row>
    <row r="273" spans="1:51" ht="23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</row>
    <row r="274" spans="1:51" ht="23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</row>
    <row r="275" spans="1:51" ht="23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</row>
    <row r="276" spans="1:51" ht="23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</row>
    <row r="277" spans="1:51" ht="23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</row>
    <row r="278" spans="1:51" ht="23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</row>
    <row r="279" spans="1:51" ht="23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</row>
    <row r="280" spans="1:51" ht="23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</row>
    <row r="281" spans="1:51" ht="23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</row>
    <row r="282" spans="1:51" ht="23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</row>
    <row r="283" spans="1:51" ht="23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</row>
    <row r="284" spans="1:51" ht="23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</row>
    <row r="285" spans="1:51" ht="23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</row>
    <row r="286" spans="1:51" ht="23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</row>
    <row r="287" spans="1:51" ht="23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</row>
    <row r="288" spans="1:51" ht="23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</row>
    <row r="289" spans="1:51" ht="23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</row>
    <row r="290" spans="1:51" ht="23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</row>
    <row r="291" spans="1:51" ht="23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</row>
    <row r="292" spans="1:51" ht="23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</row>
    <row r="293" spans="1:51" ht="23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</row>
    <row r="294" spans="1:51" ht="23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</row>
    <row r="295" spans="1:51" ht="23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</row>
    <row r="296" spans="1:51" ht="23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</row>
    <row r="297" spans="1:51" ht="23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</row>
    <row r="298" spans="1:51" ht="23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</row>
    <row r="299" spans="1:51" ht="23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</row>
    <row r="300" spans="1:51" ht="23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</row>
    <row r="301" spans="1:51" ht="23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</row>
    <row r="302" spans="1:51" ht="23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</row>
    <row r="303" spans="1:51" ht="23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</row>
    <row r="304" spans="1:51" ht="23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</row>
    <row r="305" spans="1:51" ht="23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</row>
    <row r="306" spans="1:51" ht="23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</row>
    <row r="307" spans="1:51" ht="23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</row>
    <row r="308" spans="1:51" ht="23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</row>
    <row r="309" spans="1:51" ht="23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</row>
    <row r="310" spans="1:51" ht="23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</row>
    <row r="311" spans="1:51" ht="23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</row>
    <row r="312" spans="1:51" ht="23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</row>
    <row r="313" spans="1:51" ht="23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</row>
    <row r="314" spans="1:51" ht="23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</row>
    <row r="315" spans="1:51" ht="23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</row>
    <row r="316" spans="1:51" ht="23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</row>
    <row r="317" spans="1:51" ht="23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</row>
    <row r="318" spans="1:51" ht="23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</row>
    <row r="319" spans="1:51" ht="23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</row>
    <row r="320" spans="1:51" ht="23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</row>
    <row r="321" spans="1:51" ht="23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</row>
    <row r="322" spans="1:51" ht="23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</row>
    <row r="323" spans="1:51" ht="23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</row>
    <row r="324" spans="1:51" ht="23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</row>
    <row r="325" spans="1:51" ht="23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</row>
    <row r="326" spans="1:51" ht="23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</row>
    <row r="327" spans="1:51" ht="23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</row>
    <row r="328" spans="1:51" ht="23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</row>
    <row r="329" spans="1:51" ht="23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</row>
    <row r="330" spans="1:51" ht="23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</row>
    <row r="331" spans="1:51" ht="23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</row>
    <row r="332" spans="1:51" ht="23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</row>
    <row r="333" spans="1:51" ht="23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</row>
    <row r="334" spans="1:51" ht="23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</row>
    <row r="335" spans="1:51" ht="23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</row>
    <row r="336" spans="1:51" ht="23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</row>
    <row r="337" spans="1:51" ht="23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</row>
    <row r="338" spans="1:51" ht="23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</row>
    <row r="339" spans="1:51" ht="23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</row>
    <row r="340" spans="1:51" ht="23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</row>
    <row r="341" spans="1:51" ht="23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</row>
    <row r="342" spans="1:51" ht="23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</row>
    <row r="343" spans="1:51" ht="23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</row>
    <row r="344" spans="1:51" ht="23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</row>
    <row r="345" spans="1:51" ht="23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</row>
    <row r="346" spans="1:51" ht="23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</row>
    <row r="347" spans="1:51" ht="23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</row>
    <row r="348" spans="1:51" ht="23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</row>
    <row r="349" spans="1:51" ht="23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</row>
    <row r="350" spans="1:51" ht="23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</row>
    <row r="351" spans="1:51" ht="23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</row>
    <row r="352" spans="1:51" ht="23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</row>
    <row r="353" spans="1:51" ht="23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</row>
    <row r="354" spans="1:51" ht="23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</row>
    <row r="355" spans="1:51" ht="23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</row>
    <row r="356" spans="1:51" ht="23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</row>
    <row r="357" spans="1:51" ht="23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</row>
    <row r="358" spans="1:51" ht="23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</row>
    <row r="359" spans="1:51" ht="23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</row>
    <row r="360" spans="1:51" ht="23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</row>
    <row r="361" spans="1:51" ht="23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</row>
    <row r="362" spans="1:51" ht="23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</row>
    <row r="363" spans="1:51" ht="23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</row>
    <row r="364" spans="1:51" ht="23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</row>
    <row r="365" spans="1:51" ht="23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</row>
    <row r="366" spans="1:51" ht="23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</row>
    <row r="367" spans="1:51" ht="23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</row>
    <row r="368" spans="1:51" ht="23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</row>
    <row r="369" spans="1:51" ht="23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</row>
    <row r="370" spans="1:51" ht="23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</row>
    <row r="371" spans="1:51" ht="23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</row>
    <row r="372" spans="1:51" ht="23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</row>
    <row r="373" spans="1:51" ht="23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</row>
    <row r="374" spans="1:51" ht="23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</row>
    <row r="375" spans="1:51" ht="23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</row>
    <row r="376" spans="1:51" ht="23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</row>
    <row r="377" spans="1:51" ht="23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</row>
    <row r="378" spans="1:51" ht="23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</row>
    <row r="379" spans="1:51" ht="23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</row>
    <row r="380" spans="1:51" ht="23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</row>
    <row r="381" spans="1:51" ht="23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</row>
    <row r="382" spans="1:51" ht="23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</row>
    <row r="383" spans="1:51" ht="23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</row>
    <row r="384" spans="1:51" ht="23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</row>
    <row r="385" spans="1:51" ht="23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</row>
    <row r="386" spans="1:51" ht="23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</row>
    <row r="387" spans="1:51" ht="23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</row>
    <row r="388" spans="1:51" ht="23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</row>
    <row r="389" spans="1:51" ht="23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</row>
    <row r="390" spans="1:51" ht="23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</row>
    <row r="391" spans="1:51" ht="23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</row>
    <row r="392" spans="1:51" ht="23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</row>
    <row r="393" spans="1:51" ht="23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</row>
    <row r="394" spans="1:51" ht="23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</row>
    <row r="395" spans="1:51" ht="23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</row>
    <row r="396" spans="1:51" ht="23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</row>
    <row r="397" spans="1:51" ht="23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</row>
    <row r="398" spans="1:51" ht="23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</row>
    <row r="399" spans="1:51" ht="23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</row>
    <row r="400" spans="1:51" ht="23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</row>
    <row r="401" spans="1:51" ht="23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</row>
    <row r="402" spans="1:51" ht="23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</row>
    <row r="403" spans="1:51" ht="23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</row>
    <row r="404" spans="1:51" ht="23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</row>
    <row r="405" spans="1:51" ht="23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</row>
    <row r="406" spans="1:51" ht="23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</row>
    <row r="407" spans="1:51" ht="23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</row>
    <row r="408" spans="1:51" ht="23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</row>
    <row r="409" spans="1:51" ht="23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</row>
    <row r="410" spans="1:51" ht="23.2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</row>
    <row r="411" spans="1:51" ht="23.2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</row>
    <row r="412" spans="1:51" ht="23.2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</row>
    <row r="413" spans="1:51" ht="23.2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</row>
    <row r="414" spans="1:51" ht="23.2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</row>
    <row r="415" spans="1:51" ht="23.2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</row>
    <row r="416" spans="1:51" ht="23.2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</row>
    <row r="417" spans="1:51" ht="23.2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</row>
    <row r="418" spans="1:51" ht="23.2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</row>
    <row r="419" spans="1:51" ht="23.2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</row>
    <row r="420" spans="1:51" ht="23.2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</row>
    <row r="421" spans="1:51" ht="23.2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</row>
    <row r="422" spans="1:51" ht="23.2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</row>
    <row r="423" spans="1:51" ht="23.2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</row>
    <row r="424" spans="1:51" ht="23.2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</row>
    <row r="425" spans="1:51" ht="23.2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</row>
    <row r="426" spans="1:51" ht="23.2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</row>
    <row r="427" spans="1:51" ht="23.2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</row>
    <row r="428" spans="1:51" ht="23.2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</row>
    <row r="429" spans="1:51" ht="23.2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</row>
    <row r="430" spans="1:51" ht="23.2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</row>
    <row r="431" spans="1:51" ht="23.2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</row>
    <row r="432" spans="1:51" ht="23.2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</row>
    <row r="433" spans="1:51" ht="23.2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</row>
    <row r="434" spans="1:51" ht="23.2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</row>
    <row r="435" spans="1:51" ht="23.2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</row>
    <row r="436" spans="1:51" ht="23.2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</row>
    <row r="437" spans="1:51" ht="23.2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</row>
    <row r="438" spans="1:51" ht="23.2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</row>
    <row r="439" spans="1:51" ht="23.2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</row>
    <row r="440" spans="1:51" ht="23.2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</row>
    <row r="441" spans="1:51" ht="23.2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</row>
    <row r="442" spans="1:51" ht="23.2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</row>
    <row r="443" spans="1:51" ht="23.2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</row>
    <row r="444" spans="1:51" ht="23.2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</row>
    <row r="445" spans="1:51" ht="23.2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</row>
    <row r="446" spans="1:51" ht="23.2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</row>
    <row r="447" spans="1:51" ht="23.2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</row>
    <row r="448" spans="1:51" ht="23.2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</row>
    <row r="449" spans="1:51" ht="23.2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</row>
    <row r="450" spans="1:51" ht="23.2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</row>
    <row r="451" spans="1:51" ht="23.2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</row>
    <row r="452" spans="1:51" ht="23.2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</row>
    <row r="453" spans="1:51" ht="23.2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</row>
    <row r="454" spans="1:51" ht="23.2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</row>
    <row r="455" spans="1:51" ht="23.2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</row>
    <row r="456" spans="1:51" ht="23.2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</row>
    <row r="457" spans="1:51" ht="23.2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</row>
    <row r="458" spans="1:51" ht="23.2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</row>
    <row r="459" spans="1:51" ht="23.2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</row>
    <row r="460" spans="1:51" ht="23.2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</row>
    <row r="461" spans="1:51" ht="23.2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</row>
    <row r="462" spans="1:51" ht="23.2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</row>
    <row r="463" spans="1:51" ht="23.2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</row>
    <row r="464" spans="1:51" ht="23.2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</row>
    <row r="465" spans="1:51" ht="23.2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</row>
    <row r="466" spans="1:51" ht="23.2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</row>
    <row r="467" spans="1:51" ht="23.2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</row>
    <row r="468" spans="1:51" ht="23.2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</row>
    <row r="469" spans="1:51" ht="23.2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</row>
    <row r="470" spans="1:51" ht="23.2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</row>
    <row r="471" spans="1:51" ht="23.2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</row>
    <row r="472" spans="1:51" ht="23.2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</row>
    <row r="473" spans="1:51" ht="23.2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</row>
    <row r="474" spans="1:51" ht="23.2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</row>
    <row r="475" spans="1:51" ht="23.2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</row>
    <row r="476" spans="1:51" ht="23.2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</row>
    <row r="477" spans="1:51" ht="23.2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</row>
    <row r="478" spans="1:51" ht="23.2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</row>
    <row r="479" spans="1:51" ht="23.2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</row>
    <row r="480" spans="1:51" ht="23.2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</row>
    <row r="481" spans="1:51" ht="23.2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</row>
    <row r="482" spans="1:51" ht="23.2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</row>
    <row r="483" spans="1:51" ht="23.2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</row>
    <row r="484" spans="1:51" ht="23.2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</row>
    <row r="485" spans="1:51" ht="23.2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</row>
    <row r="486" spans="1:51" ht="23.2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</row>
    <row r="487" spans="1:51" ht="23.2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</row>
    <row r="488" spans="1:51" ht="23.2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</row>
    <row r="489" spans="1:51" ht="23.2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</row>
    <row r="490" spans="1:51" ht="23.2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</row>
    <row r="491" spans="1:51" ht="23.2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</row>
    <row r="492" spans="1:51" ht="23.2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</row>
    <row r="493" spans="1:51" ht="23.2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</row>
    <row r="494" spans="1:51" ht="23.2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</row>
    <row r="495" spans="1:51" ht="23.2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</row>
    <row r="496" spans="1:51" ht="23.2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</row>
    <row r="497" spans="1:51" ht="23.2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</row>
    <row r="498" spans="1:51" ht="23.2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</row>
    <row r="499" spans="1:51" ht="23.2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</row>
    <row r="500" spans="1:51" ht="23.2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</row>
    <row r="501" spans="1:51" ht="23.2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</row>
    <row r="502" spans="1:51" ht="23.2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</row>
    <row r="503" spans="1:51" ht="23.2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</row>
    <row r="504" spans="1:51" ht="23.2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</row>
    <row r="505" spans="1:51" ht="23.2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</row>
    <row r="506" spans="1:51" ht="23.2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</row>
    <row r="507" spans="1:51" ht="23.2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</row>
    <row r="508" spans="1:51" ht="23.2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</row>
    <row r="509" spans="1:51" ht="23.2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</row>
    <row r="510" spans="1:51" ht="23.2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</row>
    <row r="511" spans="1:51" ht="23.2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</row>
    <row r="512" spans="1:51" ht="23.2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</row>
    <row r="513" spans="1:51" ht="23.2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</row>
    <row r="514" spans="1:51" ht="23.2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</row>
    <row r="515" spans="1:51" ht="23.2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</row>
    <row r="516" spans="1:51" ht="23.2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</row>
    <row r="517" spans="1:51" ht="23.2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</row>
    <row r="518" spans="1:51" ht="23.2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</row>
    <row r="519" spans="1:51" ht="23.2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</row>
    <row r="520" spans="1:51" ht="23.2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</row>
    <row r="521" spans="1:51" ht="23.2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</row>
    <row r="522" spans="1:51" ht="23.2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</row>
    <row r="523" spans="1:51" ht="23.2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</row>
    <row r="524" spans="1:51" ht="23.2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</row>
    <row r="525" spans="1:51" ht="23.2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</row>
    <row r="526" spans="1:51" ht="23.2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</row>
    <row r="527" spans="1:51" ht="23.2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</row>
    <row r="528" spans="1:51" ht="23.2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1:51" ht="23.2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1:51" ht="23.2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1:51" ht="23.2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</row>
    <row r="532" spans="1:51" ht="23.2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1:51" ht="23.2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1:51" ht="23.2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1:51" ht="23.2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1:51" ht="23.2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</row>
    <row r="537" spans="1:51" ht="23.2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1:51" ht="23.2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1:51" ht="23.2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1:51" ht="23.2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</row>
    <row r="541" spans="1:51" ht="23.2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</row>
    <row r="542" spans="1:51" ht="23.2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</row>
    <row r="543" spans="1:51" ht="23.2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1:51" ht="23.2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1:51" ht="23.2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</row>
    <row r="546" spans="1:51" ht="23.2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1:51" ht="23.2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1:51" ht="23.2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1:51" ht="23.2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1:51" ht="23.2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</row>
    <row r="551" spans="1:51" ht="23.2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</row>
    <row r="552" spans="1:51" ht="23.2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</row>
    <row r="553" spans="1:51" ht="23.2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1:51" ht="23.2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1:51" ht="23.2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1:51" ht="23.2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1:51" ht="23.2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</row>
    <row r="558" spans="1:51" ht="23.2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1:51" ht="23.2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1:51" ht="23.2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1:51" ht="23.2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</row>
    <row r="562" spans="1:51" ht="23.2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1:51" ht="23.2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</row>
    <row r="564" spans="1:51" ht="23.2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</row>
    <row r="565" spans="1:51" ht="23.2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1:51" ht="23.2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1:51" ht="23.2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</row>
    <row r="568" spans="1:51" ht="23.2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1:51" ht="23.2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1:51" ht="23.2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1:51" ht="23.2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</row>
    <row r="572" spans="1:51" ht="23.2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1:51" ht="23.2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1:51" ht="23.2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1:51" ht="23.2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</row>
    <row r="576" spans="1:51" ht="23.2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</row>
    <row r="577" spans="1:51" ht="23.2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1:51" ht="23.2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</row>
    <row r="579" spans="1:51" ht="23.2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1:51" ht="23.2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</row>
    <row r="581" spans="1:51" ht="23.2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1:51" ht="23.2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1:51" ht="23.2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</row>
    <row r="584" spans="1:51" ht="23.2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1:51" ht="23.2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</row>
    <row r="586" spans="1:51" ht="23.2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1:51" ht="23.2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1:51" ht="23.2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1:51" ht="23.2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</row>
    <row r="590" spans="1:51" ht="23.2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</row>
    <row r="591" spans="1:51" ht="23.2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1:51" ht="23.2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1:51" ht="23.2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1:51" ht="23.2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</row>
    <row r="595" spans="1:51" ht="23.2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1:51" ht="23.2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1:51" ht="23.2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1:51" ht="23.2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1:51" ht="23.2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1:51" ht="23.2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1:51" ht="23.2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1:51" ht="23.2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</row>
    <row r="603" spans="1:51" ht="23.2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1:51" ht="23.2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</row>
    <row r="605" spans="1:51" ht="23.2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1:51" ht="23.2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</row>
    <row r="607" spans="1:51" ht="23.2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1:51" ht="23.2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1:51" ht="23.2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1:51" ht="23.2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</row>
    <row r="611" spans="1:51" ht="23.2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1:51" ht="23.2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1:51" ht="23.2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1:51" ht="23.2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1:51" ht="23.2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1:51" ht="23.2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1:51" ht="23.2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</row>
    <row r="618" spans="1:51" ht="23.2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</row>
    <row r="619" spans="1:51" ht="23.2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1:51" ht="23.2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1:51" ht="23.2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1:51" ht="23.2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1:51" ht="23.2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1:51" ht="23.2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1:51" ht="23.2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1:51" ht="23.2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1:51" ht="23.2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</row>
    <row r="628" spans="1:51" ht="23.2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1:51" ht="23.2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1:51" ht="23.2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1:51" ht="23.2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1:51" ht="23.2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1:51" ht="23.2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</row>
    <row r="634" spans="1:51" ht="23.2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1:51" ht="23.2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1:51" ht="23.2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1:51" ht="23.2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1:51" ht="23.2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</row>
    <row r="639" spans="1:51" ht="23.2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1:51" ht="23.2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</row>
    <row r="641" spans="1:51" ht="23.2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</row>
    <row r="642" spans="1:51" ht="23.2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</row>
    <row r="643" spans="1:51" ht="23.2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</row>
    <row r="644" spans="1:51" ht="23.2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</row>
    <row r="645" spans="1:51" ht="23.2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</row>
    <row r="646" spans="1:51" ht="23.2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</row>
    <row r="647" spans="1:51" ht="23.2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</row>
    <row r="648" spans="1:51" ht="23.2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</row>
    <row r="649" spans="1:51" ht="23.2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</row>
    <row r="650" spans="1:51" ht="23.2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</row>
    <row r="651" spans="1:51" ht="23.2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</row>
    <row r="652" spans="1:51" ht="23.2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</row>
    <row r="653" spans="1:51" ht="23.2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</row>
    <row r="654" spans="1:51" ht="23.2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</row>
    <row r="655" spans="1:51" ht="23.2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</row>
    <row r="656" spans="1:51" ht="23.2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</row>
    <row r="657" spans="1:51" ht="23.2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</row>
    <row r="658" spans="1:51" ht="23.2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</row>
    <row r="659" spans="1:51" ht="23.2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</row>
    <row r="660" spans="1:51" ht="23.2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</row>
    <row r="661" spans="1:51" ht="23.2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</row>
    <row r="662" spans="1:51" ht="23.2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</row>
    <row r="663" spans="1:51" ht="23.2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</row>
    <row r="664" spans="1:51" ht="23.2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</row>
    <row r="665" spans="1:51" ht="23.2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</row>
    <row r="666" spans="1:51" ht="23.2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</row>
    <row r="667" spans="1:51" ht="23.2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</row>
    <row r="668" spans="1:51" ht="23.2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</row>
    <row r="669" spans="1:51" ht="23.2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</row>
    <row r="670" spans="1:51" ht="23.2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</row>
    <row r="671" spans="1:51" ht="23.2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</row>
    <row r="672" spans="1:51" ht="23.2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</row>
    <row r="673" spans="1:51" ht="23.2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</row>
    <row r="674" spans="1:51" ht="23.2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</row>
    <row r="675" spans="1:51" ht="23.2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</row>
    <row r="676" spans="1:51" ht="23.2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</row>
    <row r="677" spans="1:51" ht="23.2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</row>
    <row r="678" spans="1:51" ht="23.2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</row>
    <row r="679" spans="1:51" ht="23.2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</row>
    <row r="680" spans="1:51" ht="23.2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</row>
    <row r="681" spans="1:51" ht="23.2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</row>
    <row r="682" spans="1:51" ht="23.2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</row>
    <row r="683" spans="1:51" ht="23.2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</row>
    <row r="684" spans="1:51" ht="23.2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</row>
    <row r="685" spans="1:51" ht="23.2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</row>
    <row r="686" spans="1:51" ht="23.2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</row>
    <row r="687" spans="1:51" ht="23.2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</row>
    <row r="688" spans="1:51" ht="23.2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</row>
    <row r="689" spans="1:51" ht="23.2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</row>
    <row r="690" spans="1:51" ht="23.2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</row>
    <row r="691" spans="1:51" ht="23.2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</row>
    <row r="692" spans="1:51" ht="23.2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</row>
    <row r="693" spans="1:51" ht="23.2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</row>
    <row r="694" spans="1:51" ht="23.2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</row>
    <row r="695" spans="1:51" ht="23.2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</row>
    <row r="696" spans="1:51" ht="23.2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</row>
    <row r="697" spans="1:51" ht="23.2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</row>
    <row r="698" spans="1:51" ht="23.2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</row>
    <row r="699" spans="1:51" ht="23.2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</row>
    <row r="700" spans="1:51" ht="23.2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</row>
    <row r="701" spans="1:51" ht="23.2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</row>
    <row r="702" spans="1:51" ht="23.2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</row>
    <row r="703" spans="1:51" ht="23.2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</row>
    <row r="704" spans="1:51" ht="23.2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</row>
    <row r="705" spans="1:51" ht="23.2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</row>
    <row r="706" spans="1:51" ht="23.2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</row>
    <row r="707" spans="1:51" ht="23.2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</row>
    <row r="708" spans="1:51" ht="23.2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</row>
    <row r="709" spans="1:51" ht="23.2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</row>
    <row r="710" spans="1:51" ht="23.2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</row>
    <row r="711" spans="1:51" ht="23.2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</row>
    <row r="712" spans="1:51" ht="23.2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</row>
    <row r="713" spans="1:51" ht="23.2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</row>
    <row r="714" spans="1:51" ht="23.2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</row>
    <row r="715" spans="1:51" ht="23.2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</row>
    <row r="716" spans="1:51" ht="23.2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</row>
    <row r="717" spans="1:51" ht="23.2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</row>
    <row r="718" spans="1:51" ht="23.2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</row>
    <row r="719" spans="1:51" ht="23.2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</row>
    <row r="720" spans="1:51" ht="23.2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</row>
    <row r="721" spans="1:51" ht="23.2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</row>
    <row r="722" spans="1:51" ht="23.2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</row>
    <row r="723" spans="1:51" ht="23.2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</row>
    <row r="724" spans="1:51" ht="23.2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</row>
    <row r="725" spans="1:51" ht="23.2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</row>
    <row r="726" spans="1:51" ht="23.2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</row>
    <row r="727" spans="1:51" ht="23.2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</row>
    <row r="728" spans="1:51" ht="23.2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</row>
    <row r="729" spans="1:51" ht="23.2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</row>
    <row r="730" spans="1:51" ht="23.2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</row>
    <row r="731" spans="1:51" ht="23.2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</row>
    <row r="732" spans="1:51" ht="23.2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</row>
    <row r="733" spans="1:51" ht="23.2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</row>
    <row r="734" spans="1:51" ht="23.2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</row>
    <row r="735" spans="1:51" ht="23.2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</row>
    <row r="736" spans="1:51" ht="23.2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</row>
    <row r="737" spans="1:51" ht="23.2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</row>
    <row r="738" spans="1:51" ht="23.2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</row>
    <row r="739" spans="1:51" ht="23.2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</row>
    <row r="740" spans="1:51" ht="23.2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</row>
    <row r="741" spans="1:51" ht="23.2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</row>
    <row r="742" spans="1:51" ht="23.2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</row>
    <row r="743" spans="1:51" ht="23.2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</row>
    <row r="744" spans="1:51" ht="23.2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</row>
    <row r="745" spans="1:51" ht="23.2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</row>
    <row r="746" spans="1:51" ht="23.2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</row>
    <row r="747" spans="1:51" ht="23.2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</row>
    <row r="748" spans="1:51" ht="23.2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</row>
    <row r="749" spans="1:51" ht="23.2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</row>
    <row r="750" spans="1:51" ht="23.2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</row>
    <row r="751" spans="1:51" ht="23.2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</row>
    <row r="752" spans="1:51" ht="23.2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</row>
    <row r="753" spans="1:51" ht="23.2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</row>
    <row r="754" spans="1:51" ht="23.2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</row>
    <row r="755" spans="1:51" ht="23.2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</row>
    <row r="756" spans="1:51" ht="23.2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</row>
    <row r="757" spans="1:51" ht="23.2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</row>
    <row r="758" spans="1:51" ht="23.2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</row>
    <row r="759" spans="1:51" ht="23.2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</row>
    <row r="760" spans="1:51" ht="23.2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</row>
    <row r="761" spans="1:51" ht="23.2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</row>
    <row r="762" spans="1:51" ht="23.2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</row>
    <row r="763" spans="1:51" ht="23.2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</row>
    <row r="764" spans="1:51" ht="23.2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</row>
    <row r="765" spans="1:51" ht="23.2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</row>
    <row r="766" spans="1:51" ht="23.2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</row>
    <row r="767" spans="1:51" ht="23.2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</row>
    <row r="768" spans="1:51" ht="23.2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</row>
    <row r="769" spans="1:51" ht="23.2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</row>
    <row r="770" spans="1:51" ht="23.2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</row>
    <row r="771" spans="1:51" ht="23.2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</row>
    <row r="772" spans="1:51" ht="23.2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</row>
    <row r="773" spans="1:51" ht="23.2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</row>
    <row r="774" spans="1:51" ht="23.2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</row>
    <row r="775" spans="1:51" ht="23.2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</row>
    <row r="776" spans="1:51" ht="23.2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</row>
    <row r="777" spans="1:51" ht="23.2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</row>
    <row r="778" spans="1:51" ht="23.2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</row>
    <row r="779" spans="1:51" ht="23.2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</row>
    <row r="780" spans="1:51" ht="23.2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</row>
    <row r="781" spans="1:51" ht="23.2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</row>
    <row r="782" spans="1:51" ht="23.2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</row>
    <row r="783" spans="1:51" ht="23.2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</row>
    <row r="784" spans="1:51" ht="23.2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</row>
    <row r="785" spans="1:51" ht="23.2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</row>
    <row r="786" spans="1:51" ht="23.2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</row>
    <row r="787" spans="1:51" ht="23.2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</row>
    <row r="788" spans="1:51" ht="23.2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</row>
    <row r="789" spans="1:51" ht="23.2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</row>
    <row r="790" spans="1:51" ht="23.2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</row>
    <row r="791" spans="1:51" ht="23.2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</row>
    <row r="792" spans="1:51" ht="23.2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</row>
    <row r="793" spans="1:51" ht="23.2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</row>
    <row r="794" spans="1:51" ht="23.2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</row>
    <row r="795" spans="1:51" ht="23.2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</row>
    <row r="796" spans="1:51" ht="23.2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</row>
    <row r="797" spans="1:51" ht="23.2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</row>
    <row r="798" spans="1:51" ht="23.2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</row>
    <row r="799" spans="1:51" ht="23.2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</row>
    <row r="800" spans="1:51" ht="23.2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</row>
    <row r="801" spans="1:51" ht="23.2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</row>
    <row r="802" spans="1:51" ht="23.2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</row>
    <row r="803" spans="1:51" ht="23.2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</row>
    <row r="804" spans="1:51" ht="23.2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</row>
    <row r="805" spans="1:51" ht="23.2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</row>
    <row r="806" spans="1:51" ht="23.2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</row>
    <row r="807" spans="1:51" ht="23.2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</row>
    <row r="808" spans="1:51" ht="23.2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</row>
    <row r="809" spans="1:51" ht="23.2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</row>
    <row r="810" spans="1:51" ht="23.2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</row>
    <row r="811" spans="1:51" ht="23.2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</row>
    <row r="812" spans="1:51" ht="23.2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</row>
    <row r="813" spans="1:51" ht="23.2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</row>
    <row r="814" spans="1:51" ht="23.2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</row>
    <row r="815" spans="1:51" ht="23.2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</row>
    <row r="816" spans="1:51" ht="23.2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</row>
    <row r="817" spans="1:51" ht="23.2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</row>
    <row r="818" spans="1:51" ht="23.2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</row>
    <row r="819" spans="1:51" ht="23.2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</row>
    <row r="820" spans="1:51" ht="23.2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</row>
    <row r="821" spans="1:51" ht="23.2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</row>
    <row r="822" spans="1:51" ht="23.2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</row>
    <row r="823" spans="1:51" ht="23.2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</row>
    <row r="824" spans="1:51" ht="23.2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</row>
    <row r="825" spans="1:51" ht="23.2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</row>
    <row r="826" spans="1:51" ht="23.2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</row>
    <row r="827" spans="1:51" ht="23.2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</row>
    <row r="828" spans="1:51" ht="23.2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</row>
    <row r="829" spans="1:51" ht="23.2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</row>
    <row r="830" spans="1:51" ht="23.2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</row>
    <row r="831" spans="1:51" ht="23.2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</row>
    <row r="832" spans="1:51" ht="23.2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</row>
    <row r="833" spans="1:51" ht="23.2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</row>
    <row r="834" spans="1:51" ht="23.2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</row>
    <row r="835" spans="1:51" ht="23.2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</row>
    <row r="836" spans="1:51" ht="23.2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</row>
    <row r="837" spans="1:51" ht="23.2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</row>
    <row r="838" spans="1:51" ht="23.2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</row>
    <row r="839" spans="1:51" ht="23.2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</row>
    <row r="840" spans="1:51" ht="23.2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</row>
    <row r="841" spans="1:51" ht="23.2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</row>
    <row r="842" spans="1:51" ht="23.2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</row>
    <row r="843" spans="1:51" ht="23.2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</row>
    <row r="844" spans="1:51" ht="23.2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</row>
    <row r="845" spans="1:51" ht="23.2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</row>
    <row r="846" spans="1:51" ht="23.2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</row>
    <row r="847" spans="1:51" ht="23.2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</row>
    <row r="848" spans="1:51" ht="23.2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</row>
    <row r="849" spans="1:51" ht="23.2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</row>
    <row r="850" spans="1:51" ht="23.2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</row>
    <row r="851" spans="1:51" ht="23.2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</row>
    <row r="852" spans="1:51" ht="23.2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</row>
    <row r="853" spans="1:51" ht="23.2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</row>
    <row r="854" spans="1:51" ht="23.2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</row>
    <row r="855" spans="1:51" ht="23.2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</row>
    <row r="856" spans="1:51" ht="23.2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</row>
    <row r="857" spans="1:51" ht="23.2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</row>
    <row r="858" spans="1:51" ht="23.2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</row>
    <row r="859" spans="1:51" ht="23.2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</row>
    <row r="860" spans="1:51" ht="23.2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</row>
    <row r="861" spans="1:51" ht="23.2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</row>
    <row r="862" spans="1:51" ht="23.2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</row>
    <row r="863" spans="1:51" ht="23.2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</row>
    <row r="864" spans="1:51" ht="23.2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</row>
    <row r="865" spans="1:51" ht="23.2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</row>
    <row r="866" spans="1:51" ht="23.2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</row>
    <row r="867" spans="1:51" ht="23.2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</row>
    <row r="868" spans="1:51" ht="23.2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</row>
    <row r="869" spans="1:51" ht="23.2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</row>
    <row r="870" spans="1:51" ht="23.2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</row>
    <row r="871" spans="1:51" ht="23.2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</row>
    <row r="872" spans="1:51" ht="23.2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</row>
    <row r="873" spans="1:51" ht="23.2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</row>
    <row r="874" spans="1:51" ht="23.2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</row>
    <row r="875" spans="1:51" ht="23.2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</row>
    <row r="876" spans="1:51" ht="23.2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</row>
    <row r="877" spans="1:51" ht="23.2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</row>
    <row r="878" spans="1:51" ht="23.2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</row>
    <row r="879" spans="1:51" ht="23.2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</row>
    <row r="880" spans="1:51" ht="23.2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</row>
    <row r="881" spans="1:51" ht="23.2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</row>
    <row r="882" spans="1:51" ht="23.2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</row>
    <row r="883" spans="1:51" ht="23.2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</row>
    <row r="884" spans="1:51" ht="23.2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</row>
    <row r="885" spans="1:51" ht="23.2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</row>
    <row r="886" spans="1:51" ht="23.2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</row>
    <row r="887" spans="1:51" ht="23.2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</row>
    <row r="888" spans="1:51" ht="23.2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</row>
    <row r="889" spans="1:51" ht="23.2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</row>
    <row r="890" spans="1:51" ht="23.2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</row>
    <row r="891" spans="1:51" ht="23.2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</row>
    <row r="892" spans="1:51" ht="23.2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</row>
    <row r="893" spans="1:51" ht="23.2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</row>
    <row r="894" spans="1:51" ht="23.2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</row>
    <row r="895" spans="1:51" ht="23.2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</row>
    <row r="896" spans="1:51" ht="23.2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</row>
    <row r="897" spans="1:51" ht="23.2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</row>
    <row r="898" spans="1:51" ht="23.2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</row>
    <row r="899" spans="1:51" ht="23.2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</row>
    <row r="900" spans="1:51" ht="23.2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</row>
    <row r="901" spans="1:51" ht="23.2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</row>
    <row r="902" spans="1:51" ht="23.2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</row>
    <row r="903" spans="1:51" ht="23.2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</row>
    <row r="904" spans="1:51" ht="23.2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</row>
    <row r="905" spans="1:51" ht="23.2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</row>
    <row r="906" spans="1:51" ht="23.2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</row>
    <row r="907" spans="1:51" ht="23.2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</row>
    <row r="908" spans="1:51" ht="23.2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</row>
    <row r="909" spans="1:51" ht="23.2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</row>
    <row r="910" spans="1:51" ht="23.2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</row>
    <row r="911" spans="1:51" ht="23.2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</row>
    <row r="912" spans="1:51" ht="23.2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</row>
    <row r="913" spans="1:51" ht="23.2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</row>
    <row r="914" spans="1:51" ht="23.2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</row>
    <row r="915" spans="1:51" ht="23.2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</row>
    <row r="916" spans="1:51" ht="23.2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</row>
    <row r="917" spans="1:51" ht="23.2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</row>
    <row r="918" spans="1:51" ht="23.2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</row>
    <row r="919" spans="1:51" ht="23.2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</row>
    <row r="920" spans="1:51" ht="23.2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</row>
    <row r="921" spans="1:51" ht="23.2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</row>
    <row r="922" spans="1:51" ht="23.2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</row>
    <row r="923" spans="1:51" ht="23.2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</row>
    <row r="924" spans="1:51" ht="23.2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</row>
    <row r="925" spans="1:51" ht="23.2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</row>
    <row r="926" spans="1:51" ht="23.2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</row>
    <row r="927" spans="1:51" ht="23.2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</row>
    <row r="928" spans="1:51" ht="23.2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</row>
    <row r="929" spans="1:51" ht="23.2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</row>
    <row r="930" spans="1:51" ht="23.2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</row>
    <row r="931" spans="1:51" ht="23.2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</row>
    <row r="932" spans="1:51" ht="23.2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</row>
    <row r="933" spans="1:51" ht="23.2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</row>
    <row r="934" spans="1:51" ht="23.2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</row>
    <row r="935" spans="1:51" ht="23.2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</row>
    <row r="936" spans="1:51" ht="23.2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</row>
    <row r="937" spans="1:51" ht="23.2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</row>
    <row r="938" spans="1:51" ht="23.2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</row>
    <row r="939" spans="1:51" ht="23.2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</row>
    <row r="940" spans="1:51" ht="23.2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</row>
    <row r="941" spans="1:51" ht="23.2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</row>
    <row r="942" spans="1:51" ht="23.2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</row>
    <row r="943" spans="1:51" ht="23.2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</row>
    <row r="944" spans="1:51" ht="23.2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</row>
    <row r="945" spans="1:51" ht="23.2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</row>
    <row r="946" spans="1:51" ht="23.2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</row>
    <row r="947" spans="1:51" ht="23.2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</row>
    <row r="948" spans="1:51" ht="23.2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</row>
    <row r="949" spans="1:51" ht="23.2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</row>
    <row r="950" spans="1:51" ht="23.2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</row>
    <row r="951" spans="1:51" ht="23.2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</row>
    <row r="952" spans="1:51" ht="23.2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</row>
    <row r="953" spans="1:51" ht="23.2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</row>
    <row r="954" spans="1:51" ht="23.2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</row>
    <row r="955" spans="1:51" ht="23.2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</row>
    <row r="956" spans="1:51" ht="23.2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</row>
    <row r="957" spans="1:51" ht="23.2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</row>
    <row r="958" spans="1:51" ht="23.2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</row>
    <row r="959" spans="1:51" ht="23.2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</row>
    <row r="960" spans="1:51" ht="23.2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</row>
    <row r="961" spans="1:51" ht="23.2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</row>
    <row r="962" spans="1:51" ht="23.2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</row>
    <row r="963" spans="1:51" ht="23.2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</row>
    <row r="964" spans="1:51" ht="23.2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</row>
    <row r="965" spans="1:51" ht="23.2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</row>
    <row r="966" spans="1:51" ht="23.2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</row>
    <row r="967" spans="1:51" ht="23.2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</row>
    <row r="968" spans="1:51" ht="23.2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</row>
    <row r="969" spans="1:51" ht="23.2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</row>
    <row r="970" spans="1:51" ht="23.2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</row>
    <row r="971" spans="1:51" ht="23.2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</row>
    <row r="972" spans="1:51" ht="23.2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</row>
    <row r="973" spans="1:51" ht="23.2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</row>
    <row r="974" spans="1:51" ht="23.2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</row>
    <row r="975" spans="1:51" ht="23.2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</row>
    <row r="976" spans="1:51" ht="23.2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</row>
    <row r="977" spans="1:51" ht="23.2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</row>
    <row r="978" spans="1:51" ht="23.2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</row>
    <row r="979" spans="1:51" ht="23.2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</row>
    <row r="980" spans="1:51" ht="23.2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</row>
    <row r="981" spans="1:51" ht="23.2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</row>
    <row r="982" spans="1:51" ht="23.2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</row>
    <row r="983" spans="1:51" ht="23.2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</row>
    <row r="984" spans="1:51" ht="23.2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</row>
    <row r="985" spans="1:51" ht="23.2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</row>
    <row r="986" spans="1:51" ht="23.2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</row>
    <row r="987" spans="1:51" ht="23.2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</row>
    <row r="988" spans="1:51" ht="23.2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</row>
    <row r="989" spans="1:51" ht="23.2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</row>
    <row r="990" spans="1:51" ht="23.2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</row>
    <row r="991" spans="1:51" ht="23.2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</row>
    <row r="992" spans="1:51" ht="23.2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</row>
    <row r="993" spans="1:51" ht="23.2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</row>
    <row r="994" spans="1:51" ht="23.2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</row>
    <row r="995" spans="1:51" ht="23.2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</row>
    <row r="996" spans="1:51" ht="23.2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</row>
    <row r="997" spans="1:51" ht="23.2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</row>
    <row r="998" spans="1:51" ht="23.2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</row>
    <row r="999" spans="1:51" ht="23.2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</row>
    <row r="1000" spans="1:51" ht="23.2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</row>
    <row r="1001" spans="1:51" ht="23.2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</row>
    <row r="1002" spans="1:51" ht="23.2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</row>
    <row r="1003" spans="1:51" ht="23.2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</row>
    <row r="1004" spans="1:51" ht="23.2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</row>
    <row r="1005" spans="1:51" ht="23.2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</row>
    <row r="1006" spans="1:51" ht="23.2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</row>
    <row r="1007" spans="1:51" ht="23.2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</row>
    <row r="1008" spans="1:51" ht="23.2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</row>
    <row r="1009" spans="1:51" ht="23.2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</row>
    <row r="1010" spans="1:51" ht="23.25" customHeigh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</row>
    <row r="1011" spans="1:51" ht="23.25" customHeight="1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</row>
    <row r="1012" spans="1:51" ht="23.25" customHeight="1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</row>
    <row r="1013" spans="1:51" ht="23.25" customHeight="1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</row>
    <row r="1014" spans="1:51" ht="23.25" customHeight="1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</row>
    <row r="1015" spans="1:51" ht="23.25" customHeight="1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</row>
    <row r="1016" spans="1:51" ht="23.25" customHeight="1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</row>
    <row r="1017" spans="1:51" ht="23.25" customHeight="1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</row>
    <row r="1018" spans="1:51" ht="23.25" customHeight="1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</row>
    <row r="1019" spans="1:51" ht="23.25" customHeight="1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</row>
    <row r="1020" spans="1:51" ht="23.25" customHeight="1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</row>
    <row r="1021" spans="1:51" ht="23.25" customHeight="1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</row>
    <row r="1022" spans="1:51" ht="23.25" customHeight="1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</row>
    <row r="1023" spans="1:51" ht="23.25" customHeight="1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</row>
    <row r="1024" spans="1:51" ht="23.25" customHeight="1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</row>
    <row r="1025" spans="1:51" ht="23.25" customHeight="1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</row>
  </sheetData>
  <mergeCells count="18">
    <mergeCell ref="E83:F83"/>
    <mergeCell ref="E84:F84"/>
    <mergeCell ref="A1:C1"/>
    <mergeCell ref="D1:E1"/>
    <mergeCell ref="A39:B39"/>
    <mergeCell ref="C39:D39"/>
    <mergeCell ref="B43:C43"/>
    <mergeCell ref="B42:C42"/>
    <mergeCell ref="A92:B92"/>
    <mergeCell ref="A104:B104"/>
    <mergeCell ref="B44:C44"/>
    <mergeCell ref="B49:C49"/>
    <mergeCell ref="A116:C116"/>
    <mergeCell ref="A112:C112"/>
    <mergeCell ref="A115:C115"/>
    <mergeCell ref="B50:C50"/>
    <mergeCell ref="A56:B56"/>
    <mergeCell ref="C56:D56"/>
  </mergeCells>
  <printOptions horizontalCentered="1" verticalCentered="1"/>
  <pageMargins left="0.7" right="0.7" top="0.75" bottom="0.75" header="0" footer="0"/>
  <pageSetup fitToHeight="0" orientation="landscape" r:id="rId1"/>
  <headerFooter>
    <oddHeader>&amp;C000000INVESTOR SHEET</oddHeader>
    <oddFooter>&amp;CPage &amp;P of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8" ma:contentTypeDescription="Create a new document." ma:contentTypeScope="" ma:versionID="6029c9b328e49caaf1bfc5e9c1c5d402">
  <xsd:schema xmlns:xsd="http://www.w3.org/2001/XMLSchema" xmlns:xs="http://www.w3.org/2001/XMLSchema" xmlns:p="http://schemas.microsoft.com/office/2006/metadata/properties" xmlns:ns1="http://schemas.microsoft.com/sharepoint/v3" xmlns:ns2="07832773-9414-42b9-95c3-36a558d8f74c" xmlns:ns3="9f6012f1-210b-47d8-98a5-79507b18255d" targetNamespace="http://schemas.microsoft.com/office/2006/metadata/properties" ma:root="true" ma:fieldsID="acdeb425d2a7055c715a7d4969065827" ns1:_="" ns2:_="" ns3:_="">
    <xsd:import namespace="http://schemas.microsoft.com/sharepoint/v3"/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44f5b13-403a-4dd3-b9ce-b7b6c8a66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396aa7e-ad57-49d2-b18b-708832d3d098}" ma:internalName="TaxCatchAll" ma:showField="CatchAllData" ma:web="9f6012f1-210b-47d8-98a5-79507b1825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832773-9414-42b9-95c3-36a558d8f74c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TaxCatchAll xmlns="9f6012f1-210b-47d8-98a5-79507b18255d" xsi:nil="true"/>
  </documentManagement>
</p:properties>
</file>

<file path=customXml/itemProps1.xml><?xml version="1.0" encoding="utf-8"?>
<ds:datastoreItem xmlns:ds="http://schemas.openxmlformats.org/officeDocument/2006/customXml" ds:itemID="{D8C641E3-480B-4E13-A690-305570893B01}"/>
</file>

<file path=customXml/itemProps2.xml><?xml version="1.0" encoding="utf-8"?>
<ds:datastoreItem xmlns:ds="http://schemas.openxmlformats.org/officeDocument/2006/customXml" ds:itemID="{E2A23C80-2BFD-4524-BF38-5AA169F15E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75A15F-45E9-4E40-9608-DD37255EAEE1}">
  <ds:schemaRefs>
    <ds:schemaRef ds:uri="http://schemas.microsoft.com/office/2006/metadata/properties"/>
    <ds:schemaRef ds:uri="http://schemas.microsoft.com/office/infopath/2007/PartnerControls"/>
    <ds:schemaRef ds:uri="87eb7453-a6a0-4f9b-9aac-1695890f51f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Market Research</vt:lpstr>
      <vt:lpstr>Supplemental Research</vt:lpstr>
      <vt:lpstr>Summary</vt:lpstr>
      <vt:lpstr>Assumptions</vt:lpstr>
      <vt:lpstr>Development Program</vt:lpstr>
      <vt:lpstr>Parcel Data</vt:lpstr>
      <vt:lpstr>Phase I Financial</vt:lpstr>
      <vt:lpstr>Phase I Draw</vt:lpstr>
      <vt:lpstr>Phase II Financial</vt:lpstr>
      <vt:lpstr>Phase II Draw</vt:lpstr>
      <vt:lpstr>All Components Draw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A. Long</dc:creator>
  <cp:keywords/>
  <dc:description/>
  <cp:lastModifiedBy>Andre</cp:lastModifiedBy>
  <cp:revision/>
  <dcterms:created xsi:type="dcterms:W3CDTF">2011-07-11T21:17:46Z</dcterms:created>
  <dcterms:modified xsi:type="dcterms:W3CDTF">2023-04-03T02:57:27Z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388465-aeed-4329-a493-dfb4cee22503_Enabled">
    <vt:lpwstr>true</vt:lpwstr>
  </property>
  <property fmtid="{D5CDD505-2E9C-101B-9397-08002B2CF9AE}" pid="3" name="MSIP_Label_70388465-aeed-4329-a493-dfb4cee22503_SetDate">
    <vt:lpwstr>2022-12-01T14:29:01Z</vt:lpwstr>
  </property>
  <property fmtid="{D5CDD505-2E9C-101B-9397-08002B2CF9AE}" pid="4" name="MSIP_Label_70388465-aeed-4329-a493-dfb4cee22503_Method">
    <vt:lpwstr>Standard</vt:lpwstr>
  </property>
  <property fmtid="{D5CDD505-2E9C-101B-9397-08002B2CF9AE}" pid="5" name="MSIP_Label_70388465-aeed-4329-a493-dfb4cee22503_Name">
    <vt:lpwstr>defa4170-0d19-0005-0004-bc88714345d2</vt:lpwstr>
  </property>
  <property fmtid="{D5CDD505-2E9C-101B-9397-08002B2CF9AE}" pid="6" name="MSIP_Label_70388465-aeed-4329-a493-dfb4cee22503_SiteId">
    <vt:lpwstr>c733f279-2e57-447e-b549-b435d7bcf45e</vt:lpwstr>
  </property>
  <property fmtid="{D5CDD505-2E9C-101B-9397-08002B2CF9AE}" pid="7" name="MSIP_Label_70388465-aeed-4329-a493-dfb4cee22503_ActionId">
    <vt:lpwstr>c09dddd2-dd9a-4658-94bd-9604302b5a94</vt:lpwstr>
  </property>
  <property fmtid="{D5CDD505-2E9C-101B-9397-08002B2CF9AE}" pid="8" name="MSIP_Label_70388465-aeed-4329-a493-dfb4cee22503_ContentBits">
    <vt:lpwstr>0</vt:lpwstr>
  </property>
  <property fmtid="{D5CDD505-2E9C-101B-9397-08002B2CF9AE}" pid="9" name="ContentTypeId">
    <vt:lpwstr>0x01010007D0D48330F6CE4FB6B3AE62FA39CE46</vt:lpwstr>
  </property>
  <property fmtid="{D5CDD505-2E9C-101B-9397-08002B2CF9AE}" pid="10" name="MediaServiceImageTags">
    <vt:lpwstr/>
  </property>
</Properties>
</file>