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24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347b14963db16327/Documents/MRE/2023 Spring/ULI Case Competition/"/>
    </mc:Choice>
  </mc:AlternateContent>
  <xr:revisionPtr revIDLastSave="151959" documentId="14_{3A31A080-7111-418F-B0C6-A567D5AF14F8}" xr6:coauthVersionLast="47" xr6:coauthVersionMax="47" xr10:uidLastSave="{E3559915-667C-44A9-A0A3-898126A84879}"/>
  <bookViews>
    <workbookView xWindow="-110" yWindow="-110" windowWidth="19420" windowHeight="10420" tabRatio="885" firstSheet="1" activeTab="1" autoFilterDateGrouping="0" xr2:uid="{00000000-000D-0000-FFFF-FFFF00000000}"/>
  </bookViews>
  <sheets>
    <sheet name="Market Research" sheetId="183" r:id="rId1"/>
    <sheet name="Assumptions" sheetId="142" r:id="rId2"/>
    <sheet name="Development Program" sheetId="140" r:id="rId3"/>
    <sheet name="Parcel Map" sheetId="187" r:id="rId4"/>
    <sheet name="Insurance Calculations" sheetId="184" r:id="rId5"/>
    <sheet name="A Financial" sheetId="149" r:id="rId6"/>
    <sheet name="A Draw" sheetId="105" r:id="rId7"/>
    <sheet name="B Financial" sheetId="150" r:id="rId8"/>
    <sheet name="B Draw" sheetId="154" r:id="rId9"/>
    <sheet name="CD Financial" sheetId="153" r:id="rId10"/>
    <sheet name="CD Draw" sheetId="156" r:id="rId11"/>
    <sheet name="EF Financial" sheetId="157" r:id="rId12"/>
    <sheet name="EF Draw" sheetId="158" r:id="rId13"/>
    <sheet name="GH Financial" sheetId="160" r:id="rId14"/>
    <sheet name="GH Draw" sheetId="155" r:id="rId15"/>
    <sheet name="IJKL Financial" sheetId="179" r:id="rId16"/>
    <sheet name="IJKL Draw" sheetId="180" r:id="rId17"/>
    <sheet name="MN Financial" sheetId="185" r:id="rId18"/>
    <sheet name="MN Draw" sheetId="186" r:id="rId19"/>
    <sheet name="All Components Draw" sheetId="159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_a1" hidden="1">{"Assump",#N/A,TRUE,"Proforma";"first",#N/A,TRUE,"Proforma";"second",#N/A,TRUE,"Proforma";"lease1",#N/A,TRUE,"Proforma";"lease2",#N/A,TRUE,"Proforma"}</definedName>
    <definedName name="__a1" hidden="1">{"Assump",#N/A,TRUE,"Proforma";"first",#N/A,TRUE,"Proforma";"second",#N/A,TRUE,"Proforma";"lease1",#N/A,TRUE,"Proforma";"lease2",#N/A,TRUE,"Proforma"}</definedName>
    <definedName name="_Fill" localSheetId="5" hidden="1">[1]A!#REF!</definedName>
    <definedName name="_Fill" localSheetId="7" hidden="1">[1]A!#REF!</definedName>
    <definedName name="_Fill" localSheetId="9" hidden="1">[1]A!#REF!</definedName>
    <definedName name="_Fill" localSheetId="2" hidden="1">[1]A!#REF!</definedName>
    <definedName name="_Fill" localSheetId="11" hidden="1">[1]A!#REF!</definedName>
    <definedName name="_Fill" localSheetId="13" hidden="1">[1]A!#REF!</definedName>
    <definedName name="_Fill" localSheetId="15" hidden="1">[1]A!#REF!</definedName>
    <definedName name="_Fill" localSheetId="17" hidden="1">[1]A!#REF!</definedName>
    <definedName name="_Fill" hidden="1">[1]A!#REF!</definedName>
    <definedName name="_Key1" localSheetId="5" hidden="1">'[2]H-INPUT'!#REF!</definedName>
    <definedName name="_Key1" localSheetId="7" hidden="1">'[2]H-INPUT'!#REF!</definedName>
    <definedName name="_Key1" localSheetId="9" hidden="1">'[2]H-INPUT'!#REF!</definedName>
    <definedName name="_Key1" localSheetId="2" hidden="1">'[2]H-INPUT'!#REF!</definedName>
    <definedName name="_Key1" localSheetId="11" hidden="1">'[2]H-INPUT'!#REF!</definedName>
    <definedName name="_Key1" localSheetId="13" hidden="1">'[2]H-INPUT'!#REF!</definedName>
    <definedName name="_Key1" localSheetId="15" hidden="1">'[2]H-INPUT'!#REF!</definedName>
    <definedName name="_Key1" localSheetId="17" hidden="1">'[2]H-INPUT'!#REF!</definedName>
    <definedName name="_Key1" hidden="1">'[2]H-INPUT'!#REF!</definedName>
    <definedName name="_Key2" localSheetId="5" hidden="1">#REF!</definedName>
    <definedName name="_Key2" localSheetId="7" hidden="1">#REF!</definedName>
    <definedName name="_Key2" localSheetId="9" hidden="1">#REF!</definedName>
    <definedName name="_Key2" localSheetId="2" hidden="1">#REF!</definedName>
    <definedName name="_Key2" localSheetId="11" hidden="1">#REF!</definedName>
    <definedName name="_Key2" localSheetId="13" hidden="1">#REF!</definedName>
    <definedName name="_Key2" localSheetId="15" hidden="1">#REF!</definedName>
    <definedName name="_Key2" localSheetId="17" hidden="1">#REF!</definedName>
    <definedName name="_Key2" hidden="1">#REF!</definedName>
    <definedName name="_Order1" hidden="1">255</definedName>
    <definedName name="_Order2" hidden="1">255</definedName>
    <definedName name="_Sort" localSheetId="5" hidden="1">#REF!</definedName>
    <definedName name="_Sort" localSheetId="7" hidden="1">#REF!</definedName>
    <definedName name="_Sort" localSheetId="9" hidden="1">#REF!</definedName>
    <definedName name="_Sort" localSheetId="2" hidden="1">#REF!</definedName>
    <definedName name="_Sort" localSheetId="11" hidden="1">#REF!</definedName>
    <definedName name="_Sort" localSheetId="13" hidden="1">#REF!</definedName>
    <definedName name="_Sort" localSheetId="15" hidden="1">#REF!</definedName>
    <definedName name="_Sort" localSheetId="17" hidden="1">#REF!</definedName>
    <definedName name="_Sort" hidden="1">#REF!</definedName>
    <definedName name="_Table1_In1" localSheetId="5" hidden="1">#REF!</definedName>
    <definedName name="_Table1_In1" localSheetId="7" hidden="1">#REF!</definedName>
    <definedName name="_Table1_In1" localSheetId="9" hidden="1">#REF!</definedName>
    <definedName name="_Table1_In1" localSheetId="2" hidden="1">#REF!</definedName>
    <definedName name="_Table1_In1" localSheetId="11" hidden="1">#REF!</definedName>
    <definedName name="_Table1_In1" localSheetId="13" hidden="1">#REF!</definedName>
    <definedName name="_Table1_In1" localSheetId="15" hidden="1">#REF!</definedName>
    <definedName name="_Table1_In1" localSheetId="17" hidden="1">#REF!</definedName>
    <definedName name="_Table1_In1" hidden="1">#REF!</definedName>
    <definedName name="_Table1_Out" localSheetId="5" hidden="1">#REF!</definedName>
    <definedName name="_Table1_Out" localSheetId="7" hidden="1">#REF!</definedName>
    <definedName name="_Table1_Out" localSheetId="9" hidden="1">#REF!</definedName>
    <definedName name="_Table1_Out" localSheetId="2" hidden="1">#REF!</definedName>
    <definedName name="_Table1_Out" localSheetId="11" hidden="1">#REF!</definedName>
    <definedName name="_Table1_Out" localSheetId="13" hidden="1">#REF!</definedName>
    <definedName name="_Table1_Out" localSheetId="15" hidden="1">#REF!</definedName>
    <definedName name="_Table1_Out" localSheetId="17" hidden="1">#REF!</definedName>
    <definedName name="_Table1_Out" hidden="1">#REF!</definedName>
    <definedName name="_Table2_Out" localSheetId="5" hidden="1">[3]General!#REF!</definedName>
    <definedName name="_Table2_Out" localSheetId="7" hidden="1">[3]General!#REF!</definedName>
    <definedName name="_Table2_Out" localSheetId="9" hidden="1">[3]General!#REF!</definedName>
    <definedName name="_Table2_Out" localSheetId="2" hidden="1">[3]General!#REF!</definedName>
    <definedName name="_Table2_Out" localSheetId="11" hidden="1">[3]General!#REF!</definedName>
    <definedName name="_Table2_Out" localSheetId="13" hidden="1">[3]General!#REF!</definedName>
    <definedName name="_Table2_Out" localSheetId="15" hidden="1">[3]General!#REF!</definedName>
    <definedName name="_Table2_Out" localSheetId="17" hidden="1">[3]General!#REF!</definedName>
    <definedName name="_Table2_Out" hidden="1">[3]General!#REF!</definedName>
    <definedName name="_x1" hidden="1">{#N/A,#N/A,FALSE,"WATCHDSC";#N/A,#N/A,FALSE,"2LOSSMOD";#N/A,#N/A,FALSE,"2LOSS";#N/A,#N/A,FALSE,"DSC";#N/A,#N/A,FALSE,"OPERAT";#N/A,#N/A,FALSE,"ADJUST";#N/A,#N/A,FALSE,"LEASE EXPIRE"}</definedName>
    <definedName name="_x2" hidden="1">{#N/A,#N/A,FALSE,"WATCHDSC";#N/A,#N/A,FALSE,"2LOSSMOD";#N/A,#N/A,FALSE,"2LOSS";#N/A,#N/A,FALSE,"DSC";#N/A,#N/A,FALSE,"OPERAT";#N/A,#N/A,FALSE,"ADJUST";#N/A,#N/A,FALSE,"LEASE EXPIRE"}</definedName>
    <definedName name="_x3" hidden="1">{#N/A,#N/A,FALSE,"WATCHDSC";#N/A,#N/A,FALSE,"2LOSSMOD";#N/A,#N/A,FALSE,"2LOSS";#N/A,#N/A,FALSE,"DSC";#N/A,#N/A,FALSE,"OPERAT";#N/A,#N/A,FALSE,"ADJUST";#N/A,#N/A,FALSE,"LEASE EXPIRE"}</definedName>
    <definedName name="a" hidden="1">{"Assump",#N/A,TRUE,"Proforma";"first",#N/A,TRUE,"Proforma";"second",#N/A,TRUE,"Proforma";"lease1",#N/A,TRUE,"Proforma";"lease2",#N/A,TRUE,"Proforma"}</definedName>
    <definedName name="aa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AADSFD" localSheetId="5">[4]Frontsheet!#REF!</definedName>
    <definedName name="AADSFD" localSheetId="7">[4]Frontsheet!#REF!</definedName>
    <definedName name="AADSFD" localSheetId="9">[4]Frontsheet!#REF!</definedName>
    <definedName name="AADSFD" localSheetId="2">[4]Frontsheet!#REF!</definedName>
    <definedName name="AADSFD" localSheetId="11">[4]Frontsheet!#REF!</definedName>
    <definedName name="AADSFD" localSheetId="13">[4]Frontsheet!#REF!</definedName>
    <definedName name="AADSFD" localSheetId="15">[4]Frontsheet!#REF!</definedName>
    <definedName name="AADSFD" localSheetId="17">[4]Frontsheet!#REF!</definedName>
    <definedName name="AADSFD">[4]Frontsheet!#REF!</definedName>
    <definedName name="ac" localSheetId="5">[4]Frontsheet!#REF!</definedName>
    <definedName name="ac" localSheetId="7">[4]Frontsheet!#REF!</definedName>
    <definedName name="ac" localSheetId="9">[4]Frontsheet!#REF!</definedName>
    <definedName name="ac" localSheetId="2">[4]Frontsheet!#REF!</definedName>
    <definedName name="ac" localSheetId="11">[4]Frontsheet!#REF!</definedName>
    <definedName name="ac" localSheetId="13">[4]Frontsheet!#REF!</definedName>
    <definedName name="ac" localSheetId="15">[4]Frontsheet!#REF!</definedName>
    <definedName name="ac" localSheetId="17">[4]Frontsheet!#REF!</definedName>
    <definedName name="ac">[4]Frontsheet!#REF!</definedName>
    <definedName name="alt" localSheetId="5">[4]Frontsheet!#REF!</definedName>
    <definedName name="alt" localSheetId="7">[4]Frontsheet!#REF!</definedName>
    <definedName name="alt" localSheetId="9">[4]Frontsheet!#REF!</definedName>
    <definedName name="alt" localSheetId="2">[4]Frontsheet!#REF!</definedName>
    <definedName name="alt" localSheetId="11">[4]Frontsheet!#REF!</definedName>
    <definedName name="alt" localSheetId="13">[4]Frontsheet!#REF!</definedName>
    <definedName name="alt" localSheetId="15">[4]Frontsheet!#REF!</definedName>
    <definedName name="alt" localSheetId="17">[4]Frontsheet!#REF!</definedName>
    <definedName name="alt">[4]Frontsheet!#REF!</definedName>
    <definedName name="anscount" hidden="1">1</definedName>
    <definedName name="ASA" localSheetId="5">[4]Frontsheet!#REF!</definedName>
    <definedName name="ASA" localSheetId="7">[4]Frontsheet!#REF!</definedName>
    <definedName name="ASA" localSheetId="9">[4]Frontsheet!#REF!</definedName>
    <definedName name="ASA" localSheetId="2">[4]Frontsheet!#REF!</definedName>
    <definedName name="ASA" localSheetId="11">[4]Frontsheet!#REF!</definedName>
    <definedName name="ASA" localSheetId="13">[4]Frontsheet!#REF!</definedName>
    <definedName name="ASA" localSheetId="15">[4]Frontsheet!#REF!</definedName>
    <definedName name="ASA" localSheetId="17">[4]Frontsheet!#REF!</definedName>
    <definedName name="ASA">[4]Frontsheet!#REF!</definedName>
    <definedName name="aw" localSheetId="5">[4]Frontsheet!#REF!</definedName>
    <definedName name="aw" localSheetId="7">[4]Frontsheet!#REF!</definedName>
    <definedName name="aw" localSheetId="9">[4]Frontsheet!#REF!</definedName>
    <definedName name="aw" localSheetId="2">[4]Frontsheet!#REF!</definedName>
    <definedName name="aw" localSheetId="11">[4]Frontsheet!#REF!</definedName>
    <definedName name="aw" localSheetId="13">[4]Frontsheet!#REF!</definedName>
    <definedName name="aw" localSheetId="15">[4]Frontsheet!#REF!</definedName>
    <definedName name="aw" localSheetId="17">[4]Frontsheet!#REF!</definedName>
    <definedName name="aw">[4]Frontsheet!#REF!</definedName>
    <definedName name="b" hidden="1">{"Assump",#N/A,TRUE,"Proforma";"first",#N/A,TRUE,"Proforma";"second",#N/A,TRUE,"Proforma";"lease1",#N/A,TRUE,"Proforma";"lease2",#N/A,TRUE,"Proforma"}</definedName>
    <definedName name="Body">'[5]Equity Investor Sheet 2538'!$A$7:$J$18</definedName>
    <definedName name="costcode">'[6]Pursuit_Expenses by cost code'!$A$5:$F$155</definedName>
    <definedName name="cs" localSheetId="5">[4]Frontsheet!#REF!</definedName>
    <definedName name="cs" localSheetId="7">[4]Frontsheet!#REF!</definedName>
    <definedName name="cs" localSheetId="9">[4]Frontsheet!#REF!</definedName>
    <definedName name="cs" localSheetId="2">[4]Frontsheet!#REF!</definedName>
    <definedName name="cs" localSheetId="11">[4]Frontsheet!#REF!</definedName>
    <definedName name="cs" localSheetId="13">[4]Frontsheet!#REF!</definedName>
    <definedName name="cs" localSheetId="15">[4]Frontsheet!#REF!</definedName>
    <definedName name="cs" localSheetId="17">[4]Frontsheet!#REF!</definedName>
    <definedName name="cs">[4]Frontsheet!#REF!</definedName>
    <definedName name="ct" localSheetId="5">[4]Frontsheet!#REF!</definedName>
    <definedName name="ct" localSheetId="7">[4]Frontsheet!#REF!</definedName>
    <definedName name="ct" localSheetId="9">[4]Frontsheet!#REF!</definedName>
    <definedName name="ct" localSheetId="2">[4]Frontsheet!#REF!</definedName>
    <definedName name="ct" localSheetId="11">[4]Frontsheet!#REF!</definedName>
    <definedName name="ct" localSheetId="13">[4]Frontsheet!#REF!</definedName>
    <definedName name="ct" localSheetId="15">[4]Frontsheet!#REF!</definedName>
    <definedName name="ct" localSheetId="17">[4]Frontsheet!#REF!</definedName>
    <definedName name="ct">[4]Frontsheet!#REF!</definedName>
    <definedName name="ddgfeerew" localSheetId="5">[4]Frontsheet!#REF!</definedName>
    <definedName name="ddgfeerew" localSheetId="7">[4]Frontsheet!#REF!</definedName>
    <definedName name="ddgfeerew" localSheetId="9">[4]Frontsheet!#REF!</definedName>
    <definedName name="ddgfeerew" localSheetId="2">[4]Frontsheet!#REF!</definedName>
    <definedName name="ddgfeerew" localSheetId="11">[4]Frontsheet!#REF!</definedName>
    <definedName name="ddgfeerew" localSheetId="13">[4]Frontsheet!#REF!</definedName>
    <definedName name="ddgfeerew" localSheetId="15">[4]Frontsheet!#REF!</definedName>
    <definedName name="ddgfeerew" localSheetId="17">[4]Frontsheet!#REF!</definedName>
    <definedName name="ddgfeerew">[4]Frontsheet!#REF!</definedName>
    <definedName name="dflt1">'[7]Customize Your Invoice'!$E$22</definedName>
    <definedName name="dflt5">'[7]Customize Your Invoice'!$E$27</definedName>
    <definedName name="dflt6">'[7]Customize Your Invoice'!$D$28</definedName>
    <definedName name="dfsdf" localSheetId="5">[4]Frontsheet!#REF!</definedName>
    <definedName name="dfsdf" localSheetId="7">[4]Frontsheet!#REF!</definedName>
    <definedName name="dfsdf" localSheetId="9">[4]Frontsheet!#REF!</definedName>
    <definedName name="dfsdf" localSheetId="2">[4]Frontsheet!#REF!</definedName>
    <definedName name="dfsdf" localSheetId="11">[4]Frontsheet!#REF!</definedName>
    <definedName name="dfsdf" localSheetId="13">[4]Frontsheet!#REF!</definedName>
    <definedName name="dfsdf" localSheetId="15">[4]Frontsheet!#REF!</definedName>
    <definedName name="dfsdf" localSheetId="17">[4]Frontsheet!#REF!</definedName>
    <definedName name="dfsdf">[4]Frontsheet!#REF!</definedName>
    <definedName name="dw" localSheetId="5">[4]Frontsheet!#REF!</definedName>
    <definedName name="dw" localSheetId="7">[4]Frontsheet!#REF!</definedName>
    <definedName name="dw" localSheetId="9">[4]Frontsheet!#REF!</definedName>
    <definedName name="dw" localSheetId="2">[4]Frontsheet!#REF!</definedName>
    <definedName name="dw" localSheetId="11">[4]Frontsheet!#REF!</definedName>
    <definedName name="dw" localSheetId="13">[4]Frontsheet!#REF!</definedName>
    <definedName name="dw" localSheetId="15">[4]Frontsheet!#REF!</definedName>
    <definedName name="dw" localSheetId="17">[4]Frontsheet!#REF!</definedName>
    <definedName name="dw">[4]Frontsheet!#REF!</definedName>
    <definedName name="ee" hidden="1">{"Assump",#N/A,TRUE,"Proforma";"first",#N/A,TRUE,"Proforma";"second",#N/A,TRUE,"Proforma";"lease1",#N/A,TRUE,"Proforma";"lease2",#N/A,TRUE,"Proforma"}</definedName>
    <definedName name="el" localSheetId="5">[4]Frontsheet!#REF!</definedName>
    <definedName name="el" localSheetId="7">[4]Frontsheet!#REF!</definedName>
    <definedName name="el" localSheetId="9">[4]Frontsheet!#REF!</definedName>
    <definedName name="el" localSheetId="2">[4]Frontsheet!#REF!</definedName>
    <definedName name="el" localSheetId="11">[4]Frontsheet!#REF!</definedName>
    <definedName name="el" localSheetId="13">[4]Frontsheet!#REF!</definedName>
    <definedName name="el" localSheetId="15">[4]Frontsheet!#REF!</definedName>
    <definedName name="el" localSheetId="17">[4]Frontsheet!#REF!</definedName>
    <definedName name="el">[4]Frontsheet!#REF!</definedName>
    <definedName name="ellen" hidden="1">{#N/A,#N/A,FALSE,"WATCHDSC";#N/A,#N/A,FALSE,"2LOSSMOD";#N/A,#N/A,FALSE,"2LOSS";#N/A,#N/A,FALSE,"DSC";#N/A,#N/A,FALSE,"OPERAT";#N/A,#N/A,FALSE,"ADJUST";#N/A,#N/A,FALSE,"LEASE EXPIRE"}</definedName>
    <definedName name="erasdf" hidden="1">{"Assump",#N/A,TRUE,"Proforma";"first",#N/A,TRUE,"Proforma";"second",#N/A,TRUE,"Proforma";"lease1",#N/A,TRUE,"Proforma";"lease2",#N/A,TRUE,"Proforma"}</definedName>
    <definedName name="EW" localSheetId="5">[4]Frontsheet!#REF!</definedName>
    <definedName name="EW" localSheetId="7">[4]Frontsheet!#REF!</definedName>
    <definedName name="EW" localSheetId="9">[4]Frontsheet!#REF!</definedName>
    <definedName name="EW" localSheetId="2">[4]Frontsheet!#REF!</definedName>
    <definedName name="EW" localSheetId="11">[4]Frontsheet!#REF!</definedName>
    <definedName name="EW" localSheetId="13">[4]Frontsheet!#REF!</definedName>
    <definedName name="EW" localSheetId="15">[4]Frontsheet!#REF!</definedName>
    <definedName name="EW" localSheetId="17">[4]Frontsheet!#REF!</definedName>
    <definedName name="EW">[4]Frontsheet!#REF!</definedName>
    <definedName name="f" localSheetId="5">[4]Frontsheet!#REF!</definedName>
    <definedName name="f" localSheetId="7">[4]Frontsheet!#REF!</definedName>
    <definedName name="f" localSheetId="9">[4]Frontsheet!#REF!</definedName>
    <definedName name="f" localSheetId="2">[4]Frontsheet!#REF!</definedName>
    <definedName name="f" localSheetId="11">[4]Frontsheet!#REF!</definedName>
    <definedName name="f" localSheetId="13">[4]Frontsheet!#REF!</definedName>
    <definedName name="f" localSheetId="15">[4]Frontsheet!#REF!</definedName>
    <definedName name="f" localSheetId="17">[4]Frontsheet!#REF!</definedName>
    <definedName name="f">[4]Frontsheet!#REF!</definedName>
    <definedName name="fe" localSheetId="5">[4]Frontsheet!#REF!</definedName>
    <definedName name="fe" localSheetId="7">[4]Frontsheet!#REF!</definedName>
    <definedName name="fe" localSheetId="9">[4]Frontsheet!#REF!</definedName>
    <definedName name="fe" localSheetId="2">[4]Frontsheet!#REF!</definedName>
    <definedName name="fe" localSheetId="11">[4]Frontsheet!#REF!</definedName>
    <definedName name="fe" localSheetId="13">[4]Frontsheet!#REF!</definedName>
    <definedName name="fe" localSheetId="15">[4]Frontsheet!#REF!</definedName>
    <definedName name="fe" localSheetId="17">[4]Frontsheet!#REF!</definedName>
    <definedName name="fe">[4]Frontsheet!#REF!</definedName>
    <definedName name="FFFFF" localSheetId="5">[4]Frontsheet!#REF!</definedName>
    <definedName name="FFFFF" localSheetId="7">[4]Frontsheet!#REF!</definedName>
    <definedName name="FFFFF" localSheetId="9">[4]Frontsheet!#REF!</definedName>
    <definedName name="FFFFF" localSheetId="2">[4]Frontsheet!#REF!</definedName>
    <definedName name="FFFFF" localSheetId="11">[4]Frontsheet!#REF!</definedName>
    <definedName name="FFFFF" localSheetId="13">[4]Frontsheet!#REF!</definedName>
    <definedName name="FFFFF" localSheetId="15">[4]Frontsheet!#REF!</definedName>
    <definedName name="FFFFF" localSheetId="17">[4]Frontsheet!#REF!</definedName>
    <definedName name="FFFFF">[4]Frontsheet!#REF!</definedName>
    <definedName name="FJHJ" localSheetId="5">[4]Frontsheet!#REF!</definedName>
    <definedName name="FJHJ" localSheetId="7">[4]Frontsheet!#REF!</definedName>
    <definedName name="FJHJ" localSheetId="9">[4]Frontsheet!#REF!</definedName>
    <definedName name="FJHJ" localSheetId="2">[4]Frontsheet!#REF!</definedName>
    <definedName name="FJHJ" localSheetId="11">[4]Frontsheet!#REF!</definedName>
    <definedName name="FJHJ" localSheetId="13">[4]Frontsheet!#REF!</definedName>
    <definedName name="FJHJ" localSheetId="15">[4]Frontsheet!#REF!</definedName>
    <definedName name="FJHJ" localSheetId="17">[4]Frontsheet!#REF!</definedName>
    <definedName name="FJHJ">[4]Frontsheet!#REF!</definedName>
    <definedName name="fo" localSheetId="5">#REF!</definedName>
    <definedName name="fo" localSheetId="7">#REF!</definedName>
    <definedName name="fo" localSheetId="9">#REF!</definedName>
    <definedName name="fo" localSheetId="2">#REF!</definedName>
    <definedName name="fo" localSheetId="11">#REF!</definedName>
    <definedName name="fo" localSheetId="13">#REF!</definedName>
    <definedName name="fo" localSheetId="15">#REF!</definedName>
    <definedName name="fo" localSheetId="17">#REF!</definedName>
    <definedName name="fo">#REF!</definedName>
    <definedName name="FORM" localSheetId="5">#REF!</definedName>
    <definedName name="FORM" localSheetId="7">#REF!</definedName>
    <definedName name="FORM" localSheetId="9">#REF!</definedName>
    <definedName name="FORM" localSheetId="2">#REF!</definedName>
    <definedName name="FORM" localSheetId="11">#REF!</definedName>
    <definedName name="FORM" localSheetId="13">#REF!</definedName>
    <definedName name="FORM" localSheetId="15">#REF!</definedName>
    <definedName name="FORM" localSheetId="17">#REF!</definedName>
    <definedName name="FORM">#REF!</definedName>
    <definedName name="FURYUR" localSheetId="5">[4]Frontsheet!#REF!</definedName>
    <definedName name="FURYUR" localSheetId="7">[4]Frontsheet!#REF!</definedName>
    <definedName name="FURYUR" localSheetId="9">[4]Frontsheet!#REF!</definedName>
    <definedName name="FURYUR" localSheetId="2">[4]Frontsheet!#REF!</definedName>
    <definedName name="FURYUR" localSheetId="11">[4]Frontsheet!#REF!</definedName>
    <definedName name="FURYUR" localSheetId="13">[4]Frontsheet!#REF!</definedName>
    <definedName name="FURYUR" localSheetId="15">[4]Frontsheet!#REF!</definedName>
    <definedName name="FURYUR" localSheetId="17">[4]Frontsheet!#REF!</definedName>
    <definedName name="FURYUR">[4]Frontsheet!#REF!</definedName>
    <definedName name="gl" localSheetId="5">[4]Frontsheet!#REF!</definedName>
    <definedName name="gl" localSheetId="7">[4]Frontsheet!#REF!</definedName>
    <definedName name="gl" localSheetId="9">[4]Frontsheet!#REF!</definedName>
    <definedName name="gl" localSheetId="2">[4]Frontsheet!#REF!</definedName>
    <definedName name="gl" localSheetId="11">[4]Frontsheet!#REF!</definedName>
    <definedName name="gl" localSheetId="13">[4]Frontsheet!#REF!</definedName>
    <definedName name="gl" localSheetId="15">[4]Frontsheet!#REF!</definedName>
    <definedName name="gl" localSheetId="17">[4]Frontsheet!#REF!</definedName>
    <definedName name="gl">[4]Frontsheet!#REF!</definedName>
    <definedName name="h" localSheetId="5">[4]Frontsheet!#REF!</definedName>
    <definedName name="h" localSheetId="7">[4]Frontsheet!#REF!</definedName>
    <definedName name="h" localSheetId="9">[4]Frontsheet!#REF!</definedName>
    <definedName name="h" localSheetId="2">[4]Frontsheet!#REF!</definedName>
    <definedName name="h" localSheetId="11">[4]Frontsheet!#REF!</definedName>
    <definedName name="h" localSheetId="13">[4]Frontsheet!#REF!</definedName>
    <definedName name="h" localSheetId="15">[4]Frontsheet!#REF!</definedName>
    <definedName name="h" localSheetId="17">[4]Frontsheet!#REF!</definedName>
    <definedName name="h">[4]Frontsheet!#REF!</definedName>
    <definedName name="hjkhjlkgg" localSheetId="5">[4]Frontsheet!#REF!</definedName>
    <definedName name="hjkhjlkgg" localSheetId="7">[4]Frontsheet!#REF!</definedName>
    <definedName name="hjkhjlkgg" localSheetId="9">[4]Frontsheet!#REF!</definedName>
    <definedName name="hjkhjlkgg" localSheetId="2">[4]Frontsheet!#REF!</definedName>
    <definedName name="hjkhjlkgg" localSheetId="11">[4]Frontsheet!#REF!</definedName>
    <definedName name="hjkhjlkgg" localSheetId="13">[4]Frontsheet!#REF!</definedName>
    <definedName name="hjkhjlkgg" localSheetId="15">[4]Frontsheet!#REF!</definedName>
    <definedName name="hjkhjlkgg" localSheetId="17">[4]Frontsheet!#REF!</definedName>
    <definedName name="hjkhjlkgg">[4]Frontsheet!#REF!</definedName>
    <definedName name="jkjkl" localSheetId="5">[4]Frontsheet!#REF!</definedName>
    <definedName name="jkjkl" localSheetId="7">[4]Frontsheet!#REF!</definedName>
    <definedName name="jkjkl" localSheetId="9">[4]Frontsheet!#REF!</definedName>
    <definedName name="jkjkl" localSheetId="2">[4]Frontsheet!#REF!</definedName>
    <definedName name="jkjkl" localSheetId="11">[4]Frontsheet!#REF!</definedName>
    <definedName name="jkjkl" localSheetId="13">[4]Frontsheet!#REF!</definedName>
    <definedName name="jkjkl" localSheetId="15">[4]Frontsheet!#REF!</definedName>
    <definedName name="jkjkl" localSheetId="17">[4]Frontsheet!#REF!</definedName>
    <definedName name="jkjkl">[4]Frontsheet!#REF!</definedName>
    <definedName name="kb" localSheetId="5">[4]Frontsheet!#REF!</definedName>
    <definedName name="kb" localSheetId="7">[4]Frontsheet!#REF!</definedName>
    <definedName name="kb" localSheetId="9">[4]Frontsheet!#REF!</definedName>
    <definedName name="kb" localSheetId="2">[4]Frontsheet!#REF!</definedName>
    <definedName name="kb" localSheetId="11">[4]Frontsheet!#REF!</definedName>
    <definedName name="kb" localSheetId="13">[4]Frontsheet!#REF!</definedName>
    <definedName name="kb" localSheetId="15">[4]Frontsheet!#REF!</definedName>
    <definedName name="kb" localSheetId="17">[4]Frontsheet!#REF!</definedName>
    <definedName name="kb">[4]Frontsheet!#REF!</definedName>
    <definedName name="ke" localSheetId="5">[4]Frontsheet!#REF!</definedName>
    <definedName name="ke" localSheetId="7">[4]Frontsheet!#REF!</definedName>
    <definedName name="ke" localSheetId="9">[4]Frontsheet!#REF!</definedName>
    <definedName name="ke" localSheetId="2">[4]Frontsheet!#REF!</definedName>
    <definedName name="ke" localSheetId="11">[4]Frontsheet!#REF!</definedName>
    <definedName name="ke" localSheetId="13">[4]Frontsheet!#REF!</definedName>
    <definedName name="ke" localSheetId="15">[4]Frontsheet!#REF!</definedName>
    <definedName name="ke" localSheetId="17">[4]Frontsheet!#REF!</definedName>
    <definedName name="ke">[4]Frontsheet!#REF!</definedName>
    <definedName name="lk" localSheetId="5">[4]Frontsheet!#REF!</definedName>
    <definedName name="lk" localSheetId="7">[4]Frontsheet!#REF!</definedName>
    <definedName name="lk" localSheetId="9">[4]Frontsheet!#REF!</definedName>
    <definedName name="lk" localSheetId="2">[4]Frontsheet!#REF!</definedName>
    <definedName name="lk" localSheetId="11">[4]Frontsheet!#REF!</definedName>
    <definedName name="lk" localSheetId="13">[4]Frontsheet!#REF!</definedName>
    <definedName name="lk" localSheetId="15">[4]Frontsheet!#REF!</definedName>
    <definedName name="lk" localSheetId="17">[4]Frontsheet!#REF!</definedName>
    <definedName name="lk">[4]Frontsheet!#REF!</definedName>
    <definedName name="memo_description">[6]Lists!$D$4:$D$10</definedName>
    <definedName name="ml" localSheetId="5">[4]Frontsheet!#REF!</definedName>
    <definedName name="ml" localSheetId="7">[4]Frontsheet!#REF!</definedName>
    <definedName name="ml" localSheetId="9">[4]Frontsheet!#REF!</definedName>
    <definedName name="ml" localSheetId="2">[4]Frontsheet!#REF!</definedName>
    <definedName name="ml" localSheetId="11">[4]Frontsheet!#REF!</definedName>
    <definedName name="ml" localSheetId="13">[4]Frontsheet!#REF!</definedName>
    <definedName name="ml" localSheetId="15">[4]Frontsheet!#REF!</definedName>
    <definedName name="ml" localSheetId="17">[4]Frontsheet!#REF!</definedName>
    <definedName name="ml">[4]Frontsheet!#REF!</definedName>
    <definedName name="mw" localSheetId="5">[4]Frontsheet!#REF!</definedName>
    <definedName name="mw" localSheetId="7">[4]Frontsheet!#REF!</definedName>
    <definedName name="mw" localSheetId="9">[4]Frontsheet!#REF!</definedName>
    <definedName name="mw" localSheetId="2">[4]Frontsheet!#REF!</definedName>
    <definedName name="mw" localSheetId="11">[4]Frontsheet!#REF!</definedName>
    <definedName name="mw" localSheetId="13">[4]Frontsheet!#REF!</definedName>
    <definedName name="mw" localSheetId="15">[4]Frontsheet!#REF!</definedName>
    <definedName name="mw" localSheetId="17">[4]Frontsheet!#REF!</definedName>
    <definedName name="mw">[4]Frontsheet!#REF!</definedName>
    <definedName name="NEWDRAW" localSheetId="5">#REF!</definedName>
    <definedName name="NEWDRAW" localSheetId="7">#REF!</definedName>
    <definedName name="NEWDRAW" localSheetId="9">#REF!</definedName>
    <definedName name="NEWDRAW" localSheetId="2">#REF!</definedName>
    <definedName name="NEWDRAW" localSheetId="11">#REF!</definedName>
    <definedName name="NEWDRAW" localSheetId="13">#REF!</definedName>
    <definedName name="NEWDRAW" localSheetId="15">#REF!</definedName>
    <definedName name="NEWDRAW" localSheetId="17">#REF!</definedName>
    <definedName name="NEWDRAW">#REF!</definedName>
    <definedName name="NvsEndTime">36465.4707604167</definedName>
    <definedName name="os" localSheetId="5">[4]Frontsheet!#REF!</definedName>
    <definedName name="os" localSheetId="7">[4]Frontsheet!#REF!</definedName>
    <definedName name="os" localSheetId="9">[4]Frontsheet!#REF!</definedName>
    <definedName name="os" localSheetId="2">[4]Frontsheet!#REF!</definedName>
    <definedName name="os" localSheetId="11">[4]Frontsheet!#REF!</definedName>
    <definedName name="os" localSheetId="13">[4]Frontsheet!#REF!</definedName>
    <definedName name="os" localSheetId="15">[4]Frontsheet!#REF!</definedName>
    <definedName name="os" localSheetId="17">[4]Frontsheet!#REF!</definedName>
    <definedName name="os">[4]Frontsheet!#REF!</definedName>
    <definedName name="p" localSheetId="5">[4]Frontsheet!#REF!</definedName>
    <definedName name="p" localSheetId="7">[4]Frontsheet!#REF!</definedName>
    <definedName name="p" localSheetId="9">[4]Frontsheet!#REF!</definedName>
    <definedName name="p" localSheetId="2">[4]Frontsheet!#REF!</definedName>
    <definedName name="p" localSheetId="11">[4]Frontsheet!#REF!</definedName>
    <definedName name="p" localSheetId="13">[4]Frontsheet!#REF!</definedName>
    <definedName name="p" localSheetId="15">[4]Frontsheet!#REF!</definedName>
    <definedName name="p" localSheetId="17">[4]Frontsheet!#REF!</definedName>
    <definedName name="p">[4]Frontsheet!#REF!</definedName>
    <definedName name="pa" localSheetId="5">[4]Frontsheet!#REF!</definedName>
    <definedName name="pa" localSheetId="7">[4]Frontsheet!#REF!</definedName>
    <definedName name="pa" localSheetId="9">[4]Frontsheet!#REF!</definedName>
    <definedName name="pa" localSheetId="2">[4]Frontsheet!#REF!</definedName>
    <definedName name="pa" localSheetId="11">[4]Frontsheet!#REF!</definedName>
    <definedName name="pa" localSheetId="13">[4]Frontsheet!#REF!</definedName>
    <definedName name="pa" localSheetId="15">[4]Frontsheet!#REF!</definedName>
    <definedName name="pa" localSheetId="17">[4]Frontsheet!#REF!</definedName>
    <definedName name="pa">[4]Frontsheet!#REF!</definedName>
    <definedName name="PD" localSheetId="5">#REF!</definedName>
    <definedName name="PD" localSheetId="7">#REF!</definedName>
    <definedName name="PD" localSheetId="9">#REF!</definedName>
    <definedName name="PD" localSheetId="2">#REF!</definedName>
    <definedName name="PD" localSheetId="11">#REF!</definedName>
    <definedName name="PD" localSheetId="13">#REF!</definedName>
    <definedName name="PD" localSheetId="15">#REF!</definedName>
    <definedName name="PD" localSheetId="17">#REF!</definedName>
    <definedName name="PD">#REF!</definedName>
    <definedName name="pipeline_status">[6]Lists!$F$4:$F$8</definedName>
    <definedName name="pp" localSheetId="5">[4]Frontsheet!#REF!</definedName>
    <definedName name="pp" localSheetId="7">[4]Frontsheet!#REF!</definedName>
    <definedName name="pp" localSheetId="9">[4]Frontsheet!#REF!</definedName>
    <definedName name="pp" localSheetId="2">[4]Frontsheet!#REF!</definedName>
    <definedName name="pp" localSheetId="11">[4]Frontsheet!#REF!</definedName>
    <definedName name="pp" localSheetId="13">[4]Frontsheet!#REF!</definedName>
    <definedName name="pp" localSheetId="15">[4]Frontsheet!#REF!</definedName>
    <definedName name="pp" localSheetId="17">[4]Frontsheet!#REF!</definedName>
    <definedName name="pp">[4]Frontsheet!#REF!</definedName>
    <definedName name="_xlnm.Print_Area" localSheetId="6">'A Draw'!$A$1:$BZ$52</definedName>
    <definedName name="_xlnm.Print_Area" localSheetId="5">'A Financial'!$A$1:$E$89</definedName>
    <definedName name="_xlnm.Print_Area" localSheetId="1">Assumptions!$A$1:$K$84</definedName>
    <definedName name="_xlnm.Print_Area" localSheetId="7">'B Financial'!$A$1:$E$113</definedName>
    <definedName name="_xlnm.Print_Area" localSheetId="9">'CD Financial'!$A$1:$E$98</definedName>
    <definedName name="_xlnm.Print_Area" localSheetId="2">'Development Program'!$A$1:$N$35</definedName>
    <definedName name="_xlnm.Print_Area" localSheetId="11">'EF Financial'!$A$1:$E$110</definedName>
    <definedName name="_xlnm.Print_Area" localSheetId="13">'GH Financial'!$A$1:$E$109</definedName>
    <definedName name="_xlnm.Print_Area" localSheetId="15">'IJKL Financial'!$A$1:$E$117</definedName>
    <definedName name="_xlnm.Print_Area" localSheetId="4">'Insurance Calculations'!$A$1:$J$38</definedName>
    <definedName name="_xlnm.Print_Area" localSheetId="0">'Market Research'!$A$1:$AF$218</definedName>
    <definedName name="_xlnm.Print_Area" localSheetId="18">'MN Draw'!$A$1:$BZ$52</definedName>
    <definedName name="_xlnm.Print_Area" localSheetId="17">'MN Financial'!$A$1:$E$89</definedName>
    <definedName name="_xlnm.Print_Area">#REF!</definedName>
    <definedName name="print_area2" localSheetId="5">#REF!</definedName>
    <definedName name="print_area2" localSheetId="7">#REF!</definedName>
    <definedName name="print_area2" localSheetId="9">#REF!</definedName>
    <definedName name="print_area2" localSheetId="2">#REF!</definedName>
    <definedName name="print_area2" localSheetId="11">#REF!</definedName>
    <definedName name="print_area2" localSheetId="13">#REF!</definedName>
    <definedName name="print_area2" localSheetId="15">#REF!</definedName>
    <definedName name="print_area2" localSheetId="17">#REF!</definedName>
    <definedName name="print_area2">#REF!</definedName>
    <definedName name="print_area3" localSheetId="5">#REF!</definedName>
    <definedName name="print_area3" localSheetId="7">#REF!</definedName>
    <definedName name="print_area3" localSheetId="9">#REF!</definedName>
    <definedName name="print_area3" localSheetId="2">#REF!</definedName>
    <definedName name="print_area3" localSheetId="11">#REF!</definedName>
    <definedName name="print_area3" localSheetId="13">#REF!</definedName>
    <definedName name="print_area3" localSheetId="15">#REF!</definedName>
    <definedName name="print_area3" localSheetId="17">#REF!</definedName>
    <definedName name="print_area3">#REF!</definedName>
    <definedName name="print_area4" localSheetId="5">#REF!</definedName>
    <definedName name="print_area4" localSheetId="7">#REF!</definedName>
    <definedName name="print_area4" localSheetId="9">#REF!</definedName>
    <definedName name="print_area4" localSheetId="2">#REF!</definedName>
    <definedName name="print_area4" localSheetId="11">#REF!</definedName>
    <definedName name="print_area4" localSheetId="13">#REF!</definedName>
    <definedName name="print_area4" localSheetId="15">#REF!</definedName>
    <definedName name="print_area4" localSheetId="17">#REF!</definedName>
    <definedName name="print_area4">#REF!</definedName>
    <definedName name="_xlnm.Print_Titles" localSheetId="1">Assumptions!$1:$1</definedName>
    <definedName name="_xlnm.Print_Titles">#N/A</definedName>
    <definedName name="PROFORMA" localSheetId="5">#REF!</definedName>
    <definedName name="PROFORMA" localSheetId="7">#REF!</definedName>
    <definedName name="PROFORMA" localSheetId="9">#REF!</definedName>
    <definedName name="PROFORMA" localSheetId="2">#REF!</definedName>
    <definedName name="PROFORMA" localSheetId="11">#REF!</definedName>
    <definedName name="PROFORMA" localSheetId="13">#REF!</definedName>
    <definedName name="PROFORMA" localSheetId="15">#REF!</definedName>
    <definedName name="PROFORMA" localSheetId="17">#REF!</definedName>
    <definedName name="PROFORMA">#REF!</definedName>
    <definedName name="Promote_dev_1">[6]Input!$E$330</definedName>
    <definedName name="Property_Types">'[8]Deal Assumptions'!$G$345:$Z$345</definedName>
    <definedName name="pt" localSheetId="5">[4]Frontsheet!#REF!</definedName>
    <definedName name="pt" localSheetId="7">[4]Frontsheet!#REF!</definedName>
    <definedName name="pt" localSheetId="9">[4]Frontsheet!#REF!</definedName>
    <definedName name="pt" localSheetId="2">[4]Frontsheet!#REF!</definedName>
    <definedName name="pt" localSheetId="11">[4]Frontsheet!#REF!</definedName>
    <definedName name="pt" localSheetId="13">[4]Frontsheet!#REF!</definedName>
    <definedName name="pt" localSheetId="15">[4]Frontsheet!#REF!</definedName>
    <definedName name="pt" localSheetId="17">[4]Frontsheet!#REF!</definedName>
    <definedName name="pt">[4]Frontsheet!#REF!</definedName>
    <definedName name="qq" localSheetId="5">#REF!</definedName>
    <definedName name="qq" localSheetId="7">#REF!</definedName>
    <definedName name="qq" localSheetId="9">#REF!</definedName>
    <definedName name="qq" localSheetId="2">#REF!</definedName>
    <definedName name="qq" localSheetId="11">#REF!</definedName>
    <definedName name="qq" localSheetId="13">#REF!</definedName>
    <definedName name="qq" localSheetId="15">#REF!</definedName>
    <definedName name="qq" localSheetId="17">#REF!</definedName>
    <definedName name="qq">#REF!</definedName>
    <definedName name="report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f" localSheetId="5">[4]Frontsheet!#REF!</definedName>
    <definedName name="rf" localSheetId="7">[4]Frontsheet!#REF!</definedName>
    <definedName name="rf" localSheetId="9">[4]Frontsheet!#REF!</definedName>
    <definedName name="rf" localSheetId="2">[4]Frontsheet!#REF!</definedName>
    <definedName name="rf" localSheetId="11">[4]Frontsheet!#REF!</definedName>
    <definedName name="rf" localSheetId="13">[4]Frontsheet!#REF!</definedName>
    <definedName name="rf" localSheetId="15">[4]Frontsheet!#REF!</definedName>
    <definedName name="rf" localSheetId="17">[4]Frontsheet!#REF!</definedName>
    <definedName name="rf">[4]Frontsheet!#REF!</definedName>
    <definedName name="S_U" localSheetId="5">#REF!</definedName>
    <definedName name="S_U" localSheetId="7">#REF!</definedName>
    <definedName name="S_U" localSheetId="9">#REF!</definedName>
    <definedName name="S_U" localSheetId="2">#REF!</definedName>
    <definedName name="S_U" localSheetId="11">#REF!</definedName>
    <definedName name="S_U" localSheetId="13">#REF!</definedName>
    <definedName name="S_U" localSheetId="15">#REF!</definedName>
    <definedName name="S_U" localSheetId="17">#REF!</definedName>
    <definedName name="S_U">#REF!</definedName>
    <definedName name="Sample1" localSheetId="5">[9]Template!#REF!</definedName>
    <definedName name="Sample1" localSheetId="7">[9]Template!#REF!</definedName>
    <definedName name="Sample1" localSheetId="9">[9]Template!#REF!</definedName>
    <definedName name="Sample1" localSheetId="2">[9]Template!#REF!</definedName>
    <definedName name="Sample1" localSheetId="11">[9]Template!#REF!</definedName>
    <definedName name="Sample1" localSheetId="13">[9]Template!#REF!</definedName>
    <definedName name="Sample1" localSheetId="15">[9]Template!#REF!</definedName>
    <definedName name="Sample1" localSheetId="17">[9]Template!#REF!</definedName>
    <definedName name="Sample1">[9]Template!#REF!</definedName>
    <definedName name="sample2" localSheetId="5">[10]Template!#REF!</definedName>
    <definedName name="sample2" localSheetId="7">[10]Template!#REF!</definedName>
    <definedName name="sample2" localSheetId="9">[10]Template!#REF!</definedName>
    <definedName name="sample2" localSheetId="2">[10]Template!#REF!</definedName>
    <definedName name="sample2" localSheetId="11">[10]Template!#REF!</definedName>
    <definedName name="sample2" localSheetId="13">[10]Template!#REF!</definedName>
    <definedName name="sample2" localSheetId="15">[10]Template!#REF!</definedName>
    <definedName name="sample2" localSheetId="17">[10]Template!#REF!</definedName>
    <definedName name="sample2">[10]Template!#REF!</definedName>
    <definedName name="sample3" localSheetId="5">[10]Template!#REF!</definedName>
    <definedName name="sample3" localSheetId="7">[10]Template!#REF!</definedName>
    <definedName name="sample3" localSheetId="9">[10]Template!#REF!</definedName>
    <definedName name="sample3" localSheetId="2">[10]Template!#REF!</definedName>
    <definedName name="sample3" localSheetId="11">[10]Template!#REF!</definedName>
    <definedName name="sample3" localSheetId="13">[10]Template!#REF!</definedName>
    <definedName name="sample3" localSheetId="15">[10]Template!#REF!</definedName>
    <definedName name="sample3" localSheetId="17">[10]Template!#REF!</definedName>
    <definedName name="sample3">[10]Template!#REF!</definedName>
    <definedName name="sdf" hidden="1">{"Assump",#N/A,TRUE,"Proforma";"first",#N/A,TRUE,"Proforma";"second",#N/A,TRUE,"Proforma";"lease1",#N/A,TRUE,"Proforma";"lease2",#N/A,TRUE,"Proforma"}</definedName>
    <definedName name="sdfgsfgdsfg" localSheetId="5">[4]Frontsheet!#REF!</definedName>
    <definedName name="sdfgsfgdsfg" localSheetId="7">[4]Frontsheet!#REF!</definedName>
    <definedName name="sdfgsfgdsfg" localSheetId="9">[4]Frontsheet!#REF!</definedName>
    <definedName name="sdfgsfgdsfg" localSheetId="2">[4]Frontsheet!#REF!</definedName>
    <definedName name="sdfgsfgdsfg" localSheetId="11">[4]Frontsheet!#REF!</definedName>
    <definedName name="sdfgsfgdsfg" localSheetId="13">[4]Frontsheet!#REF!</definedName>
    <definedName name="sdfgsfgdsfg" localSheetId="15">[4]Frontsheet!#REF!</definedName>
    <definedName name="sdfgsfgdsfg" localSheetId="17">[4]Frontsheet!#REF!</definedName>
    <definedName name="sdfgsfgdsfg">[4]Frontsheet!#REF!</definedName>
    <definedName name="SF">'[11]One Pager - Assumptions'!$H$31</definedName>
    <definedName name="sg" localSheetId="5">[4]Frontsheet!#REF!</definedName>
    <definedName name="sg" localSheetId="7">[4]Frontsheet!#REF!</definedName>
    <definedName name="sg" localSheetId="9">[4]Frontsheet!#REF!</definedName>
    <definedName name="sg" localSheetId="2">[4]Frontsheet!#REF!</definedName>
    <definedName name="sg" localSheetId="11">[4]Frontsheet!#REF!</definedName>
    <definedName name="sg" localSheetId="13">[4]Frontsheet!#REF!</definedName>
    <definedName name="sg" localSheetId="15">[4]Frontsheet!#REF!</definedName>
    <definedName name="sg" localSheetId="17">[4]Frontsheet!#REF!</definedName>
    <definedName name="sg">[4]Frontsheet!#REF!</definedName>
    <definedName name="si" localSheetId="5">[4]Frontsheet!#REF!</definedName>
    <definedName name="si" localSheetId="7">[4]Frontsheet!#REF!</definedName>
    <definedName name="si" localSheetId="9">[4]Frontsheet!#REF!</definedName>
    <definedName name="si" localSheetId="2">[4]Frontsheet!#REF!</definedName>
    <definedName name="si" localSheetId="11">[4]Frontsheet!#REF!</definedName>
    <definedName name="si" localSheetId="13">[4]Frontsheet!#REF!</definedName>
    <definedName name="si" localSheetId="15">[4]Frontsheet!#REF!</definedName>
    <definedName name="si" localSheetId="17">[4]Frontsheet!#REF!</definedName>
    <definedName name="si">[4]Frontsheet!#REF!</definedName>
    <definedName name="tp" localSheetId="5">[4]Frontsheet!#REF!</definedName>
    <definedName name="tp" localSheetId="7">[4]Frontsheet!#REF!</definedName>
    <definedName name="tp" localSheetId="9">[4]Frontsheet!#REF!</definedName>
    <definedName name="tp" localSheetId="2">[4]Frontsheet!#REF!</definedName>
    <definedName name="tp" localSheetId="11">[4]Frontsheet!#REF!</definedName>
    <definedName name="tp" localSheetId="13">[4]Frontsheet!#REF!</definedName>
    <definedName name="tp" localSheetId="15">[4]Frontsheet!#REF!</definedName>
    <definedName name="tp" localSheetId="17">[4]Frontsheet!#REF!</definedName>
    <definedName name="tp">[4]Frontsheet!#REF!</definedName>
    <definedName name="Trended_hard_cost">[6]Input!$K$47</definedName>
    <definedName name="trended_partner_contributions" localSheetId="5">'[6]Trended Cash Flow'!#REF!</definedName>
    <definedName name="trended_partner_contributions" localSheetId="7">'[6]Trended Cash Flow'!#REF!</definedName>
    <definedName name="trended_partner_contributions" localSheetId="9">'[6]Trended Cash Flow'!#REF!</definedName>
    <definedName name="trended_partner_contributions" localSheetId="2">'[6]Trended Cash Flow'!#REF!</definedName>
    <definedName name="trended_partner_contributions" localSheetId="11">'[6]Trended Cash Flow'!#REF!</definedName>
    <definedName name="trended_partner_contributions" localSheetId="13">'[6]Trended Cash Flow'!#REF!</definedName>
    <definedName name="trended_partner_contributions" localSheetId="15">'[6]Trended Cash Flow'!#REF!</definedName>
    <definedName name="trended_partner_contributions" localSheetId="17">'[6]Trended Cash Flow'!#REF!</definedName>
    <definedName name="trended_partner_contributions">'[6]Trended Cash Flow'!#REF!</definedName>
    <definedName name="TT" localSheetId="5">[4]Frontsheet!#REF!</definedName>
    <definedName name="TT" localSheetId="7">[4]Frontsheet!#REF!</definedName>
    <definedName name="TT" localSheetId="9">[4]Frontsheet!#REF!</definedName>
    <definedName name="TT" localSheetId="2">[4]Frontsheet!#REF!</definedName>
    <definedName name="TT" localSheetId="11">[4]Frontsheet!#REF!</definedName>
    <definedName name="TT" localSheetId="13">[4]Frontsheet!#REF!</definedName>
    <definedName name="TT" localSheetId="15">[4]Frontsheet!#REF!</definedName>
    <definedName name="TT" localSheetId="17">[4]Frontsheet!#REF!</definedName>
    <definedName name="TT">[4]Frontsheet!#REF!</definedName>
    <definedName name="units">'[12]Equity Investor Sheet 2538'!$G$132</definedName>
    <definedName name="untrended_dates">'[6]Untrended Cash Flow'!$E$12:$BL$12</definedName>
    <definedName name="untrended_partner_contributions">'[6]Untrended Cash Flow'!$E$154:$BL$154</definedName>
    <definedName name="vital5">'[7]Customize Your Invoice'!$E$15</definedName>
    <definedName name="wetadf" hidden="1">{"Assump",#N/A,TRUE,"Proforma";"first",#N/A,TRUE,"Proforma";"second",#N/A,TRUE,"Proforma";"lease1",#N/A,TRUE,"Proforma";"lease2",#N/A,TRUE,"Proforma"}</definedName>
    <definedName name="wrn.BlackWhite." hidden="1">{#N/A,#N/A,FALSE,"NNN sum";#N/A,#N/A,FALSE,"10-yr Opt. A Sum";#N/A,#N/A,FALSE,"10-yr Opt A Other Costs";#N/A,#N/A,FALSE,"Purchase Sum";#N/A,#N/A,FALSE,"Purchase Other Costs"}</definedName>
    <definedName name="wrn.Complete._.Review." hidden="1">{#N/A,#N/A,FALSE,"Occ and Rate";#N/A,#N/A,FALSE,"PF Input";#N/A,#N/A,FALSE,"Capital Input";#N/A,#N/A,FALSE,"Proforma Five Yr";#N/A,#N/A,FALSE,"Calculations";#N/A,#N/A,FALSE,"Transaction Summary-DTW"}</definedName>
    <definedName name="wrn.cssa." hidden="1">{#N/A,#N/A,FALSE,"WATCHDSC";#N/A,#N/A,FALSE,"2LOSSMOD";#N/A,#N/A,FALSE,"2LOSS";#N/A,#N/A,FALSE,"DSC";#N/A,#N/A,FALSE,"OPERAT";#N/A,#N/A,FALSE,"ADJUST";#N/A,#N/A,FALSE,"LEASE EXPIRE"}</definedName>
    <definedName name="wrn.data." hidden="1">{"data",#N/A,FALSE,"INPUT"}</definedName>
    <definedName name="wrn.GSA._.PRINT." hidden="1">{#N/A,#N/A,FALSE,"DEV COSTS";#N/A,#N/A,FALSE,"10-YR C. F."}</definedName>
    <definedName name="wrn.Investment._.Review." hidden="1">{#N/A,#N/A,FALSE,"Proforma Five Yr";#N/A,#N/A,FALSE,"Capital Input";#N/A,#N/A,FALSE,"Calculations";#N/A,#N/A,FALSE,"Transaction Summary-DTW"}</definedName>
    <definedName name="wrn.MODEL.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Operations._.Review." hidden="1">{#N/A,#N/A,FALSE,"Proforma Five Yr";#N/A,#N/A,FALSE,"Occ and Rate";#N/A,#N/A,FALSE,"PF Input";#N/A,#N/A,FALSE,"Hotcomps"}</definedName>
    <definedName name="wrn.Phase._.I." hidden="1">{#N/A,#N/A,FALSE,"Transaction Summary-DTW";#N/A,#N/A,FALSE,"Proforma Five Yr";#N/A,#N/A,FALSE,"Occ and Rate"}</definedName>
    <definedName name="wrn.print." hidden="1">{"Assump",#N/A,TRUE,"Proforma";"first",#N/A,TRUE,"Proforma";"second",#N/A,TRUE,"Proforma";"lease1",#N/A,TRUE,"Proforma";"lease2",#N/A,TRUE,"Proforma"}</definedName>
    <definedName name="wrn.Proforma._.Review." hidden="1">{#N/A,#N/A,FALSE,"Occ and Rate";#N/A,#N/A,FALSE,"PF Input";#N/A,#N/A,FALSE,"Proforma Five Yr";#N/A,#N/A,FALSE,"Hotcomps"}</definedName>
    <definedName name="wrn.Report.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wrn.Total.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wrn.TOTAL._.SHEETS." hidden="1">{#N/A,#N/A,FALSE,"DEV COSTS";#N/A,#N/A,FALSE,"10-YR C. F."}</definedName>
    <definedName name="wrn.WeeklyStatus." hidden="1">{#N/A,#N/A,FALSE,"StatusReport"}</definedName>
    <definedName name="wrn.YTD.Clsngs.Subdiv.Dte." hidden="1">{"Smry.sbtl.subdiv.clsdte",#N/A,FALSE,"97clsngs.612"}</definedName>
    <definedName name="x" hidden="1">{#N/A,#N/A,FALSE,"WATCHDSC";#N/A,#N/A,FALSE,"2LOSSMOD";#N/A,#N/A,FALSE,"2LOSS";#N/A,#N/A,FALSE,"DSC";#N/A,#N/A,FALSE,"OPERAT";#N/A,#N/A,FALSE,"ADJUST";#N/A,#N/A,FALSE,"LEASE EXPIRE"}</definedName>
  </definedNames>
  <calcPr calcId="191028"/>
  <fileRecoveryPr autoRecover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3" i="140" l="1"/>
  <c r="I8" i="140"/>
  <c r="I7" i="140"/>
  <c r="I5" i="140"/>
  <c r="J226" i="183"/>
  <c r="K226" i="183"/>
  <c r="D227" i="183"/>
  <c r="J227" i="183" s="1"/>
  <c r="F227" i="183"/>
  <c r="G227" i="183" s="1"/>
  <c r="H227" i="183"/>
  <c r="D228" i="183"/>
  <c r="J228" i="183" s="1"/>
  <c r="F228" i="183"/>
  <c r="G228" i="183" s="1"/>
  <c r="H228" i="183"/>
  <c r="D230" i="183"/>
  <c r="F230" i="183"/>
  <c r="G230" i="183" s="1"/>
  <c r="H230" i="183"/>
  <c r="D231" i="183"/>
  <c r="F231" i="183"/>
  <c r="G231" i="183" s="1"/>
  <c r="H231" i="183"/>
  <c r="D232" i="183"/>
  <c r="J232" i="183" s="1"/>
  <c r="F232" i="183"/>
  <c r="G232" i="183" s="1"/>
  <c r="H232" i="183"/>
  <c r="D233" i="183"/>
  <c r="J233" i="183" s="1"/>
  <c r="F233" i="183"/>
  <c r="G233" i="183" s="1"/>
  <c r="H233" i="183"/>
  <c r="B19" i="179"/>
  <c r="A184" i="183"/>
  <c r="A144" i="183"/>
  <c r="A108" i="183"/>
  <c r="B15" i="153"/>
  <c r="B16" i="153"/>
  <c r="AV10" i="105"/>
  <c r="AV10" i="154"/>
  <c r="B63" i="153"/>
  <c r="B62" i="153"/>
  <c r="C62" i="153" s="1"/>
  <c r="AQ4" i="159"/>
  <c r="AR4" i="159"/>
  <c r="AS4" i="159"/>
  <c r="AT4" i="159"/>
  <c r="AU4" i="159"/>
  <c r="F34" i="140"/>
  <c r="E9" i="184" s="1"/>
  <c r="B9" i="184" s="1"/>
  <c r="A34" i="140"/>
  <c r="B35" i="185"/>
  <c r="B35" i="149"/>
  <c r="C53" i="179"/>
  <c r="C38" i="185"/>
  <c r="B8" i="186" s="1"/>
  <c r="AW8" i="186" s="1"/>
  <c r="D2" i="185"/>
  <c r="C33" i="185" s="1"/>
  <c r="H23" i="140"/>
  <c r="I23" i="140"/>
  <c r="H22" i="140"/>
  <c r="I22" i="140"/>
  <c r="H20" i="140"/>
  <c r="I20" i="140"/>
  <c r="I19" i="140"/>
  <c r="B5" i="185"/>
  <c r="E5" i="185" s="1"/>
  <c r="B7" i="185"/>
  <c r="E14" i="140"/>
  <c r="J33" i="140" s="1"/>
  <c r="D13" i="140"/>
  <c r="C10" i="140"/>
  <c r="C13" i="140"/>
  <c r="B33" i="186"/>
  <c r="C29" i="186"/>
  <c r="C36" i="186" s="1"/>
  <c r="S26" i="186"/>
  <c r="S41" i="186" s="1"/>
  <c r="G26" i="186"/>
  <c r="G41" i="186" s="1"/>
  <c r="F26" i="186"/>
  <c r="F41" i="186" s="1"/>
  <c r="E26" i="186"/>
  <c r="E41" i="186" s="1"/>
  <c r="D26" i="186"/>
  <c r="D41" i="186" s="1"/>
  <c r="C26" i="186"/>
  <c r="C41" i="186" s="1"/>
  <c r="A26" i="186"/>
  <c r="B25" i="186"/>
  <c r="AW25" i="186" s="1"/>
  <c r="A25" i="186"/>
  <c r="B24" i="186"/>
  <c r="AH24" i="186" s="1"/>
  <c r="A24" i="186"/>
  <c r="B23" i="186"/>
  <c r="AW23" i="186" s="1"/>
  <c r="A23" i="186"/>
  <c r="B22" i="186"/>
  <c r="AW22" i="186" s="1"/>
  <c r="A22" i="186"/>
  <c r="B21" i="186"/>
  <c r="AW21" i="186" s="1"/>
  <c r="A21" i="186"/>
  <c r="B20" i="186"/>
  <c r="AN20" i="186" s="1"/>
  <c r="AN26" i="186" s="1"/>
  <c r="AN41" i="186" s="1"/>
  <c r="A20" i="186"/>
  <c r="A19" i="186"/>
  <c r="A18" i="186"/>
  <c r="A17" i="186"/>
  <c r="A16" i="186"/>
  <c r="A15" i="186"/>
  <c r="A14" i="186"/>
  <c r="A13" i="186"/>
  <c r="A12" i="186"/>
  <c r="A11" i="186"/>
  <c r="A9" i="186"/>
  <c r="A8" i="186"/>
  <c r="A7" i="186"/>
  <c r="A6" i="186"/>
  <c r="A5" i="186"/>
  <c r="AV4" i="186"/>
  <c r="D3" i="186"/>
  <c r="E3" i="186" s="1"/>
  <c r="F3" i="186" s="1"/>
  <c r="G3" i="186" s="1"/>
  <c r="H3" i="186" s="1"/>
  <c r="I3" i="186" s="1"/>
  <c r="J3" i="186" s="1"/>
  <c r="K3" i="186" s="1"/>
  <c r="L3" i="186" s="1"/>
  <c r="M3" i="186" s="1"/>
  <c r="N3" i="186" s="1"/>
  <c r="O3" i="186" s="1"/>
  <c r="P3" i="186" s="1"/>
  <c r="Q3" i="186" s="1"/>
  <c r="R3" i="186" s="1"/>
  <c r="S3" i="186" s="1"/>
  <c r="T3" i="186" s="1"/>
  <c r="U3" i="186" s="1"/>
  <c r="V3" i="186" s="1"/>
  <c r="W3" i="186" s="1"/>
  <c r="X3" i="186" s="1"/>
  <c r="Y3" i="186" s="1"/>
  <c r="Z3" i="186" s="1"/>
  <c r="AA3" i="186" s="1"/>
  <c r="AB3" i="186" s="1"/>
  <c r="AC3" i="186" s="1"/>
  <c r="AD3" i="186" s="1"/>
  <c r="AE3" i="186" s="1"/>
  <c r="AF3" i="186" s="1"/>
  <c r="AG3" i="186" s="1"/>
  <c r="AH3" i="186" s="1"/>
  <c r="AI3" i="186" s="1"/>
  <c r="AJ3" i="186" s="1"/>
  <c r="AK3" i="186" s="1"/>
  <c r="AL3" i="186" s="1"/>
  <c r="AM3" i="186" s="1"/>
  <c r="AN3" i="186" s="1"/>
  <c r="AO3" i="186" s="1"/>
  <c r="AP3" i="186" s="1"/>
  <c r="AQ3" i="186" s="1"/>
  <c r="AR3" i="186" s="1"/>
  <c r="AS3" i="186" s="1"/>
  <c r="AT3" i="186" s="1"/>
  <c r="AU3" i="186" s="1"/>
  <c r="F1" i="186"/>
  <c r="E1" i="186"/>
  <c r="D1" i="186"/>
  <c r="C1" i="186"/>
  <c r="A67" i="185"/>
  <c r="A68" i="185" s="1"/>
  <c r="B49" i="185"/>
  <c r="B48" i="185"/>
  <c r="B47" i="185"/>
  <c r="B45" i="185"/>
  <c r="B44" i="185"/>
  <c r="B43" i="185"/>
  <c r="B41" i="185"/>
  <c r="B40" i="185"/>
  <c r="A40" i="185"/>
  <c r="A10" i="186" s="1"/>
  <c r="B39" i="185"/>
  <c r="C39" i="185" s="1"/>
  <c r="A27" i="185"/>
  <c r="B23" i="185"/>
  <c r="B17" i="185"/>
  <c r="C40" i="185" s="1"/>
  <c r="D16" i="185"/>
  <c r="D15" i="185"/>
  <c r="D17" i="185" s="1"/>
  <c r="B48" i="149"/>
  <c r="B20" i="179"/>
  <c r="H21" i="140"/>
  <c r="H18" i="140"/>
  <c r="B68" i="179"/>
  <c r="B59" i="160"/>
  <c r="B66" i="179" s="1"/>
  <c r="B56" i="160"/>
  <c r="B52" i="160"/>
  <c r="D46" i="160"/>
  <c r="B24" i="160"/>
  <c r="B44" i="160"/>
  <c r="B60" i="157"/>
  <c r="B57" i="157"/>
  <c r="B53" i="157"/>
  <c r="B50" i="157"/>
  <c r="B48" i="157"/>
  <c r="B47" i="160" s="1"/>
  <c r="B58" i="153"/>
  <c r="B45" i="153"/>
  <c r="B46" i="153"/>
  <c r="C46" i="153" s="1"/>
  <c r="G18" i="140"/>
  <c r="F18" i="140"/>
  <c r="E18" i="140"/>
  <c r="B59" i="150"/>
  <c r="B55" i="150"/>
  <c r="B54" i="153" s="1"/>
  <c r="B47" i="150"/>
  <c r="B43" i="149"/>
  <c r="B39" i="179"/>
  <c r="B59" i="179"/>
  <c r="B51" i="179"/>
  <c r="B56" i="179"/>
  <c r="B54" i="179"/>
  <c r="B63" i="179"/>
  <c r="E18" i="184"/>
  <c r="D18" i="184"/>
  <c r="E17" i="184"/>
  <c r="D17" i="184"/>
  <c r="E16" i="184"/>
  <c r="D16" i="184"/>
  <c r="E15" i="184"/>
  <c r="D15" i="184"/>
  <c r="E14" i="184"/>
  <c r="D14" i="184"/>
  <c r="E13" i="184"/>
  <c r="D13" i="184"/>
  <c r="F16" i="184" s="1"/>
  <c r="I24" i="140" l="1"/>
  <c r="C42" i="185" s="1"/>
  <c r="J231" i="183"/>
  <c r="J230" i="183"/>
  <c r="K233" i="183"/>
  <c r="K231" i="183"/>
  <c r="K228" i="183"/>
  <c r="J235" i="183"/>
  <c r="K232" i="183"/>
  <c r="K230" i="183"/>
  <c r="K227" i="183"/>
  <c r="AM20" i="186"/>
  <c r="AM26" i="186" s="1"/>
  <c r="AM41" i="186" s="1"/>
  <c r="AP20" i="186"/>
  <c r="AP26" i="186" s="1"/>
  <c r="AO20" i="186"/>
  <c r="AO26" i="186" s="1"/>
  <c r="AO41" i="186" s="1"/>
  <c r="R8" i="186"/>
  <c r="R26" i="186" s="1"/>
  <c r="R41" i="186" s="1"/>
  <c r="A1" i="186"/>
  <c r="W24" i="186"/>
  <c r="AJ24" i="186"/>
  <c r="AI24" i="186"/>
  <c r="AG24" i="186"/>
  <c r="AC24" i="186"/>
  <c r="X24" i="186"/>
  <c r="W23" i="186"/>
  <c r="AF24" i="186"/>
  <c r="AE24" i="186"/>
  <c r="AD24" i="186"/>
  <c r="AB24" i="186"/>
  <c r="AA24" i="186"/>
  <c r="AL24" i="186"/>
  <c r="Z24" i="186"/>
  <c r="AK24" i="186"/>
  <c r="Y24" i="186"/>
  <c r="C17" i="185"/>
  <c r="B11" i="185"/>
  <c r="D40" i="185" s="1"/>
  <c r="AW20" i="186"/>
  <c r="E13" i="140"/>
  <c r="E7" i="185"/>
  <c r="C11" i="185"/>
  <c r="C63" i="185"/>
  <c r="B18" i="185"/>
  <c r="B10" i="186"/>
  <c r="C44" i="185"/>
  <c r="B9" i="186"/>
  <c r="C48" i="185"/>
  <c r="C28" i="185"/>
  <c r="C30" i="186"/>
  <c r="C71" i="185"/>
  <c r="AW24" i="186"/>
  <c r="B22" i="185"/>
  <c r="F9" i="184"/>
  <c r="G9" i="184" s="1"/>
  <c r="F38" i="184" s="1"/>
  <c r="C54" i="179"/>
  <c r="C63" i="179" s="1"/>
  <c r="F13" i="184"/>
  <c r="F17" i="184"/>
  <c r="F14" i="184"/>
  <c r="D26" i="184" s="1"/>
  <c r="F18" i="184"/>
  <c r="D27" i="184" s="1"/>
  <c r="D22" i="184"/>
  <c r="F15" i="184"/>
  <c r="D24" i="184"/>
  <c r="K235" i="183" l="1"/>
  <c r="D38" i="185"/>
  <c r="AW9" i="186"/>
  <c r="H9" i="186"/>
  <c r="AA10" i="186"/>
  <c r="AW10" i="186"/>
  <c r="AB10" i="186"/>
  <c r="AC10" i="186"/>
  <c r="AD10" i="186"/>
  <c r="X10" i="186"/>
  <c r="AE10" i="186"/>
  <c r="AK10" i="186"/>
  <c r="AL10" i="186"/>
  <c r="AF10" i="186"/>
  <c r="Y10" i="186"/>
  <c r="AG10" i="186"/>
  <c r="W10" i="186"/>
  <c r="Z10" i="186"/>
  <c r="AH10" i="186"/>
  <c r="AI10" i="186"/>
  <c r="AJ10" i="186"/>
  <c r="D52" i="185"/>
  <c r="AV8" i="186"/>
  <c r="AX8" i="186" s="1"/>
  <c r="D56" i="185"/>
  <c r="D50" i="185"/>
  <c r="D39" i="185"/>
  <c r="D54" i="185"/>
  <c r="B19" i="185"/>
  <c r="B21" i="185" s="1"/>
  <c r="C36" i="185" s="1"/>
  <c r="D53" i="185"/>
  <c r="D55" i="185"/>
  <c r="C12" i="185"/>
  <c r="B24" i="185"/>
  <c r="B26" i="185" s="1"/>
  <c r="B27" i="185" s="1"/>
  <c r="C35" i="185"/>
  <c r="B14" i="186"/>
  <c r="D44" i="185"/>
  <c r="B18" i="186"/>
  <c r="D48" i="185"/>
  <c r="C59" i="179"/>
  <c r="D28" i="184"/>
  <c r="D25" i="184"/>
  <c r="D23" i="184"/>
  <c r="AW18" i="186" l="1"/>
  <c r="AG18" i="186"/>
  <c r="AH18" i="186"/>
  <c r="AI18" i="186"/>
  <c r="AE18" i="186"/>
  <c r="X18" i="186"/>
  <c r="AJ18" i="186"/>
  <c r="Y18" i="186"/>
  <c r="Z18" i="186"/>
  <c r="AK18" i="186"/>
  <c r="AL18" i="186"/>
  <c r="AD18" i="186"/>
  <c r="AA18" i="186"/>
  <c r="AB18" i="186"/>
  <c r="AF18" i="186"/>
  <c r="AC18" i="186"/>
  <c r="W18" i="186"/>
  <c r="AW14" i="186"/>
  <c r="H14" i="186"/>
  <c r="AV10" i="186"/>
  <c r="AX10" i="186" s="1"/>
  <c r="C37" i="185"/>
  <c r="C47" i="185" s="1"/>
  <c r="B17" i="186" s="1"/>
  <c r="AW17" i="186" s="1"/>
  <c r="AV9" i="186"/>
  <c r="AX9" i="186" s="1"/>
  <c r="B6" i="186"/>
  <c r="D36" i="185"/>
  <c r="B5" i="186"/>
  <c r="C41" i="185"/>
  <c r="C43" i="185"/>
  <c r="D35" i="185"/>
  <c r="C48" i="160"/>
  <c r="B10" i="155" s="1"/>
  <c r="C49" i="157"/>
  <c r="B10" i="158" s="1"/>
  <c r="B51" i="150"/>
  <c r="B50" i="153" s="1"/>
  <c r="B49" i="157" s="1"/>
  <c r="B48" i="160" s="1"/>
  <c r="B55" i="179" s="1"/>
  <c r="A10" i="180"/>
  <c r="A10" i="155"/>
  <c r="A10" i="158"/>
  <c r="A10" i="156"/>
  <c r="A10" i="154"/>
  <c r="B40" i="149"/>
  <c r="A40" i="149"/>
  <c r="A10" i="105" s="1"/>
  <c r="F29" i="140"/>
  <c r="E4" i="184" s="1"/>
  <c r="F30" i="140"/>
  <c r="E5" i="184" s="1"/>
  <c r="F31" i="140"/>
  <c r="E6" i="184" s="1"/>
  <c r="F32" i="140"/>
  <c r="E7" i="184" s="1"/>
  <c r="F33" i="140"/>
  <c r="E8" i="184" s="1"/>
  <c r="F28" i="140"/>
  <c r="E3" i="184" s="1"/>
  <c r="C22" i="140"/>
  <c r="F22" i="140"/>
  <c r="E22" i="140"/>
  <c r="D22" i="140"/>
  <c r="G22" i="140"/>
  <c r="E20" i="140"/>
  <c r="G20" i="140"/>
  <c r="F20" i="140"/>
  <c r="D20" i="140"/>
  <c r="C20" i="140"/>
  <c r="F23" i="140"/>
  <c r="E23" i="140"/>
  <c r="C23" i="140"/>
  <c r="D23" i="140"/>
  <c r="G23" i="140"/>
  <c r="D21" i="140"/>
  <c r="E21" i="140"/>
  <c r="F21" i="140"/>
  <c r="G21" i="140"/>
  <c r="C21" i="140"/>
  <c r="B21" i="140"/>
  <c r="B45" i="157"/>
  <c r="B39" i="149"/>
  <c r="B41" i="149"/>
  <c r="B49" i="149"/>
  <c r="B44" i="149"/>
  <c r="A46" i="183"/>
  <c r="A66" i="183" s="1"/>
  <c r="B7" i="150"/>
  <c r="B6" i="150"/>
  <c r="B5" i="150"/>
  <c r="B7" i="179"/>
  <c r="B6" i="179"/>
  <c r="B5" i="179"/>
  <c r="C15" i="160"/>
  <c r="C40" i="160"/>
  <c r="A36" i="157"/>
  <c r="B67" i="179"/>
  <c r="B8" i="180"/>
  <c r="AW8" i="180" s="1"/>
  <c r="A1" i="180"/>
  <c r="B43" i="160"/>
  <c r="B50" i="179" s="1"/>
  <c r="B15" i="160"/>
  <c r="D1" i="160"/>
  <c r="A1" i="158"/>
  <c r="B62" i="157"/>
  <c r="B61" i="157"/>
  <c r="C47" i="157"/>
  <c r="B34" i="153"/>
  <c r="B44" i="157"/>
  <c r="C42" i="153"/>
  <c r="C48" i="153"/>
  <c r="AV22" i="154"/>
  <c r="AV23" i="154"/>
  <c r="W27" i="154"/>
  <c r="X27" i="154"/>
  <c r="Y27" i="154"/>
  <c r="Z27" i="154"/>
  <c r="AA27" i="154"/>
  <c r="AB27" i="154"/>
  <c r="AC27" i="154"/>
  <c r="AD27" i="154"/>
  <c r="AE27" i="154"/>
  <c r="AF27" i="154"/>
  <c r="AG27" i="154"/>
  <c r="AH27" i="154"/>
  <c r="AI27" i="154"/>
  <c r="AJ27" i="154"/>
  <c r="AK27" i="154"/>
  <c r="AL27" i="154"/>
  <c r="AM27" i="154"/>
  <c r="AN27" i="154"/>
  <c r="AO27" i="154"/>
  <c r="AP27" i="154"/>
  <c r="AQ27" i="154"/>
  <c r="AR27" i="154"/>
  <c r="AS27" i="154"/>
  <c r="AT27" i="154"/>
  <c r="AU27" i="154"/>
  <c r="C49" i="150"/>
  <c r="B46" i="150"/>
  <c r="B54" i="150"/>
  <c r="B53" i="153" s="1"/>
  <c r="B51" i="160" s="1"/>
  <c r="C43" i="150"/>
  <c r="E11" i="140"/>
  <c r="E10" i="140"/>
  <c r="B38" i="179"/>
  <c r="B27" i="179"/>
  <c r="C19" i="179"/>
  <c r="B21" i="179"/>
  <c r="A33" i="140"/>
  <c r="A32" i="140"/>
  <c r="A1" i="155" s="1"/>
  <c r="A31" i="140"/>
  <c r="A30" i="140"/>
  <c r="A29" i="140"/>
  <c r="C48" i="179" s="1"/>
  <c r="B47" i="149"/>
  <c r="B45" i="149"/>
  <c r="C15" i="157"/>
  <c r="D15" i="157" s="1"/>
  <c r="B15" i="157"/>
  <c r="B34" i="180"/>
  <c r="A27" i="180"/>
  <c r="B26" i="180"/>
  <c r="AB26" i="180" s="1"/>
  <c r="A26" i="180"/>
  <c r="B25" i="180"/>
  <c r="AE25" i="180" s="1"/>
  <c r="A25" i="180"/>
  <c r="B24" i="180"/>
  <c r="AW24" i="180" s="1"/>
  <c r="A24" i="180"/>
  <c r="A23" i="180"/>
  <c r="A22" i="180"/>
  <c r="A21" i="180"/>
  <c r="B20" i="180"/>
  <c r="AJ20" i="180" s="1"/>
  <c r="A20" i="180"/>
  <c r="A19" i="180"/>
  <c r="B18" i="180"/>
  <c r="AB18" i="180" s="1"/>
  <c r="A18" i="180"/>
  <c r="A17" i="180"/>
  <c r="A16" i="180"/>
  <c r="A15" i="180"/>
  <c r="B14" i="180"/>
  <c r="AW14" i="180" s="1"/>
  <c r="A14" i="180"/>
  <c r="A13" i="180"/>
  <c r="A12" i="180"/>
  <c r="A11" i="180"/>
  <c r="B9" i="180"/>
  <c r="AW9" i="180" s="1"/>
  <c r="A9" i="180"/>
  <c r="A8" i="180"/>
  <c r="A7" i="180"/>
  <c r="A6" i="180"/>
  <c r="A5" i="180"/>
  <c r="D3" i="180"/>
  <c r="E3" i="180" s="1"/>
  <c r="F3" i="180" s="1"/>
  <c r="G3" i="180" s="1"/>
  <c r="H3" i="180" s="1"/>
  <c r="I3" i="180" s="1"/>
  <c r="J3" i="180" s="1"/>
  <c r="K3" i="180" s="1"/>
  <c r="L3" i="180" s="1"/>
  <c r="M3" i="180" s="1"/>
  <c r="N3" i="180" s="1"/>
  <c r="O3" i="180" s="1"/>
  <c r="P3" i="180" s="1"/>
  <c r="Q3" i="180" s="1"/>
  <c r="R3" i="180" s="1"/>
  <c r="S3" i="180" s="1"/>
  <c r="T3" i="180" s="1"/>
  <c r="U3" i="180" s="1"/>
  <c r="V3" i="180" s="1"/>
  <c r="W3" i="180" s="1"/>
  <c r="X3" i="180" s="1"/>
  <c r="Y3" i="180" s="1"/>
  <c r="Z3" i="180" s="1"/>
  <c r="AA3" i="180" s="1"/>
  <c r="AB3" i="180" s="1"/>
  <c r="AC3" i="180" s="1"/>
  <c r="AD3" i="180" s="1"/>
  <c r="AE3" i="180" s="1"/>
  <c r="AF3" i="180" s="1"/>
  <c r="AG3" i="180" s="1"/>
  <c r="AH3" i="180" s="1"/>
  <c r="AI3" i="180" s="1"/>
  <c r="AJ3" i="180" s="1"/>
  <c r="AK3" i="180" s="1"/>
  <c r="AL3" i="180" s="1"/>
  <c r="AM3" i="180" s="1"/>
  <c r="AN3" i="180" s="1"/>
  <c r="AO3" i="180" s="1"/>
  <c r="AP3" i="180" s="1"/>
  <c r="AQ3" i="180" s="1"/>
  <c r="AR3" i="180" s="1"/>
  <c r="AS3" i="180" s="1"/>
  <c r="AT3" i="180" s="1"/>
  <c r="AU3" i="180" s="1"/>
  <c r="F1" i="180"/>
  <c r="E1" i="180"/>
  <c r="D1" i="180"/>
  <c r="C1" i="180"/>
  <c r="A82" i="179"/>
  <c r="A83" i="179" s="1"/>
  <c r="A29" i="179"/>
  <c r="D20" i="179"/>
  <c r="D7" i="179"/>
  <c r="C7" i="179"/>
  <c r="C10" i="179" s="1"/>
  <c r="D6" i="179"/>
  <c r="C6" i="179"/>
  <c r="C9" i="179" s="1"/>
  <c r="D5" i="179"/>
  <c r="C5" i="179"/>
  <c r="D4" i="179"/>
  <c r="C4" i="179"/>
  <c r="D1" i="179"/>
  <c r="B26" i="179" s="1"/>
  <c r="E6" i="140"/>
  <c r="E5" i="140"/>
  <c r="B33" i="157"/>
  <c r="B14" i="157"/>
  <c r="B19" i="157" s="1"/>
  <c r="C14" i="157"/>
  <c r="D1" i="157"/>
  <c r="B21" i="157" s="1"/>
  <c r="A27" i="153"/>
  <c r="C15" i="153"/>
  <c r="C16" i="153"/>
  <c r="D2" i="153"/>
  <c r="C9" i="140"/>
  <c r="C8" i="140"/>
  <c r="C7" i="140"/>
  <c r="A26" i="150"/>
  <c r="B24" i="150"/>
  <c r="D7" i="150"/>
  <c r="D6" i="150"/>
  <c r="D5" i="150"/>
  <c r="D4" i="150"/>
  <c r="D1" i="150"/>
  <c r="B23" i="150" s="1"/>
  <c r="C7" i="150"/>
  <c r="C10" i="150" s="1"/>
  <c r="C6" i="150"/>
  <c r="C9" i="150" s="1"/>
  <c r="C5" i="150"/>
  <c r="C8" i="150" s="1"/>
  <c r="C4" i="150"/>
  <c r="B18" i="140"/>
  <c r="B23" i="149"/>
  <c r="A27" i="149"/>
  <c r="D5" i="149"/>
  <c r="E5" i="149" s="1"/>
  <c r="G58" i="142"/>
  <c r="H58" i="142" s="1"/>
  <c r="I58" i="142" s="1"/>
  <c r="J58" i="142" s="1"/>
  <c r="J55" i="142"/>
  <c r="I55" i="142"/>
  <c r="H55" i="142"/>
  <c r="G55" i="142"/>
  <c r="C70" i="142"/>
  <c r="D70" i="142"/>
  <c r="E70" i="142"/>
  <c r="C64" i="142"/>
  <c r="D64" i="142"/>
  <c r="E64" i="142"/>
  <c r="B70" i="142"/>
  <c r="B64" i="142"/>
  <c r="F55" i="142"/>
  <c r="AV8" i="155"/>
  <c r="AV8" i="105"/>
  <c r="A28" i="140"/>
  <c r="D2" i="149"/>
  <c r="B18" i="149" s="1"/>
  <c r="C39" i="149" l="1"/>
  <c r="C44" i="149" s="1"/>
  <c r="B49" i="153"/>
  <c r="B50" i="150"/>
  <c r="C50" i="150" s="1"/>
  <c r="D37" i="185"/>
  <c r="B23" i="179"/>
  <c r="D38" i="179" s="1"/>
  <c r="A38" i="150"/>
  <c r="B20" i="150"/>
  <c r="B22" i="150" s="1"/>
  <c r="C12" i="150"/>
  <c r="B28" i="184"/>
  <c r="C45" i="185"/>
  <c r="D45" i="185" s="1"/>
  <c r="F2" i="186"/>
  <c r="E2" i="186"/>
  <c r="D2" i="186"/>
  <c r="C2" i="186"/>
  <c r="J29" i="140"/>
  <c r="AE10" i="155"/>
  <c r="AV10" i="155" s="1"/>
  <c r="AW10" i="155"/>
  <c r="Y10" i="158"/>
  <c r="W10" i="158"/>
  <c r="Z10" i="158"/>
  <c r="AA10" i="158"/>
  <c r="AB10" i="158"/>
  <c r="AC10" i="158"/>
  <c r="X10" i="158"/>
  <c r="AD10" i="158"/>
  <c r="AW10" i="158"/>
  <c r="S10" i="158"/>
  <c r="V10" i="158"/>
  <c r="T10" i="158"/>
  <c r="U10" i="158"/>
  <c r="B7" i="186"/>
  <c r="AG7" i="186" s="1"/>
  <c r="AW6" i="186"/>
  <c r="AC6" i="186"/>
  <c r="AD6" i="186"/>
  <c r="W6" i="186"/>
  <c r="AF6" i="186"/>
  <c r="AG6" i="186"/>
  <c r="AH6" i="186"/>
  <c r="AI6" i="186"/>
  <c r="X6" i="186"/>
  <c r="AJ6" i="186"/>
  <c r="Y6" i="186"/>
  <c r="AK6" i="186"/>
  <c r="Z6" i="186"/>
  <c r="AL6" i="186"/>
  <c r="AA6" i="186"/>
  <c r="AB6" i="186"/>
  <c r="AE6" i="186"/>
  <c r="AF17" i="186"/>
  <c r="AH17" i="186"/>
  <c r="AI17" i="186"/>
  <c r="X17" i="186"/>
  <c r="AJ17" i="186"/>
  <c r="Y17" i="186"/>
  <c r="AK17" i="186"/>
  <c r="Z17" i="186"/>
  <c r="AL17" i="186"/>
  <c r="AA17" i="186"/>
  <c r="AB17" i="186"/>
  <c r="W17" i="186"/>
  <c r="AC17" i="186"/>
  <c r="AD17" i="186"/>
  <c r="AE17" i="186"/>
  <c r="AG17" i="186"/>
  <c r="D47" i="185"/>
  <c r="AW5" i="186"/>
  <c r="AF5" i="186"/>
  <c r="W5" i="186"/>
  <c r="AI5" i="186"/>
  <c r="X5" i="186"/>
  <c r="AJ5" i="186"/>
  <c r="Y5" i="186"/>
  <c r="AK5" i="186"/>
  <c r="Z5" i="186"/>
  <c r="AL5" i="186"/>
  <c r="AC5" i="186"/>
  <c r="AA5" i="186"/>
  <c r="AB5" i="186"/>
  <c r="AD5" i="186"/>
  <c r="AE5" i="186"/>
  <c r="AG5" i="186"/>
  <c r="AH5" i="186"/>
  <c r="D41" i="185"/>
  <c r="B11" i="186"/>
  <c r="B13" i="186"/>
  <c r="D43" i="185"/>
  <c r="E2" i="155"/>
  <c r="A1" i="105"/>
  <c r="E2" i="158"/>
  <c r="F5" i="184"/>
  <c r="G5" i="184" s="1"/>
  <c r="F34" i="184" s="1"/>
  <c r="B5" i="184"/>
  <c r="B23" i="153"/>
  <c r="C49" i="153"/>
  <c r="B9" i="156" s="1"/>
  <c r="G9" i="156" s="1"/>
  <c r="B22" i="157"/>
  <c r="C48" i="157"/>
  <c r="B9" i="158" s="1"/>
  <c r="B22" i="160"/>
  <c r="C47" i="160"/>
  <c r="B9" i="155" s="1"/>
  <c r="B3" i="184"/>
  <c r="F3" i="184"/>
  <c r="G3" i="184" s="1"/>
  <c r="F32" i="184" s="1"/>
  <c r="F8" i="184"/>
  <c r="G8" i="184" s="1"/>
  <c r="F37" i="184" s="1"/>
  <c r="B8" i="184"/>
  <c r="F7" i="184"/>
  <c r="G7" i="184" s="1"/>
  <c r="F36" i="184" s="1"/>
  <c r="B7" i="184"/>
  <c r="F6" i="184"/>
  <c r="G6" i="184" s="1"/>
  <c r="F35" i="184" s="1"/>
  <c r="B6" i="184"/>
  <c r="D49" i="157"/>
  <c r="F4" i="184"/>
  <c r="G4" i="184" s="1"/>
  <c r="F33" i="184" s="1"/>
  <c r="B4" i="184"/>
  <c r="D48" i="160"/>
  <c r="F10" i="140"/>
  <c r="B24" i="179"/>
  <c r="D39" i="179" s="1"/>
  <c r="C39" i="179" s="1"/>
  <c r="E12" i="140"/>
  <c r="J28" i="140" s="1"/>
  <c r="C55" i="179"/>
  <c r="AI20" i="180"/>
  <c r="S25" i="180"/>
  <c r="S24" i="180"/>
  <c r="AA18" i="180"/>
  <c r="C2" i="155"/>
  <c r="F2" i="158"/>
  <c r="E5" i="179"/>
  <c r="F2" i="155"/>
  <c r="D2" i="155"/>
  <c r="C2" i="158"/>
  <c r="D2" i="158"/>
  <c r="AC18" i="180"/>
  <c r="D15" i="160"/>
  <c r="AF25" i="180"/>
  <c r="AD25" i="180"/>
  <c r="T25" i="180"/>
  <c r="AC26" i="180"/>
  <c r="AA26" i="180"/>
  <c r="AF8" i="180"/>
  <c r="AD8" i="180"/>
  <c r="T8" i="180"/>
  <c r="Z26" i="180"/>
  <c r="AC25" i="180"/>
  <c r="AV20" i="180"/>
  <c r="Z18" i="180"/>
  <c r="AC8" i="180"/>
  <c r="S8" i="180"/>
  <c r="Y26" i="180"/>
  <c r="AB25" i="180"/>
  <c r="Y18" i="180"/>
  <c r="AB8" i="180"/>
  <c r="X26" i="180"/>
  <c r="AA25" i="180"/>
  <c r="X18" i="180"/>
  <c r="AA8" i="180"/>
  <c r="W26" i="180"/>
  <c r="Z25" i="180"/>
  <c r="W18" i="180"/>
  <c r="Z8" i="180"/>
  <c r="S18" i="180"/>
  <c r="AH26" i="180"/>
  <c r="V26" i="180"/>
  <c r="Y25" i="180"/>
  <c r="AH18" i="180"/>
  <c r="V18" i="180"/>
  <c r="Y8" i="180"/>
  <c r="AG26" i="180"/>
  <c r="U26" i="180"/>
  <c r="X25" i="180"/>
  <c r="AG18" i="180"/>
  <c r="U18" i="180"/>
  <c r="X8" i="180"/>
  <c r="AF26" i="180"/>
  <c r="T26" i="180"/>
  <c r="W25" i="180"/>
  <c r="AF18" i="180"/>
  <c r="T18" i="180"/>
  <c r="W8" i="180"/>
  <c r="AE26" i="180"/>
  <c r="AH25" i="180"/>
  <c r="V25" i="180"/>
  <c r="AE18" i="180"/>
  <c r="AH8" i="180"/>
  <c r="V8" i="180"/>
  <c r="S26" i="180"/>
  <c r="AD26" i="180"/>
  <c r="AG25" i="180"/>
  <c r="U25" i="180"/>
  <c r="AD18" i="180"/>
  <c r="AG8" i="180"/>
  <c r="U8" i="180"/>
  <c r="AE8" i="180"/>
  <c r="F2" i="180"/>
  <c r="E2" i="180"/>
  <c r="D2" i="180"/>
  <c r="C2" i="180"/>
  <c r="D19" i="179"/>
  <c r="D21" i="179" s="1"/>
  <c r="B15" i="179"/>
  <c r="D54" i="179" s="1"/>
  <c r="C78" i="179"/>
  <c r="C86" i="179"/>
  <c r="C74" i="150"/>
  <c r="C32" i="179"/>
  <c r="E6" i="150"/>
  <c r="C11" i="179"/>
  <c r="D11" i="179" s="1"/>
  <c r="E11" i="179" s="1"/>
  <c r="C12" i="179"/>
  <c r="E7" i="150"/>
  <c r="E4" i="179"/>
  <c r="AW25" i="180"/>
  <c r="E7" i="179"/>
  <c r="AW20" i="180"/>
  <c r="AV4" i="180"/>
  <c r="E6" i="179"/>
  <c r="AW18" i="180"/>
  <c r="AW26" i="180"/>
  <c r="C8" i="179"/>
  <c r="C67" i="179"/>
  <c r="E5" i="150"/>
  <c r="C81" i="153"/>
  <c r="C73" i="153"/>
  <c r="C28" i="153"/>
  <c r="B22" i="153"/>
  <c r="C43" i="153"/>
  <c r="A1" i="156"/>
  <c r="C82" i="150"/>
  <c r="C29" i="150"/>
  <c r="C44" i="150"/>
  <c r="A1" i="154"/>
  <c r="C71" i="149"/>
  <c r="C63" i="149"/>
  <c r="B22" i="149"/>
  <c r="C33" i="149"/>
  <c r="C28" i="149"/>
  <c r="B25" i="158"/>
  <c r="B20" i="158"/>
  <c r="AW20" i="158" s="1"/>
  <c r="B26" i="158"/>
  <c r="B24" i="158"/>
  <c r="S24" i="158" s="1"/>
  <c r="B25" i="154"/>
  <c r="AW25" i="154" s="1"/>
  <c r="B20" i="154"/>
  <c r="B24" i="154"/>
  <c r="G24" i="154" s="1"/>
  <c r="B8" i="154"/>
  <c r="F8" i="154" s="1"/>
  <c r="B9" i="154"/>
  <c r="C9" i="154" s="1"/>
  <c r="F4" i="154"/>
  <c r="AV4" i="154" s="1"/>
  <c r="AV4" i="105"/>
  <c r="B14" i="105"/>
  <c r="B25" i="105"/>
  <c r="B24" i="105"/>
  <c r="A78" i="150"/>
  <c r="A79" i="150" s="1"/>
  <c r="C16" i="150"/>
  <c r="D16" i="150" s="1"/>
  <c r="C17" i="150"/>
  <c r="D17" i="150" s="1"/>
  <c r="A67" i="149"/>
  <c r="A68" i="149" s="1"/>
  <c r="D15" i="149"/>
  <c r="D16" i="149"/>
  <c r="D14" i="160"/>
  <c r="A75" i="160"/>
  <c r="A76" i="160" s="1"/>
  <c r="D15" i="153"/>
  <c r="C63" i="153" s="1"/>
  <c r="D16" i="153"/>
  <c r="B98" i="153"/>
  <c r="A77" i="153"/>
  <c r="A78" i="153" s="1"/>
  <c r="D14" i="157"/>
  <c r="D36" i="157" s="1"/>
  <c r="A76" i="157"/>
  <c r="A77" i="157" s="1"/>
  <c r="B33" i="160"/>
  <c r="B35" i="150"/>
  <c r="B20" i="105"/>
  <c r="D3" i="105"/>
  <c r="E3" i="105" s="1"/>
  <c r="F3" i="105" s="1"/>
  <c r="G3" i="105" s="1"/>
  <c r="H3" i="105" s="1"/>
  <c r="I3" i="105" s="1"/>
  <c r="J3" i="105" s="1"/>
  <c r="K3" i="105" s="1"/>
  <c r="L3" i="105" s="1"/>
  <c r="M3" i="105" s="1"/>
  <c r="N3" i="105" s="1"/>
  <c r="O3" i="105" s="1"/>
  <c r="P3" i="105" s="1"/>
  <c r="Q3" i="105" s="1"/>
  <c r="R3" i="105" s="1"/>
  <c r="S3" i="105" s="1"/>
  <c r="T3" i="105" s="1"/>
  <c r="U3" i="105" s="1"/>
  <c r="V3" i="105" s="1"/>
  <c r="W3" i="105" s="1"/>
  <c r="X3" i="105" s="1"/>
  <c r="Y3" i="105" s="1"/>
  <c r="Z3" i="105" s="1"/>
  <c r="AA3" i="105" s="1"/>
  <c r="AB3" i="105" s="1"/>
  <c r="AC3" i="105" s="1"/>
  <c r="AD3" i="105" s="1"/>
  <c r="AE3" i="105" s="1"/>
  <c r="AF3" i="105" s="1"/>
  <c r="AG3" i="105" s="1"/>
  <c r="AH3" i="105" s="1"/>
  <c r="AI3" i="105" s="1"/>
  <c r="AJ3" i="105" s="1"/>
  <c r="AK3" i="105" s="1"/>
  <c r="AL3" i="105" s="1"/>
  <c r="AM3" i="105" s="1"/>
  <c r="AN3" i="105" s="1"/>
  <c r="AO3" i="105" s="1"/>
  <c r="AP3" i="105" s="1"/>
  <c r="AQ3" i="105" s="1"/>
  <c r="AR3" i="105" s="1"/>
  <c r="AS3" i="105" s="1"/>
  <c r="AT3" i="105" s="1"/>
  <c r="AU3" i="105" s="1"/>
  <c r="D3" i="159"/>
  <c r="E3" i="159" s="1"/>
  <c r="F3" i="159" s="1"/>
  <c r="G3" i="159" s="1"/>
  <c r="H3" i="159" s="1"/>
  <c r="I3" i="159" s="1"/>
  <c r="J3" i="159" s="1"/>
  <c r="K3" i="159" s="1"/>
  <c r="L3" i="159" s="1"/>
  <c r="M3" i="159" s="1"/>
  <c r="N3" i="159" s="1"/>
  <c r="O3" i="159" s="1"/>
  <c r="P3" i="159" s="1"/>
  <c r="Q3" i="159" s="1"/>
  <c r="R3" i="159" s="1"/>
  <c r="S3" i="159" s="1"/>
  <c r="T3" i="159" s="1"/>
  <c r="U3" i="159" s="1"/>
  <c r="V3" i="159" s="1"/>
  <c r="W3" i="159" s="1"/>
  <c r="X3" i="159" s="1"/>
  <c r="Y3" i="159" s="1"/>
  <c r="Z3" i="159" s="1"/>
  <c r="AA3" i="159" s="1"/>
  <c r="AB3" i="159" s="1"/>
  <c r="AC3" i="159" s="1"/>
  <c r="AD3" i="159" s="1"/>
  <c r="AE3" i="159" s="1"/>
  <c r="AF3" i="159" s="1"/>
  <c r="AG3" i="159" s="1"/>
  <c r="AH3" i="159" s="1"/>
  <c r="AI3" i="159" s="1"/>
  <c r="AJ3" i="159" s="1"/>
  <c r="AK3" i="159" s="1"/>
  <c r="AL3" i="159" s="1"/>
  <c r="AM3" i="159" s="1"/>
  <c r="AN3" i="159" s="1"/>
  <c r="AO3" i="159" s="1"/>
  <c r="AP3" i="159" s="1"/>
  <c r="AQ3" i="159" s="1"/>
  <c r="AR3" i="159" s="1"/>
  <c r="AS3" i="159" s="1"/>
  <c r="AT3" i="159" s="1"/>
  <c r="AU3" i="159" s="1"/>
  <c r="D3" i="154"/>
  <c r="E3" i="154" s="1"/>
  <c r="F3" i="154" s="1"/>
  <c r="G3" i="154" s="1"/>
  <c r="H3" i="154" s="1"/>
  <c r="I3" i="154" s="1"/>
  <c r="J3" i="154" s="1"/>
  <c r="K3" i="154" s="1"/>
  <c r="L3" i="154" s="1"/>
  <c r="M3" i="154" s="1"/>
  <c r="N3" i="154" s="1"/>
  <c r="O3" i="154" s="1"/>
  <c r="P3" i="154" s="1"/>
  <c r="Q3" i="154" s="1"/>
  <c r="R3" i="154" s="1"/>
  <c r="S3" i="154" s="1"/>
  <c r="T3" i="154" s="1"/>
  <c r="U3" i="154" s="1"/>
  <c r="V3" i="154" s="1"/>
  <c r="W3" i="154" s="1"/>
  <c r="X3" i="154" s="1"/>
  <c r="Y3" i="154" s="1"/>
  <c r="Z3" i="154" s="1"/>
  <c r="AA3" i="154" s="1"/>
  <c r="AB3" i="154" s="1"/>
  <c r="AC3" i="154" s="1"/>
  <c r="AD3" i="154" s="1"/>
  <c r="AE3" i="154" s="1"/>
  <c r="AF3" i="154" s="1"/>
  <c r="AG3" i="154" s="1"/>
  <c r="AH3" i="154" s="1"/>
  <c r="AI3" i="154" s="1"/>
  <c r="AJ3" i="154" s="1"/>
  <c r="AK3" i="154" s="1"/>
  <c r="AL3" i="154" s="1"/>
  <c r="AM3" i="154" s="1"/>
  <c r="AN3" i="154" s="1"/>
  <c r="AO3" i="154" s="1"/>
  <c r="AP3" i="154" s="1"/>
  <c r="AQ3" i="154" s="1"/>
  <c r="AR3" i="154" s="1"/>
  <c r="AS3" i="154" s="1"/>
  <c r="AT3" i="154" s="1"/>
  <c r="AU3" i="154" s="1"/>
  <c r="D3" i="155"/>
  <c r="E3" i="155" s="1"/>
  <c r="F3" i="155" s="1"/>
  <c r="G3" i="155" s="1"/>
  <c r="H3" i="155" s="1"/>
  <c r="I3" i="155" s="1"/>
  <c r="J3" i="155" s="1"/>
  <c r="K3" i="155" s="1"/>
  <c r="L3" i="155" s="1"/>
  <c r="M3" i="155" s="1"/>
  <c r="N3" i="155" s="1"/>
  <c r="O3" i="155" s="1"/>
  <c r="P3" i="155" s="1"/>
  <c r="Q3" i="155" s="1"/>
  <c r="R3" i="155" s="1"/>
  <c r="S3" i="155" s="1"/>
  <c r="T3" i="155" s="1"/>
  <c r="U3" i="155" s="1"/>
  <c r="V3" i="155" s="1"/>
  <c r="W3" i="155" s="1"/>
  <c r="X3" i="155" s="1"/>
  <c r="Y3" i="155" s="1"/>
  <c r="Z3" i="155" s="1"/>
  <c r="AA3" i="155" s="1"/>
  <c r="AB3" i="155" s="1"/>
  <c r="AC3" i="155" s="1"/>
  <c r="AD3" i="155" s="1"/>
  <c r="AE3" i="155" s="1"/>
  <c r="AF3" i="155" s="1"/>
  <c r="AG3" i="155" s="1"/>
  <c r="AH3" i="155" s="1"/>
  <c r="AI3" i="155" s="1"/>
  <c r="AJ3" i="155" s="1"/>
  <c r="AK3" i="155" s="1"/>
  <c r="AL3" i="155" s="1"/>
  <c r="AM3" i="155" s="1"/>
  <c r="AN3" i="155" s="1"/>
  <c r="AO3" i="155" s="1"/>
  <c r="AP3" i="155" s="1"/>
  <c r="AQ3" i="155" s="1"/>
  <c r="AR3" i="155" s="1"/>
  <c r="AS3" i="155" s="1"/>
  <c r="AT3" i="155" s="1"/>
  <c r="AU3" i="155" s="1"/>
  <c r="F1" i="155"/>
  <c r="E1" i="155"/>
  <c r="D1" i="155"/>
  <c r="C1" i="155"/>
  <c r="D3" i="158"/>
  <c r="E3" i="158" s="1"/>
  <c r="F3" i="158" s="1"/>
  <c r="G3" i="158" s="1"/>
  <c r="H3" i="158" s="1"/>
  <c r="I3" i="158" s="1"/>
  <c r="J3" i="158" s="1"/>
  <c r="K3" i="158" s="1"/>
  <c r="L3" i="158" s="1"/>
  <c r="M3" i="158" s="1"/>
  <c r="N3" i="158" s="1"/>
  <c r="O3" i="158" s="1"/>
  <c r="P3" i="158" s="1"/>
  <c r="Q3" i="158" s="1"/>
  <c r="R3" i="158" s="1"/>
  <c r="S3" i="158" s="1"/>
  <c r="T3" i="158" s="1"/>
  <c r="U3" i="158" s="1"/>
  <c r="V3" i="158" s="1"/>
  <c r="W3" i="158" s="1"/>
  <c r="X3" i="158" s="1"/>
  <c r="Y3" i="158" s="1"/>
  <c r="Z3" i="158" s="1"/>
  <c r="AA3" i="158" s="1"/>
  <c r="AB3" i="158" s="1"/>
  <c r="AC3" i="158" s="1"/>
  <c r="AD3" i="158" s="1"/>
  <c r="AE3" i="158" s="1"/>
  <c r="AF3" i="158" s="1"/>
  <c r="AG3" i="158" s="1"/>
  <c r="AH3" i="158" s="1"/>
  <c r="AI3" i="158" s="1"/>
  <c r="AJ3" i="158" s="1"/>
  <c r="AK3" i="158" s="1"/>
  <c r="AL3" i="158" s="1"/>
  <c r="AM3" i="158" s="1"/>
  <c r="AN3" i="158" s="1"/>
  <c r="AO3" i="158" s="1"/>
  <c r="AP3" i="158" s="1"/>
  <c r="AQ3" i="158" s="1"/>
  <c r="AR3" i="158" s="1"/>
  <c r="AS3" i="158" s="1"/>
  <c r="AT3" i="158" s="1"/>
  <c r="AU3" i="158" s="1"/>
  <c r="F1" i="158"/>
  <c r="E1" i="158"/>
  <c r="D1" i="158"/>
  <c r="C1" i="158"/>
  <c r="D3" i="156"/>
  <c r="E3" i="156" s="1"/>
  <c r="F3" i="156" s="1"/>
  <c r="G3" i="156" s="1"/>
  <c r="H3" i="156" s="1"/>
  <c r="I3" i="156" s="1"/>
  <c r="J3" i="156" s="1"/>
  <c r="K3" i="156" s="1"/>
  <c r="L3" i="156" s="1"/>
  <c r="M3" i="156" s="1"/>
  <c r="N3" i="156" s="1"/>
  <c r="O3" i="156" s="1"/>
  <c r="P3" i="156" s="1"/>
  <c r="Q3" i="156" s="1"/>
  <c r="R3" i="156" s="1"/>
  <c r="S3" i="156" s="1"/>
  <c r="T3" i="156" s="1"/>
  <c r="U3" i="156" s="1"/>
  <c r="V3" i="156" s="1"/>
  <c r="W3" i="156" s="1"/>
  <c r="X3" i="156" s="1"/>
  <c r="Y3" i="156" s="1"/>
  <c r="Z3" i="156" s="1"/>
  <c r="AA3" i="156" s="1"/>
  <c r="AB3" i="156" s="1"/>
  <c r="AC3" i="156" s="1"/>
  <c r="AD3" i="156" s="1"/>
  <c r="AE3" i="156" s="1"/>
  <c r="AF3" i="156" s="1"/>
  <c r="AG3" i="156" s="1"/>
  <c r="AH3" i="156" s="1"/>
  <c r="AI3" i="156" s="1"/>
  <c r="AJ3" i="156" s="1"/>
  <c r="AK3" i="156" s="1"/>
  <c r="AL3" i="156" s="1"/>
  <c r="AM3" i="156" s="1"/>
  <c r="AN3" i="156" s="1"/>
  <c r="AO3" i="156" s="1"/>
  <c r="AP3" i="156" s="1"/>
  <c r="AQ3" i="156" s="1"/>
  <c r="AR3" i="156" s="1"/>
  <c r="AS3" i="156" s="1"/>
  <c r="AT3" i="156" s="1"/>
  <c r="AU3" i="156" s="1"/>
  <c r="F1" i="156"/>
  <c r="E1" i="156"/>
  <c r="D1" i="156"/>
  <c r="C1" i="156"/>
  <c r="F1" i="154"/>
  <c r="E1" i="154"/>
  <c r="D1" i="154"/>
  <c r="C1" i="154"/>
  <c r="F1" i="105"/>
  <c r="E1" i="105"/>
  <c r="D1" i="105"/>
  <c r="C1" i="105"/>
  <c r="B8" i="155"/>
  <c r="AW8" i="155" s="1"/>
  <c r="AX8" i="155" s="1"/>
  <c r="A8" i="155"/>
  <c r="B8" i="158"/>
  <c r="A8" i="158"/>
  <c r="B8" i="156"/>
  <c r="A8" i="156"/>
  <c r="A8" i="154"/>
  <c r="B8" i="105"/>
  <c r="AW8" i="105" s="1"/>
  <c r="AX8" i="105" s="1"/>
  <c r="A8" i="105"/>
  <c r="B28" i="155"/>
  <c r="B26" i="155"/>
  <c r="A26" i="155"/>
  <c r="B25" i="155"/>
  <c r="A25" i="155"/>
  <c r="B24" i="155"/>
  <c r="AW24" i="155" s="1"/>
  <c r="A24" i="155"/>
  <c r="A23" i="155"/>
  <c r="A22" i="155"/>
  <c r="A21" i="155"/>
  <c r="B20" i="155"/>
  <c r="A20" i="155"/>
  <c r="A19" i="155"/>
  <c r="A18" i="155"/>
  <c r="A17" i="155"/>
  <c r="A16" i="155"/>
  <c r="A15" i="155"/>
  <c r="A14" i="155"/>
  <c r="A13" i="155"/>
  <c r="A12" i="155"/>
  <c r="A11" i="155"/>
  <c r="A9" i="155"/>
  <c r="A7" i="155"/>
  <c r="A6" i="155"/>
  <c r="A5" i="155"/>
  <c r="A30" i="160"/>
  <c r="B20" i="160"/>
  <c r="B16" i="160"/>
  <c r="F9" i="140" s="1"/>
  <c r="B10" i="160"/>
  <c r="C11" i="160" s="1"/>
  <c r="E4" i="160"/>
  <c r="E10" i="160" s="1"/>
  <c r="A30" i="157"/>
  <c r="A26" i="158"/>
  <c r="A25" i="158"/>
  <c r="A24" i="158"/>
  <c r="A23" i="158"/>
  <c r="A22" i="158"/>
  <c r="A21" i="158"/>
  <c r="A20" i="158"/>
  <c r="A19" i="158"/>
  <c r="A18" i="158"/>
  <c r="A17" i="158"/>
  <c r="A16" i="158"/>
  <c r="A15" i="158"/>
  <c r="A14" i="158"/>
  <c r="A13" i="158"/>
  <c r="A12" i="158"/>
  <c r="A11" i="158"/>
  <c r="A9" i="158"/>
  <c r="A7" i="158"/>
  <c r="A6" i="158"/>
  <c r="A5" i="158"/>
  <c r="A27" i="158"/>
  <c r="B20" i="157"/>
  <c r="B16" i="157"/>
  <c r="C41" i="157" s="1"/>
  <c r="B97" i="157" s="1"/>
  <c r="C10" i="157"/>
  <c r="B10" i="157"/>
  <c r="C11" i="157"/>
  <c r="E4" i="157"/>
  <c r="E10" i="157" s="1"/>
  <c r="D29" i="157" s="1"/>
  <c r="C2" i="105"/>
  <c r="B26" i="156"/>
  <c r="AW26" i="156" s="1"/>
  <c r="A26" i="156"/>
  <c r="B25" i="156"/>
  <c r="A25" i="156"/>
  <c r="B24" i="156"/>
  <c r="A24" i="156"/>
  <c r="A23" i="156"/>
  <c r="A22" i="156"/>
  <c r="A21" i="156"/>
  <c r="B20" i="156"/>
  <c r="A20" i="156"/>
  <c r="A19" i="156"/>
  <c r="A18" i="156"/>
  <c r="A17" i="156"/>
  <c r="A16" i="156"/>
  <c r="A15" i="156"/>
  <c r="A14" i="156"/>
  <c r="A13" i="156"/>
  <c r="A12" i="156"/>
  <c r="A11" i="156"/>
  <c r="A9" i="156"/>
  <c r="A7" i="156"/>
  <c r="A6" i="156"/>
  <c r="A5" i="156"/>
  <c r="A27" i="156"/>
  <c r="A27" i="155"/>
  <c r="A26" i="154"/>
  <c r="A25" i="154"/>
  <c r="A24" i="154"/>
  <c r="A23" i="154"/>
  <c r="A22" i="154"/>
  <c r="A21" i="154"/>
  <c r="A20" i="154"/>
  <c r="A19" i="154"/>
  <c r="A18" i="154"/>
  <c r="A17" i="154"/>
  <c r="A16" i="154"/>
  <c r="A15" i="154"/>
  <c r="A14" i="154"/>
  <c r="A13" i="154"/>
  <c r="A12" i="154"/>
  <c r="A11" i="154"/>
  <c r="A9" i="154"/>
  <c r="A7" i="154"/>
  <c r="A6" i="154"/>
  <c r="A5" i="154"/>
  <c r="A27" i="154"/>
  <c r="D2" i="105"/>
  <c r="F2" i="105"/>
  <c r="E2" i="105"/>
  <c r="D24" i="140"/>
  <c r="C53" i="150" s="1"/>
  <c r="C15" i="140"/>
  <c r="B17" i="153"/>
  <c r="C50" i="153" s="1"/>
  <c r="D50" i="153" s="1"/>
  <c r="B11" i="153"/>
  <c r="AW20" i="154"/>
  <c r="AW25" i="156"/>
  <c r="AW25" i="155"/>
  <c r="AV4" i="155"/>
  <c r="B34" i="158"/>
  <c r="A26" i="105"/>
  <c r="A25" i="105"/>
  <c r="A24" i="105"/>
  <c r="A23" i="105"/>
  <c r="A22" i="105"/>
  <c r="A21" i="105"/>
  <c r="A20" i="105"/>
  <c r="A19" i="105"/>
  <c r="A18" i="105"/>
  <c r="A17" i="105"/>
  <c r="A16" i="105"/>
  <c r="A15" i="105"/>
  <c r="A14" i="105"/>
  <c r="A13" i="105"/>
  <c r="A12" i="105"/>
  <c r="A11" i="105"/>
  <c r="A9" i="105"/>
  <c r="A7" i="105"/>
  <c r="A6" i="105"/>
  <c r="A5" i="105"/>
  <c r="B18" i="150"/>
  <c r="B22" i="154"/>
  <c r="AW22" i="154" s="1"/>
  <c r="AX22" i="154" s="1"/>
  <c r="B12" i="150"/>
  <c r="E4" i="150"/>
  <c r="B21" i="149"/>
  <c r="B17" i="149"/>
  <c r="C40" i="149" s="1"/>
  <c r="B11" i="149"/>
  <c r="J76" i="142"/>
  <c r="J77" i="142" s="1"/>
  <c r="I76" i="142"/>
  <c r="I77" i="142" s="1"/>
  <c r="H76" i="142"/>
  <c r="H77" i="142" s="1"/>
  <c r="G76" i="142"/>
  <c r="G77" i="142" s="1"/>
  <c r="J66" i="142"/>
  <c r="J67" i="142" s="1"/>
  <c r="I66" i="142"/>
  <c r="I67" i="142" s="1"/>
  <c r="H66" i="142"/>
  <c r="H67" i="142" s="1"/>
  <c r="G66" i="142"/>
  <c r="G67" i="142" s="1"/>
  <c r="J56" i="142"/>
  <c r="J57" i="142" s="1"/>
  <c r="I56" i="142"/>
  <c r="I57" i="142" s="1"/>
  <c r="H56" i="142"/>
  <c r="H57" i="142" s="1"/>
  <c r="G56" i="142"/>
  <c r="G57" i="142" s="1"/>
  <c r="J80" i="142"/>
  <c r="I80" i="142"/>
  <c r="H80" i="142"/>
  <c r="G80" i="142"/>
  <c r="J78" i="142"/>
  <c r="I78" i="142"/>
  <c r="H78" i="142"/>
  <c r="G78" i="142"/>
  <c r="J70" i="142"/>
  <c r="I70" i="142"/>
  <c r="H70" i="142"/>
  <c r="G70" i="142"/>
  <c r="J68" i="142"/>
  <c r="I68" i="142"/>
  <c r="H68" i="142"/>
  <c r="G68" i="142"/>
  <c r="J60" i="142"/>
  <c r="I60" i="142"/>
  <c r="H60" i="142"/>
  <c r="G60" i="142"/>
  <c r="E62" i="142"/>
  <c r="E63" i="142" s="1"/>
  <c r="E65" i="142" s="1"/>
  <c r="E66" i="142" s="1"/>
  <c r="D62" i="142"/>
  <c r="D63" i="142" s="1"/>
  <c r="D65" i="142" s="1"/>
  <c r="D66" i="142" s="1"/>
  <c r="D9" i="150" s="1"/>
  <c r="E9" i="150" s="1"/>
  <c r="C62" i="142"/>
  <c r="C63" i="142" s="1"/>
  <c r="C65" i="142" s="1"/>
  <c r="C66" i="142" s="1"/>
  <c r="D8" i="150" s="1"/>
  <c r="E8" i="150" s="1"/>
  <c r="B62" i="142"/>
  <c r="B63" i="142" s="1"/>
  <c r="B65" i="142" s="1"/>
  <c r="B66" i="142" s="1"/>
  <c r="E56" i="142"/>
  <c r="E57" i="142" s="1"/>
  <c r="E59" i="142" s="1"/>
  <c r="E60" i="142" s="1"/>
  <c r="D56" i="142"/>
  <c r="D57" i="142" s="1"/>
  <c r="D59" i="142" s="1"/>
  <c r="D60" i="142" s="1"/>
  <c r="C56" i="142"/>
  <c r="C57" i="142" s="1"/>
  <c r="C59" i="142" s="1"/>
  <c r="C60" i="142" s="1"/>
  <c r="B56" i="142"/>
  <c r="B57" i="142" s="1"/>
  <c r="B59" i="142" s="1"/>
  <c r="B60" i="142" s="1"/>
  <c r="E68" i="142"/>
  <c r="E69" i="142" s="1"/>
  <c r="E71" i="142" s="1"/>
  <c r="E72" i="142" s="1"/>
  <c r="D68" i="142"/>
  <c r="D69" i="142" s="1"/>
  <c r="D71" i="142" s="1"/>
  <c r="D72" i="142" s="1"/>
  <c r="C68" i="142"/>
  <c r="C69" i="142" s="1"/>
  <c r="C71" i="142" s="1"/>
  <c r="C72" i="142" s="1"/>
  <c r="B68" i="142"/>
  <c r="B69" i="142" s="1"/>
  <c r="B71" i="142" s="1"/>
  <c r="B72" i="142" s="1"/>
  <c r="B34" i="154"/>
  <c r="B34" i="155"/>
  <c r="B34" i="156"/>
  <c r="AK37" i="156"/>
  <c r="AL37" i="156"/>
  <c r="AM37" i="156"/>
  <c r="AN37" i="156"/>
  <c r="AO37" i="156"/>
  <c r="AP37" i="156"/>
  <c r="AQ37" i="156"/>
  <c r="AR37" i="156"/>
  <c r="B33" i="105"/>
  <c r="C15" i="179" l="1"/>
  <c r="C59" i="150"/>
  <c r="B18" i="154" s="1"/>
  <c r="G18" i="154" s="1"/>
  <c r="C55" i="150"/>
  <c r="B14" i="154" s="1"/>
  <c r="B15" i="186"/>
  <c r="D35" i="150"/>
  <c r="C35" i="150" s="1"/>
  <c r="AD24" i="105"/>
  <c r="AF24" i="105"/>
  <c r="U24" i="105"/>
  <c r="T24" i="105"/>
  <c r="V24" i="105"/>
  <c r="W24" i="105"/>
  <c r="X24" i="105"/>
  <c r="AE24" i="105"/>
  <c r="Y24" i="105"/>
  <c r="AA24" i="105"/>
  <c r="Z24" i="105"/>
  <c r="AB24" i="105"/>
  <c r="AC24" i="105"/>
  <c r="C18" i="150"/>
  <c r="C51" i="150"/>
  <c r="AL7" i="186"/>
  <c r="AC7" i="186"/>
  <c r="AB7" i="186"/>
  <c r="AA7" i="186"/>
  <c r="AK7" i="186"/>
  <c r="AF7" i="186"/>
  <c r="W7" i="186"/>
  <c r="AE7" i="186"/>
  <c r="AD7" i="186"/>
  <c r="J30" i="140"/>
  <c r="I28" i="140" s="1"/>
  <c r="AX10" i="155"/>
  <c r="G9" i="158"/>
  <c r="AV9" i="158" s="1"/>
  <c r="K9" i="155"/>
  <c r="AV9" i="155" s="1"/>
  <c r="AV10" i="158"/>
  <c r="AX10" i="158" s="1"/>
  <c r="S14" i="105"/>
  <c r="AV14" i="105" s="1"/>
  <c r="AW14" i="154"/>
  <c r="C14" i="154"/>
  <c r="AV14" i="154" s="1"/>
  <c r="D48" i="153"/>
  <c r="B10" i="156"/>
  <c r="Y7" i="186"/>
  <c r="Z7" i="186"/>
  <c r="AW7" i="186"/>
  <c r="AJ7" i="186"/>
  <c r="X7" i="186"/>
  <c r="AI7" i="186"/>
  <c r="AH7" i="186"/>
  <c r="AV6" i="186"/>
  <c r="AX6" i="186" s="1"/>
  <c r="Z13" i="186"/>
  <c r="AL13" i="186"/>
  <c r="AC13" i="186"/>
  <c r="AD13" i="186"/>
  <c r="AE13" i="186"/>
  <c r="AF13" i="186"/>
  <c r="AG13" i="186"/>
  <c r="AH13" i="186"/>
  <c r="W13" i="186"/>
  <c r="AI13" i="186"/>
  <c r="X13" i="186"/>
  <c r="AJ13" i="186"/>
  <c r="Y13" i="186"/>
  <c r="AK13" i="186"/>
  <c r="AA13" i="186"/>
  <c r="AB13" i="186"/>
  <c r="AF11" i="186"/>
  <c r="AI11" i="186"/>
  <c r="X11" i="186"/>
  <c r="AJ11" i="186"/>
  <c r="Y11" i="186"/>
  <c r="AK11" i="186"/>
  <c r="Z11" i="186"/>
  <c r="AL11" i="186"/>
  <c r="W11" i="186"/>
  <c r="AA11" i="186"/>
  <c r="AB11" i="186"/>
  <c r="AC11" i="186"/>
  <c r="AD11" i="186"/>
  <c r="AE11" i="186"/>
  <c r="AG11" i="186"/>
  <c r="AH11" i="186"/>
  <c r="M15" i="186"/>
  <c r="M26" i="186" s="1"/>
  <c r="M41" i="186" s="1"/>
  <c r="P15" i="186"/>
  <c r="P26" i="186" s="1"/>
  <c r="P41" i="186" s="1"/>
  <c r="Q15" i="186"/>
  <c r="Q26" i="186" s="1"/>
  <c r="Q41" i="186" s="1"/>
  <c r="H15" i="186"/>
  <c r="H26" i="186" s="1"/>
  <c r="H41" i="186" s="1"/>
  <c r="I15" i="186"/>
  <c r="I26" i="186" s="1"/>
  <c r="I41" i="186" s="1"/>
  <c r="J15" i="186"/>
  <c r="J26" i="186" s="1"/>
  <c r="J41" i="186" s="1"/>
  <c r="K15" i="186"/>
  <c r="K26" i="186" s="1"/>
  <c r="K41" i="186" s="1"/>
  <c r="L15" i="186"/>
  <c r="L26" i="186" s="1"/>
  <c r="L41" i="186" s="1"/>
  <c r="N15" i="186"/>
  <c r="N26" i="186" s="1"/>
  <c r="N41" i="186" s="1"/>
  <c r="O15" i="186"/>
  <c r="O26" i="186" s="1"/>
  <c r="O41" i="186" s="1"/>
  <c r="AV14" i="186"/>
  <c r="AX14" i="186" s="1"/>
  <c r="AW15" i="186"/>
  <c r="AV5" i="186"/>
  <c r="AX5" i="186" s="1"/>
  <c r="AW11" i="186"/>
  <c r="AW13" i="186"/>
  <c r="AW9" i="158"/>
  <c r="B25" i="179"/>
  <c r="C51" i="179" s="1"/>
  <c r="D51" i="179" s="1"/>
  <c r="B10" i="105"/>
  <c r="AW10" i="105" s="1"/>
  <c r="AX10" i="105" s="1"/>
  <c r="D40" i="149"/>
  <c r="C52" i="160"/>
  <c r="B14" i="155" s="1"/>
  <c r="C56" i="160"/>
  <c r="B18" i="155" s="1"/>
  <c r="AJ18" i="155" s="1"/>
  <c r="C53" i="157"/>
  <c r="B14" i="158" s="1"/>
  <c r="G14" i="158" s="1"/>
  <c r="C57" i="157"/>
  <c r="C58" i="153"/>
  <c r="B18" i="156" s="1"/>
  <c r="AW18" i="156" s="1"/>
  <c r="C54" i="153"/>
  <c r="B14" i="156" s="1"/>
  <c r="AW24" i="158"/>
  <c r="D55" i="179"/>
  <c r="B10" i="180"/>
  <c r="Z26" i="158"/>
  <c r="AA26" i="158"/>
  <c r="Y26" i="158"/>
  <c r="AB26" i="158"/>
  <c r="AC26" i="158"/>
  <c r="AD26" i="158"/>
  <c r="S26" i="158"/>
  <c r="T26" i="158"/>
  <c r="U26" i="158"/>
  <c r="V26" i="158"/>
  <c r="W26" i="158"/>
  <c r="X26" i="158"/>
  <c r="AF20" i="158"/>
  <c r="AJ20" i="158"/>
  <c r="AG20" i="158"/>
  <c r="AH20" i="158"/>
  <c r="AE20" i="158"/>
  <c r="AI20" i="158"/>
  <c r="Z25" i="158"/>
  <c r="AA25" i="158"/>
  <c r="AB25" i="158"/>
  <c r="Y25" i="158"/>
  <c r="AC25" i="158"/>
  <c r="AD25" i="158"/>
  <c r="S25" i="158"/>
  <c r="T25" i="158"/>
  <c r="U25" i="158"/>
  <c r="V25" i="158"/>
  <c r="W25" i="158"/>
  <c r="X25" i="158"/>
  <c r="A31" i="153"/>
  <c r="D49" i="153"/>
  <c r="D60" i="153"/>
  <c r="D64" i="153"/>
  <c r="F7" i="140"/>
  <c r="D65" i="153"/>
  <c r="D66" i="153"/>
  <c r="B20" i="153"/>
  <c r="B21" i="153" s="1"/>
  <c r="U26" i="156"/>
  <c r="V26" i="156"/>
  <c r="W26" i="156"/>
  <c r="X26" i="156"/>
  <c r="Y26" i="156"/>
  <c r="Z26" i="156"/>
  <c r="AA26" i="156"/>
  <c r="AB26" i="156"/>
  <c r="AC26" i="156"/>
  <c r="AD26" i="156"/>
  <c r="S26" i="156"/>
  <c r="T26" i="156"/>
  <c r="AW24" i="156"/>
  <c r="S24" i="156"/>
  <c r="AV24" i="156" s="1"/>
  <c r="AX24" i="156" s="1"/>
  <c r="AW9" i="156"/>
  <c r="U25" i="156"/>
  <c r="V25" i="156"/>
  <c r="W25" i="156"/>
  <c r="X25" i="156"/>
  <c r="Y25" i="156"/>
  <c r="Z25" i="156"/>
  <c r="AA25" i="156"/>
  <c r="AB25" i="156"/>
  <c r="AC25" i="156"/>
  <c r="AD25" i="156"/>
  <c r="S25" i="156"/>
  <c r="T25" i="156"/>
  <c r="A37" i="153"/>
  <c r="T20" i="154"/>
  <c r="U20" i="154"/>
  <c r="V20" i="154"/>
  <c r="S20" i="154"/>
  <c r="L25" i="154"/>
  <c r="K25" i="154"/>
  <c r="M25" i="154"/>
  <c r="N25" i="154"/>
  <c r="O25" i="154"/>
  <c r="G25" i="154"/>
  <c r="P25" i="154"/>
  <c r="Q25" i="154"/>
  <c r="R25" i="154"/>
  <c r="H25" i="154"/>
  <c r="I25" i="154"/>
  <c r="J25" i="154"/>
  <c r="F2" i="154"/>
  <c r="C2" i="154"/>
  <c r="E2" i="154"/>
  <c r="D2" i="154"/>
  <c r="F2" i="156"/>
  <c r="E2" i="156"/>
  <c r="D2" i="156"/>
  <c r="C2" i="156"/>
  <c r="AW8" i="156"/>
  <c r="X8" i="156"/>
  <c r="Y8" i="156"/>
  <c r="AB8" i="156"/>
  <c r="AC8" i="156"/>
  <c r="Z8" i="156"/>
  <c r="AA8" i="156"/>
  <c r="AD8" i="156"/>
  <c r="S8" i="156"/>
  <c r="T8" i="156"/>
  <c r="U8" i="156"/>
  <c r="V8" i="156"/>
  <c r="W8" i="156"/>
  <c r="B28" i="179"/>
  <c r="D12" i="179"/>
  <c r="E12" i="179" s="1"/>
  <c r="AW8" i="158"/>
  <c r="R8" i="158"/>
  <c r="AV8" i="158" s="1"/>
  <c r="AH20" i="105"/>
  <c r="AI20" i="105"/>
  <c r="AJ20" i="105"/>
  <c r="AG20" i="105"/>
  <c r="B24" i="157"/>
  <c r="D33" i="157"/>
  <c r="D11" i="160"/>
  <c r="D29" i="160"/>
  <c r="C29" i="160" s="1"/>
  <c r="AE24" i="155"/>
  <c r="AE25" i="155"/>
  <c r="AF25" i="155"/>
  <c r="AG25" i="155"/>
  <c r="AH25" i="155"/>
  <c r="AI25" i="155"/>
  <c r="AJ25" i="155"/>
  <c r="AJ26" i="155"/>
  <c r="AI26" i="155"/>
  <c r="AH26" i="155"/>
  <c r="AE26" i="155"/>
  <c r="AF26" i="155"/>
  <c r="AG26" i="155"/>
  <c r="AL20" i="155"/>
  <c r="AM20" i="155"/>
  <c r="AN20" i="155"/>
  <c r="AK20" i="155"/>
  <c r="AV14" i="180"/>
  <c r="AX14" i="180" s="1"/>
  <c r="AV9" i="180"/>
  <c r="AX9" i="180" s="1"/>
  <c r="AV8" i="180"/>
  <c r="AX8" i="180" s="1"/>
  <c r="D33" i="160"/>
  <c r="B22" i="155"/>
  <c r="AW26" i="155"/>
  <c r="B23" i="160"/>
  <c r="C44" i="160"/>
  <c r="C43" i="160"/>
  <c r="C49" i="160" s="1"/>
  <c r="AV24" i="158"/>
  <c r="AX24" i="158" s="1"/>
  <c r="AF20" i="156"/>
  <c r="AG20" i="156"/>
  <c r="AH20" i="156"/>
  <c r="AI20" i="156"/>
  <c r="AE20" i="156"/>
  <c r="AJ20" i="156"/>
  <c r="AW26" i="158"/>
  <c r="AW24" i="154"/>
  <c r="AW9" i="154"/>
  <c r="D55" i="149"/>
  <c r="E4" i="140"/>
  <c r="D38" i="149"/>
  <c r="C68" i="179"/>
  <c r="B23" i="180" s="1"/>
  <c r="C21" i="179"/>
  <c r="D65" i="179"/>
  <c r="D71" i="179"/>
  <c r="D63" i="179"/>
  <c r="D59" i="179"/>
  <c r="D69" i="179"/>
  <c r="D70" i="179"/>
  <c r="D53" i="179"/>
  <c r="AW24" i="105"/>
  <c r="D35" i="179"/>
  <c r="D10" i="179"/>
  <c r="E10" i="179" s="1"/>
  <c r="D10" i="150"/>
  <c r="E10" i="150" s="1"/>
  <c r="E12" i="150" s="1"/>
  <c r="D9" i="179"/>
  <c r="E9" i="179" s="1"/>
  <c r="C45" i="157"/>
  <c r="B6" i="158" s="1"/>
  <c r="C61" i="157"/>
  <c r="B22" i="158" s="1"/>
  <c r="F8" i="140"/>
  <c r="AV18" i="180"/>
  <c r="AX18" i="180" s="1"/>
  <c r="AX20" i="180"/>
  <c r="AV24" i="180"/>
  <c r="AX24" i="180" s="1"/>
  <c r="AV25" i="180"/>
  <c r="AX25" i="180" s="1"/>
  <c r="D67" i="179"/>
  <c r="B22" i="180"/>
  <c r="D8" i="179"/>
  <c r="E8" i="179" s="1"/>
  <c r="AV26" i="180"/>
  <c r="AX26" i="180" s="1"/>
  <c r="C47" i="150"/>
  <c r="D47" i="150" s="1"/>
  <c r="B23" i="157"/>
  <c r="B29" i="157"/>
  <c r="C29" i="157"/>
  <c r="C44" i="157"/>
  <c r="AV9" i="154"/>
  <c r="AW18" i="154"/>
  <c r="A32" i="150"/>
  <c r="B26" i="150"/>
  <c r="C13" i="150"/>
  <c r="D66" i="150"/>
  <c r="D50" i="150"/>
  <c r="D61" i="150"/>
  <c r="D63" i="150"/>
  <c r="D59" i="150"/>
  <c r="D49" i="150"/>
  <c r="C46" i="150"/>
  <c r="C52" i="150" s="1"/>
  <c r="D65" i="150"/>
  <c r="B25" i="150"/>
  <c r="D7" i="153"/>
  <c r="E7" i="153" s="1"/>
  <c r="G71" i="142"/>
  <c r="G72" i="142" s="1"/>
  <c r="G73" i="142" s="1"/>
  <c r="G74" i="142" s="1"/>
  <c r="H71" i="142"/>
  <c r="H72" i="142" s="1"/>
  <c r="H73" i="142" s="1"/>
  <c r="H74" i="142" s="1"/>
  <c r="G61" i="142"/>
  <c r="G62" i="142" s="1"/>
  <c r="G63" i="142" s="1"/>
  <c r="G64" i="142" s="1"/>
  <c r="E5" i="153"/>
  <c r="H61" i="142"/>
  <c r="H62" i="142" s="1"/>
  <c r="H63" i="142" s="1"/>
  <c r="H64" i="142" s="1"/>
  <c r="I61" i="142"/>
  <c r="I62" i="142" s="1"/>
  <c r="I63" i="142" s="1"/>
  <c r="I64" i="142" s="1"/>
  <c r="D8" i="153"/>
  <c r="E8" i="153" s="1"/>
  <c r="D18" i="150"/>
  <c r="J61" i="142"/>
  <c r="J62" i="142" s="1"/>
  <c r="J63" i="142" s="1"/>
  <c r="J64" i="142" s="1"/>
  <c r="D17" i="153"/>
  <c r="D31" i="153" s="1"/>
  <c r="D16" i="160"/>
  <c r="D30" i="160" s="1"/>
  <c r="I71" i="142"/>
  <c r="I72" i="142" s="1"/>
  <c r="I73" i="142" s="1"/>
  <c r="I74" i="142" s="1"/>
  <c r="J71" i="142"/>
  <c r="J72" i="142" s="1"/>
  <c r="J73" i="142" s="1"/>
  <c r="H81" i="142"/>
  <c r="H82" i="142" s="1"/>
  <c r="H83" i="142" s="1"/>
  <c r="H84" i="142" s="1"/>
  <c r="G81" i="142"/>
  <c r="G82" i="142" s="1"/>
  <c r="G83" i="142" s="1"/>
  <c r="G84" i="142" s="1"/>
  <c r="I81" i="142"/>
  <c r="I82" i="142" s="1"/>
  <c r="I83" i="142" s="1"/>
  <c r="I84" i="142" s="1"/>
  <c r="D16" i="157"/>
  <c r="C62" i="157" s="1"/>
  <c r="J81" i="142"/>
  <c r="J82" i="142" s="1"/>
  <c r="J83" i="142" s="1"/>
  <c r="J84" i="142" s="1"/>
  <c r="AW20" i="105"/>
  <c r="C36" i="149"/>
  <c r="B6" i="105" s="1"/>
  <c r="D6" i="153"/>
  <c r="E6" i="153" s="1"/>
  <c r="B96" i="160"/>
  <c r="B100" i="150"/>
  <c r="C11" i="153"/>
  <c r="C45" i="153" s="1"/>
  <c r="AW9" i="155"/>
  <c r="AW20" i="155"/>
  <c r="AW20" i="156"/>
  <c r="AV20" i="156"/>
  <c r="AW25" i="158"/>
  <c r="AW8" i="154"/>
  <c r="AW25" i="105"/>
  <c r="D17" i="149"/>
  <c r="AW14" i="105"/>
  <c r="C11" i="149"/>
  <c r="C35" i="149" s="1"/>
  <c r="D44" i="149"/>
  <c r="D56" i="149"/>
  <c r="D50" i="149"/>
  <c r="D53" i="150"/>
  <c r="B12" i="154"/>
  <c r="C72" i="157"/>
  <c r="C88" i="157"/>
  <c r="C27" i="157"/>
  <c r="C80" i="157"/>
  <c r="C42" i="157"/>
  <c r="C71" i="160"/>
  <c r="C41" i="160"/>
  <c r="B21" i="160"/>
  <c r="C79" i="160"/>
  <c r="C27" i="160"/>
  <c r="D8" i="185" l="1"/>
  <c r="E8" i="185" s="1"/>
  <c r="D6" i="185"/>
  <c r="E6" i="185" s="1"/>
  <c r="B25" i="153"/>
  <c r="D34" i="153"/>
  <c r="D55" i="150"/>
  <c r="I29" i="140"/>
  <c r="I30" i="140" s="1"/>
  <c r="AB6" i="105"/>
  <c r="AC6" i="105"/>
  <c r="AF6" i="105"/>
  <c r="U6" i="105"/>
  <c r="T6" i="105"/>
  <c r="V6" i="105"/>
  <c r="AE6" i="105"/>
  <c r="W6" i="105"/>
  <c r="X6" i="105"/>
  <c r="AD6" i="105"/>
  <c r="Y6" i="105"/>
  <c r="Z6" i="105"/>
  <c r="AA6" i="105"/>
  <c r="AV20" i="105"/>
  <c r="AV20" i="154"/>
  <c r="AX20" i="154" s="1"/>
  <c r="D51" i="150"/>
  <c r="B10" i="154"/>
  <c r="AW10" i="154" s="1"/>
  <c r="AX10" i="154" s="1"/>
  <c r="B6" i="180"/>
  <c r="T6" i="180" s="1"/>
  <c r="B29" i="179"/>
  <c r="B30" i="179" s="1"/>
  <c r="B31" i="179" s="1"/>
  <c r="AV7" i="186"/>
  <c r="AX7" i="186" s="1"/>
  <c r="E15" i="140"/>
  <c r="J32" i="140"/>
  <c r="J34" i="140" s="1"/>
  <c r="AX14" i="154"/>
  <c r="AX14" i="105"/>
  <c r="AW14" i="155"/>
  <c r="K14" i="155"/>
  <c r="AV14" i="155" s="1"/>
  <c r="AX9" i="158"/>
  <c r="AW14" i="156"/>
  <c r="G14" i="156"/>
  <c r="AX9" i="155"/>
  <c r="S10" i="156"/>
  <c r="AV10" i="156" s="1"/>
  <c r="AW10" i="156"/>
  <c r="B6" i="156"/>
  <c r="AV11" i="186"/>
  <c r="AX11" i="186" s="1"/>
  <c r="AV17" i="186"/>
  <c r="AX17" i="186" s="1"/>
  <c r="AV15" i="186"/>
  <c r="AX15" i="186" s="1"/>
  <c r="AV13" i="186"/>
  <c r="AX13" i="186" s="1"/>
  <c r="AC18" i="156"/>
  <c r="F15" i="140"/>
  <c r="Z18" i="156"/>
  <c r="T18" i="156"/>
  <c r="AI18" i="155"/>
  <c r="S18" i="156"/>
  <c r="D58" i="153"/>
  <c r="AB18" i="156"/>
  <c r="AD18" i="156"/>
  <c r="D54" i="153"/>
  <c r="Y18" i="156"/>
  <c r="AW18" i="155"/>
  <c r="AA18" i="156"/>
  <c r="AE18" i="155"/>
  <c r="X18" i="156"/>
  <c r="AH18" i="155"/>
  <c r="AG18" i="155"/>
  <c r="V18" i="156"/>
  <c r="AF18" i="155"/>
  <c r="W18" i="156"/>
  <c r="U18" i="156"/>
  <c r="AV14" i="158"/>
  <c r="AW14" i="158"/>
  <c r="C38" i="179"/>
  <c r="C50" i="179"/>
  <c r="C56" i="179" s="1"/>
  <c r="B11" i="180" s="1"/>
  <c r="AC11" i="180" s="1"/>
  <c r="C16" i="179"/>
  <c r="AV24" i="155"/>
  <c r="AX24" i="155" s="1"/>
  <c r="AV9" i="156"/>
  <c r="AX9" i="156" s="1"/>
  <c r="AV8" i="154"/>
  <c r="AX8" i="154" s="1"/>
  <c r="AJ22" i="180"/>
  <c r="AI22" i="180"/>
  <c r="C52" i="157"/>
  <c r="B13" i="158" s="1"/>
  <c r="C50" i="157"/>
  <c r="AV8" i="156"/>
  <c r="AX8" i="156" s="1"/>
  <c r="AG22" i="158"/>
  <c r="AI22" i="158"/>
  <c r="AJ22" i="158"/>
  <c r="AH22" i="158"/>
  <c r="AE22" i="158"/>
  <c r="AF22" i="158"/>
  <c r="AX8" i="158"/>
  <c r="B104" i="179"/>
  <c r="D45" i="153"/>
  <c r="C53" i="153"/>
  <c r="C51" i="153"/>
  <c r="D51" i="153" s="1"/>
  <c r="AJ23" i="180"/>
  <c r="AI23" i="180"/>
  <c r="J12" i="154"/>
  <c r="K12" i="154"/>
  <c r="L12" i="154"/>
  <c r="M12" i="154"/>
  <c r="R12" i="154"/>
  <c r="N12" i="154"/>
  <c r="O12" i="154"/>
  <c r="G12" i="154"/>
  <c r="I12" i="154"/>
  <c r="P12" i="154"/>
  <c r="Q12" i="154"/>
  <c r="H12" i="154"/>
  <c r="C43" i="149"/>
  <c r="B13" i="105" s="1"/>
  <c r="AW13" i="105" s="1"/>
  <c r="C41" i="149"/>
  <c r="B11" i="105" s="1"/>
  <c r="T11" i="105" s="1"/>
  <c r="AB6" i="158"/>
  <c r="AC6" i="158"/>
  <c r="AD6" i="158"/>
  <c r="S6" i="158"/>
  <c r="AA6" i="158"/>
  <c r="T6" i="158"/>
  <c r="U6" i="158"/>
  <c r="V6" i="158"/>
  <c r="W6" i="158"/>
  <c r="X6" i="158"/>
  <c r="Y6" i="158"/>
  <c r="Z6" i="158"/>
  <c r="B5" i="155"/>
  <c r="AW5" i="155" s="1"/>
  <c r="C51" i="160"/>
  <c r="B13" i="155" s="1"/>
  <c r="D31" i="160"/>
  <c r="D43" i="160"/>
  <c r="B29" i="160"/>
  <c r="AW22" i="180"/>
  <c r="AW23" i="180"/>
  <c r="AW22" i="155"/>
  <c r="C45" i="160"/>
  <c r="D44" i="160"/>
  <c r="B6" i="155"/>
  <c r="D58" i="160"/>
  <c r="D60" i="160"/>
  <c r="D62" i="160"/>
  <c r="D56" i="160"/>
  <c r="D47" i="160"/>
  <c r="D63" i="160"/>
  <c r="D52" i="160"/>
  <c r="B25" i="160"/>
  <c r="B26" i="160" s="1"/>
  <c r="D64" i="160"/>
  <c r="AV20" i="158"/>
  <c r="AX20" i="158" s="1"/>
  <c r="AV25" i="158"/>
  <c r="AX25" i="158" s="1"/>
  <c r="D68" i="179"/>
  <c r="B22" i="156"/>
  <c r="D62" i="153"/>
  <c r="AX20" i="156"/>
  <c r="B5" i="154"/>
  <c r="AW5" i="154" s="1"/>
  <c r="C54" i="150"/>
  <c r="AX9" i="154"/>
  <c r="D45" i="157"/>
  <c r="B6" i="154"/>
  <c r="E15" i="179"/>
  <c r="D34" i="179" s="1"/>
  <c r="D13" i="150"/>
  <c r="D31" i="150"/>
  <c r="C31" i="150" s="1"/>
  <c r="B5" i="158"/>
  <c r="D44" i="157"/>
  <c r="N27" i="180"/>
  <c r="N42" i="180" s="1"/>
  <c r="M27" i="180"/>
  <c r="M42" i="180" s="1"/>
  <c r="L27" i="180"/>
  <c r="L42" i="180" s="1"/>
  <c r="K27" i="180"/>
  <c r="K42" i="180" s="1"/>
  <c r="P27" i="180"/>
  <c r="P42" i="180" s="1"/>
  <c r="J27" i="180"/>
  <c r="J42" i="180" s="1"/>
  <c r="I27" i="180"/>
  <c r="I42" i="180" s="1"/>
  <c r="H27" i="180"/>
  <c r="H42" i="180" s="1"/>
  <c r="G27" i="180"/>
  <c r="G42" i="180" s="1"/>
  <c r="D27" i="180"/>
  <c r="D42" i="180" s="1"/>
  <c r="R27" i="180"/>
  <c r="R42" i="180" s="1"/>
  <c r="F27" i="180"/>
  <c r="F42" i="180" s="1"/>
  <c r="O27" i="180"/>
  <c r="O42" i="180" s="1"/>
  <c r="Q27" i="180"/>
  <c r="Q42" i="180" s="1"/>
  <c r="E27" i="180"/>
  <c r="E42" i="180" s="1"/>
  <c r="D63" i="157"/>
  <c r="D53" i="157"/>
  <c r="D48" i="157"/>
  <c r="B25" i="157"/>
  <c r="B26" i="157" s="1"/>
  <c r="D59" i="157"/>
  <c r="D65" i="157"/>
  <c r="AW22" i="158"/>
  <c r="D64" i="157"/>
  <c r="D61" i="157"/>
  <c r="C46" i="157"/>
  <c r="AV24" i="154"/>
  <c r="AX24" i="154" s="1"/>
  <c r="AV25" i="154"/>
  <c r="AX25" i="154" s="1"/>
  <c r="B27" i="150"/>
  <c r="B28" i="150" s="1"/>
  <c r="AV18" i="154"/>
  <c r="AX18" i="154" s="1"/>
  <c r="D46" i="150"/>
  <c r="C48" i="150"/>
  <c r="B11" i="154"/>
  <c r="D52" i="150"/>
  <c r="D30" i="157"/>
  <c r="D31" i="157" s="1"/>
  <c r="C16" i="160"/>
  <c r="B23" i="155"/>
  <c r="C17" i="153"/>
  <c r="J74" i="142"/>
  <c r="C16" i="157"/>
  <c r="AW6" i="158"/>
  <c r="D32" i="150"/>
  <c r="AW6" i="105"/>
  <c r="D36" i="149"/>
  <c r="AX20" i="105"/>
  <c r="C17" i="149"/>
  <c r="B23" i="158"/>
  <c r="D62" i="157"/>
  <c r="D30" i="153"/>
  <c r="B24" i="153"/>
  <c r="E11" i="149"/>
  <c r="D12" i="149" s="1"/>
  <c r="B5" i="105"/>
  <c r="C47" i="153"/>
  <c r="B5" i="156"/>
  <c r="AV20" i="155"/>
  <c r="AX20" i="155" s="1"/>
  <c r="AV25" i="155"/>
  <c r="AX25" i="155" s="1"/>
  <c r="AV26" i="155"/>
  <c r="AX26" i="155" s="1"/>
  <c r="AV25" i="156"/>
  <c r="AX25" i="156" s="1"/>
  <c r="AV26" i="156"/>
  <c r="AX26" i="156" s="1"/>
  <c r="AV26" i="158"/>
  <c r="AX26" i="158" s="1"/>
  <c r="AV24" i="105"/>
  <c r="AX24" i="105" s="1"/>
  <c r="AV25" i="105"/>
  <c r="AX25" i="105" s="1"/>
  <c r="B24" i="149"/>
  <c r="B26" i="149" s="1"/>
  <c r="B27" i="149" s="1"/>
  <c r="C12" i="149"/>
  <c r="B21" i="105"/>
  <c r="D52" i="149"/>
  <c r="B22" i="105"/>
  <c r="D53" i="149"/>
  <c r="AW12" i="154"/>
  <c r="B26" i="153" l="1"/>
  <c r="B27" i="153" s="1"/>
  <c r="E11" i="185"/>
  <c r="AE6" i="180"/>
  <c r="D30" i="185"/>
  <c r="D12" i="185"/>
  <c r="AD6" i="180"/>
  <c r="AC6" i="180"/>
  <c r="W6" i="180"/>
  <c r="AB6" i="180"/>
  <c r="AH6" i="180"/>
  <c r="AA6" i="180"/>
  <c r="X6" i="180"/>
  <c r="V6" i="180"/>
  <c r="Z6" i="180"/>
  <c r="AW6" i="180"/>
  <c r="Y6" i="180"/>
  <c r="AF6" i="180"/>
  <c r="AG6" i="180"/>
  <c r="U6" i="180"/>
  <c r="S6" i="180"/>
  <c r="I32" i="140"/>
  <c r="I33" i="140"/>
  <c r="AX14" i="155"/>
  <c r="AX10" i="156"/>
  <c r="D46" i="153"/>
  <c r="AX14" i="158"/>
  <c r="AV18" i="186"/>
  <c r="AX18" i="186" s="1"/>
  <c r="AV14" i="156"/>
  <c r="AX14" i="156" s="1"/>
  <c r="B11" i="156"/>
  <c r="S11" i="156" s="1"/>
  <c r="AV18" i="155"/>
  <c r="AX18" i="155" s="1"/>
  <c r="AV18" i="156"/>
  <c r="AX18" i="156" s="1"/>
  <c r="C56" i="150"/>
  <c r="B15" i="154" s="1"/>
  <c r="C56" i="157"/>
  <c r="B17" i="158" s="1"/>
  <c r="T17" i="158" s="1"/>
  <c r="B25" i="184"/>
  <c r="C53" i="160"/>
  <c r="B15" i="155" s="1"/>
  <c r="AB11" i="180"/>
  <c r="C58" i="179"/>
  <c r="D58" i="179" s="1"/>
  <c r="W11" i="180"/>
  <c r="X11" i="180"/>
  <c r="B5" i="180"/>
  <c r="V5" i="180" s="1"/>
  <c r="V11" i="180"/>
  <c r="Z11" i="180"/>
  <c r="AG11" i="180"/>
  <c r="Y11" i="180"/>
  <c r="D56" i="179"/>
  <c r="U11" i="180"/>
  <c r="AW11" i="180"/>
  <c r="AF11" i="180"/>
  <c r="AH11" i="180"/>
  <c r="AA11" i="180"/>
  <c r="T11" i="180"/>
  <c r="D50" i="179"/>
  <c r="AE11" i="180"/>
  <c r="AD11" i="180"/>
  <c r="S11" i="180"/>
  <c r="C52" i="179"/>
  <c r="B7" i="180" s="1"/>
  <c r="Z7" i="180" s="1"/>
  <c r="D41" i="149"/>
  <c r="D52" i="157"/>
  <c r="AV22" i="158"/>
  <c r="AX22" i="158" s="1"/>
  <c r="Z5" i="158"/>
  <c r="S5" i="158"/>
  <c r="T5" i="158"/>
  <c r="U5" i="158"/>
  <c r="AA5" i="158"/>
  <c r="AD5" i="158"/>
  <c r="AB5" i="158"/>
  <c r="AC5" i="158"/>
  <c r="V5" i="158"/>
  <c r="W5" i="158"/>
  <c r="X5" i="158"/>
  <c r="Y5" i="158"/>
  <c r="X6" i="156"/>
  <c r="Y6" i="156"/>
  <c r="Z6" i="156"/>
  <c r="AA6" i="156"/>
  <c r="AB6" i="156"/>
  <c r="AC6" i="156"/>
  <c r="AD6" i="156"/>
  <c r="S6" i="156"/>
  <c r="T6" i="156"/>
  <c r="U6" i="156"/>
  <c r="V6" i="156"/>
  <c r="W6" i="156"/>
  <c r="Y5" i="156"/>
  <c r="AC5" i="156"/>
  <c r="Z5" i="156"/>
  <c r="AA5" i="156"/>
  <c r="AB5" i="156"/>
  <c r="AD5" i="156"/>
  <c r="S5" i="156"/>
  <c r="T5" i="156"/>
  <c r="U5" i="156"/>
  <c r="V5" i="156"/>
  <c r="W5" i="156"/>
  <c r="X5" i="156"/>
  <c r="D53" i="153"/>
  <c r="B13" i="156"/>
  <c r="D34" i="160"/>
  <c r="D35" i="160" s="1"/>
  <c r="D36" i="160" s="1"/>
  <c r="D39" i="157"/>
  <c r="C60" i="157" s="1"/>
  <c r="B21" i="158" s="1"/>
  <c r="D34" i="157"/>
  <c r="D35" i="157" s="1"/>
  <c r="AW13" i="158"/>
  <c r="Y13" i="158"/>
  <c r="AC13" i="158"/>
  <c r="AD13" i="158"/>
  <c r="Z13" i="158"/>
  <c r="AB13" i="158"/>
  <c r="S13" i="158"/>
  <c r="AA13" i="158"/>
  <c r="T13" i="158"/>
  <c r="U13" i="158"/>
  <c r="V13" i="158"/>
  <c r="W13" i="158"/>
  <c r="X13" i="158"/>
  <c r="AW22" i="156"/>
  <c r="AG22" i="156"/>
  <c r="AH22" i="156"/>
  <c r="AF22" i="156"/>
  <c r="AI22" i="156"/>
  <c r="AJ22" i="156"/>
  <c r="AE22" i="156"/>
  <c r="AW5" i="158"/>
  <c r="AA13" i="105"/>
  <c r="Y13" i="105"/>
  <c r="V13" i="105"/>
  <c r="W13" i="105"/>
  <c r="T13" i="105"/>
  <c r="Z13" i="105"/>
  <c r="X13" i="105"/>
  <c r="C48" i="149"/>
  <c r="B9" i="105"/>
  <c r="D39" i="149"/>
  <c r="D43" i="149"/>
  <c r="U13" i="105"/>
  <c r="AA5" i="105"/>
  <c r="AB5" i="105"/>
  <c r="AC5" i="105"/>
  <c r="AD5" i="105"/>
  <c r="AE5" i="105"/>
  <c r="Y5" i="105"/>
  <c r="AF5" i="105"/>
  <c r="U5" i="105"/>
  <c r="T5" i="105"/>
  <c r="V5" i="105"/>
  <c r="W5" i="105"/>
  <c r="X5" i="105"/>
  <c r="Z5" i="105"/>
  <c r="P11" i="154"/>
  <c r="M11" i="154"/>
  <c r="Q11" i="154"/>
  <c r="R11" i="154"/>
  <c r="N11" i="154"/>
  <c r="O11" i="154"/>
  <c r="G11" i="154"/>
  <c r="H11" i="154"/>
  <c r="I11" i="154"/>
  <c r="J11" i="154"/>
  <c r="K11" i="154"/>
  <c r="L11" i="154"/>
  <c r="Q5" i="154"/>
  <c r="R5" i="154"/>
  <c r="G5" i="154"/>
  <c r="H5" i="154"/>
  <c r="I5" i="154"/>
  <c r="J5" i="154"/>
  <c r="K5" i="154"/>
  <c r="L5" i="154"/>
  <c r="M5" i="154"/>
  <c r="N5" i="154"/>
  <c r="O5" i="154"/>
  <c r="P5" i="154"/>
  <c r="P6" i="154"/>
  <c r="Q6" i="154"/>
  <c r="R6" i="154"/>
  <c r="G6" i="154"/>
  <c r="H6" i="154"/>
  <c r="I6" i="154"/>
  <c r="J6" i="154"/>
  <c r="K6" i="154"/>
  <c r="L6" i="154"/>
  <c r="M6" i="154"/>
  <c r="N6" i="154"/>
  <c r="O6" i="154"/>
  <c r="D38" i="160"/>
  <c r="C59" i="160" s="1"/>
  <c r="D59" i="160" s="1"/>
  <c r="D51" i="160"/>
  <c r="AI13" i="155"/>
  <c r="AJ13" i="155"/>
  <c r="AG13" i="155"/>
  <c r="AH13" i="155"/>
  <c r="AE13" i="155"/>
  <c r="AF13" i="155"/>
  <c r="AW13" i="155"/>
  <c r="AI6" i="155"/>
  <c r="AJ6" i="155"/>
  <c r="AG6" i="155"/>
  <c r="AE6" i="155"/>
  <c r="AH6" i="155"/>
  <c r="AF6" i="155"/>
  <c r="AF5" i="155"/>
  <c r="AG5" i="155"/>
  <c r="AH5" i="155"/>
  <c r="AI5" i="155"/>
  <c r="AJ5" i="155"/>
  <c r="AE5" i="155"/>
  <c r="AE23" i="158"/>
  <c r="AI23" i="158"/>
  <c r="AJ23" i="158"/>
  <c r="AF23" i="158"/>
  <c r="AG23" i="158"/>
  <c r="AH23" i="158"/>
  <c r="AV19" i="180"/>
  <c r="AV22" i="180"/>
  <c r="AX22" i="180" s="1"/>
  <c r="AV23" i="180"/>
  <c r="AX23" i="180" s="1"/>
  <c r="D45" i="160"/>
  <c r="B7" i="155"/>
  <c r="AW7" i="155" s="1"/>
  <c r="C55" i="160"/>
  <c r="D55" i="160" s="1"/>
  <c r="AW6" i="155"/>
  <c r="AV22" i="155"/>
  <c r="AX22" i="155" s="1"/>
  <c r="D49" i="160"/>
  <c r="B11" i="155"/>
  <c r="B26" i="154"/>
  <c r="D67" i="150"/>
  <c r="B13" i="154"/>
  <c r="D54" i="150"/>
  <c r="AW6" i="156"/>
  <c r="D16" i="179"/>
  <c r="AW6" i="154"/>
  <c r="B31" i="150"/>
  <c r="D33" i="150"/>
  <c r="C55" i="153"/>
  <c r="D55" i="153" s="1"/>
  <c r="D47" i="153"/>
  <c r="B23" i="156"/>
  <c r="D63" i="153"/>
  <c r="D46" i="157"/>
  <c r="C27" i="180"/>
  <c r="D36" i="179"/>
  <c r="D45" i="179" s="1"/>
  <c r="B34" i="179"/>
  <c r="C34" i="179"/>
  <c r="D50" i="157"/>
  <c r="B11" i="158"/>
  <c r="B7" i="158"/>
  <c r="C54" i="157"/>
  <c r="D48" i="150"/>
  <c r="B7" i="154"/>
  <c r="C58" i="150"/>
  <c r="B17" i="154" s="1"/>
  <c r="AW11" i="154"/>
  <c r="AV12" i="154"/>
  <c r="D61" i="160"/>
  <c r="AV6" i="105"/>
  <c r="AX6" i="105" s="1"/>
  <c r="B23" i="154"/>
  <c r="AW23" i="154" s="1"/>
  <c r="AX23" i="154" s="1"/>
  <c r="D64" i="150"/>
  <c r="AW5" i="105"/>
  <c r="AW23" i="155"/>
  <c r="AW23" i="158"/>
  <c r="C57" i="153"/>
  <c r="D57" i="153" s="1"/>
  <c r="D30" i="149"/>
  <c r="D31" i="149" s="1"/>
  <c r="B7" i="156"/>
  <c r="C37" i="149"/>
  <c r="D35" i="149"/>
  <c r="D32" i="153"/>
  <c r="D35" i="153" s="1"/>
  <c r="AW5" i="156"/>
  <c r="AV11" i="105"/>
  <c r="AW11" i="105"/>
  <c r="AW21" i="105"/>
  <c r="AV22" i="105"/>
  <c r="AW22" i="105"/>
  <c r="D56" i="150" l="1"/>
  <c r="C57" i="150"/>
  <c r="AC17" i="158"/>
  <c r="Q15" i="155"/>
  <c r="AC15" i="155"/>
  <c r="AC27" i="155" s="1"/>
  <c r="AC42" i="155" s="1"/>
  <c r="W15" i="155"/>
  <c r="X15" i="155"/>
  <c r="Y15" i="155"/>
  <c r="Z15" i="155"/>
  <c r="Z27" i="155" s="1"/>
  <c r="Z42" i="155" s="1"/>
  <c r="O15" i="155"/>
  <c r="O27" i="155" s="1"/>
  <c r="O42" i="155" s="1"/>
  <c r="AB15" i="155"/>
  <c r="AB27" i="155" s="1"/>
  <c r="AB42" i="155" s="1"/>
  <c r="R15" i="155"/>
  <c r="AD15" i="155"/>
  <c r="AD27" i="155" s="1"/>
  <c r="AD42" i="155" s="1"/>
  <c r="N15" i="155"/>
  <c r="N27" i="155" s="1"/>
  <c r="N42" i="155" s="1"/>
  <c r="AA15" i="155"/>
  <c r="AA27" i="155" s="1"/>
  <c r="AA42" i="155" s="1"/>
  <c r="S15" i="155"/>
  <c r="K15" i="155"/>
  <c r="V15" i="155"/>
  <c r="L15" i="155"/>
  <c r="T15" i="155"/>
  <c r="U15" i="155"/>
  <c r="M15" i="155"/>
  <c r="M27" i="155" s="1"/>
  <c r="M42" i="155" s="1"/>
  <c r="P15" i="155"/>
  <c r="P27" i="155" s="1"/>
  <c r="P42" i="155" s="1"/>
  <c r="AW17" i="158"/>
  <c r="X17" i="158"/>
  <c r="W17" i="158"/>
  <c r="C30" i="185"/>
  <c r="D31" i="185"/>
  <c r="D32" i="185" s="1"/>
  <c r="B30" i="185"/>
  <c r="V17" i="158"/>
  <c r="AV6" i="180"/>
  <c r="AX6" i="180" s="1"/>
  <c r="D41" i="150"/>
  <c r="C41" i="150" s="1"/>
  <c r="I34" i="140"/>
  <c r="AW9" i="105"/>
  <c r="S9" i="105"/>
  <c r="AV9" i="105" s="1"/>
  <c r="B24" i="184"/>
  <c r="B34" i="184" s="1"/>
  <c r="AV20" i="186"/>
  <c r="AX20" i="186" s="1"/>
  <c r="AW11" i="156"/>
  <c r="B13" i="180"/>
  <c r="AA13" i="180" s="1"/>
  <c r="C62" i="179"/>
  <c r="D62" i="179" s="1"/>
  <c r="E28" i="184"/>
  <c r="F28" i="184"/>
  <c r="B38" i="184"/>
  <c r="C45" i="149"/>
  <c r="D45" i="149" s="1"/>
  <c r="B23" i="184"/>
  <c r="U17" i="158"/>
  <c r="AA17" i="158"/>
  <c r="E25" i="184"/>
  <c r="B35" i="184"/>
  <c r="F25" i="184"/>
  <c r="S17" i="158"/>
  <c r="AD17" i="158"/>
  <c r="D56" i="157"/>
  <c r="Y17" i="158"/>
  <c r="Z17" i="158"/>
  <c r="AB17" i="158"/>
  <c r="AW15" i="155"/>
  <c r="D53" i="160"/>
  <c r="B26" i="184"/>
  <c r="C60" i="179"/>
  <c r="B16" i="154"/>
  <c r="H16" i="154" s="1"/>
  <c r="D52" i="179"/>
  <c r="AV11" i="180"/>
  <c r="AX11" i="180" s="1"/>
  <c r="U5" i="180"/>
  <c r="AG5" i="180"/>
  <c r="AH5" i="180"/>
  <c r="W5" i="180"/>
  <c r="AB5" i="180"/>
  <c r="AW5" i="180"/>
  <c r="AD5" i="180"/>
  <c r="Y5" i="180"/>
  <c r="S5" i="180"/>
  <c r="AC5" i="180"/>
  <c r="X5" i="180"/>
  <c r="T5" i="180"/>
  <c r="AE5" i="180"/>
  <c r="AF5" i="180"/>
  <c r="Z5" i="180"/>
  <c r="AA5" i="180"/>
  <c r="AV22" i="156"/>
  <c r="AX22" i="156" s="1"/>
  <c r="B17" i="155"/>
  <c r="AE17" i="155" s="1"/>
  <c r="AV5" i="155"/>
  <c r="AX5" i="155" s="1"/>
  <c r="D60" i="157"/>
  <c r="AJ23" i="156"/>
  <c r="AF23" i="156"/>
  <c r="AH23" i="156"/>
  <c r="AI23" i="156"/>
  <c r="AE23" i="156"/>
  <c r="AG23" i="156"/>
  <c r="AW7" i="158"/>
  <c r="Y7" i="158"/>
  <c r="AB7" i="158"/>
  <c r="T7" i="158"/>
  <c r="Z7" i="158"/>
  <c r="AC7" i="158"/>
  <c r="AA7" i="158"/>
  <c r="AD7" i="158"/>
  <c r="S7" i="158"/>
  <c r="U7" i="158"/>
  <c r="V7" i="158"/>
  <c r="W7" i="158"/>
  <c r="X7" i="158"/>
  <c r="X13" i="156"/>
  <c r="AB13" i="156"/>
  <c r="Y13" i="156"/>
  <c r="AA13" i="156"/>
  <c r="Z13" i="156"/>
  <c r="AC13" i="156"/>
  <c r="AD13" i="156"/>
  <c r="T13" i="156"/>
  <c r="U13" i="156"/>
  <c r="V13" i="156"/>
  <c r="W13" i="156"/>
  <c r="S13" i="156"/>
  <c r="AW13" i="156"/>
  <c r="X7" i="156"/>
  <c r="AA7" i="156"/>
  <c r="AB7" i="156"/>
  <c r="AC7" i="156"/>
  <c r="AD7" i="156"/>
  <c r="S7" i="156"/>
  <c r="Y7" i="156"/>
  <c r="Z7" i="156"/>
  <c r="T7" i="156"/>
  <c r="U7" i="156"/>
  <c r="V7" i="156"/>
  <c r="W7" i="156"/>
  <c r="AV13" i="158"/>
  <c r="AX13" i="158" s="1"/>
  <c r="AV13" i="105"/>
  <c r="AX13" i="105" s="1"/>
  <c r="B18" i="105"/>
  <c r="D48" i="149"/>
  <c r="U11" i="158"/>
  <c r="AD11" i="158"/>
  <c r="V11" i="158"/>
  <c r="T11" i="158"/>
  <c r="W11" i="158"/>
  <c r="X11" i="158"/>
  <c r="Y11" i="158"/>
  <c r="Z11" i="158"/>
  <c r="AA11" i="158"/>
  <c r="S11" i="158"/>
  <c r="AB11" i="158"/>
  <c r="AC11" i="158"/>
  <c r="AV5" i="154"/>
  <c r="AX5" i="154" s="1"/>
  <c r="Q15" i="154"/>
  <c r="R15" i="154"/>
  <c r="G15" i="154"/>
  <c r="H15" i="154"/>
  <c r="I15" i="154"/>
  <c r="J15" i="154"/>
  <c r="K15" i="154"/>
  <c r="L15" i="154"/>
  <c r="M15" i="154"/>
  <c r="N15" i="154"/>
  <c r="O15" i="154"/>
  <c r="P15" i="154"/>
  <c r="Q17" i="154"/>
  <c r="R17" i="154"/>
  <c r="G17" i="154"/>
  <c r="H17" i="154"/>
  <c r="I17" i="154"/>
  <c r="J17" i="154"/>
  <c r="K17" i="154"/>
  <c r="L17" i="154"/>
  <c r="M17" i="154"/>
  <c r="N17" i="154"/>
  <c r="O17" i="154"/>
  <c r="P17" i="154"/>
  <c r="Q7" i="154"/>
  <c r="R7" i="154"/>
  <c r="G7" i="154"/>
  <c r="H7" i="154"/>
  <c r="I7" i="154"/>
  <c r="J7" i="154"/>
  <c r="K7" i="154"/>
  <c r="L7" i="154"/>
  <c r="M7" i="154"/>
  <c r="N7" i="154"/>
  <c r="O7" i="154"/>
  <c r="P7" i="154"/>
  <c r="AW13" i="154"/>
  <c r="Q13" i="154"/>
  <c r="R13" i="154"/>
  <c r="G13" i="154"/>
  <c r="H13" i="154"/>
  <c r="I13" i="154"/>
  <c r="J13" i="154"/>
  <c r="K13" i="154"/>
  <c r="L13" i="154"/>
  <c r="M13" i="154"/>
  <c r="N13" i="154"/>
  <c r="O13" i="154"/>
  <c r="P13" i="154"/>
  <c r="AF7" i="180"/>
  <c r="Y7" i="180"/>
  <c r="W7" i="180"/>
  <c r="AW7" i="180"/>
  <c r="D39" i="160"/>
  <c r="D40" i="160" s="1"/>
  <c r="H9" i="140" s="1"/>
  <c r="B21" i="155"/>
  <c r="AL21" i="155" s="1"/>
  <c r="AL27" i="155" s="1"/>
  <c r="AL42" i="155" s="1"/>
  <c r="U7" i="180"/>
  <c r="X7" i="180"/>
  <c r="T7" i="180"/>
  <c r="AH7" i="180"/>
  <c r="AI11" i="155"/>
  <c r="AJ11" i="155"/>
  <c r="AH11" i="155"/>
  <c r="AG11" i="155"/>
  <c r="AE11" i="155"/>
  <c r="AF11" i="155"/>
  <c r="V7" i="180"/>
  <c r="S7" i="180"/>
  <c r="AD7" i="180"/>
  <c r="AE7" i="180"/>
  <c r="AC7" i="180"/>
  <c r="AB7" i="180"/>
  <c r="AA7" i="180"/>
  <c r="AG7" i="180"/>
  <c r="AV13" i="155"/>
  <c r="AX13" i="155" s="1"/>
  <c r="AE7" i="155"/>
  <c r="AF7" i="155"/>
  <c r="AG7" i="155"/>
  <c r="AH7" i="155"/>
  <c r="AI7" i="155"/>
  <c r="AJ7" i="155"/>
  <c r="AF21" i="158"/>
  <c r="AG21" i="158"/>
  <c r="AH21" i="158"/>
  <c r="AI21" i="158"/>
  <c r="AI27" i="158" s="1"/>
  <c r="AI42" i="158" s="1"/>
  <c r="AJ21" i="158"/>
  <c r="AJ27" i="158" s="1"/>
  <c r="AE21" i="158"/>
  <c r="AV6" i="155"/>
  <c r="AX6" i="155" s="1"/>
  <c r="AW11" i="155"/>
  <c r="D42" i="179"/>
  <c r="D40" i="179"/>
  <c r="B40" i="179" s="1"/>
  <c r="D57" i="150"/>
  <c r="AW26" i="154"/>
  <c r="D36" i="150"/>
  <c r="C36" i="150" s="1"/>
  <c r="D38" i="150"/>
  <c r="B15" i="156"/>
  <c r="AV6" i="154"/>
  <c r="AX6" i="154" s="1"/>
  <c r="AW23" i="156"/>
  <c r="C42" i="180"/>
  <c r="C30" i="180"/>
  <c r="AW11" i="158"/>
  <c r="D54" i="157"/>
  <c r="B15" i="158"/>
  <c r="W42" i="154"/>
  <c r="E27" i="154"/>
  <c r="E42" i="154" s="1"/>
  <c r="AW7" i="154"/>
  <c r="D58" i="150"/>
  <c r="AW15" i="154"/>
  <c r="AW17" i="154"/>
  <c r="AV11" i="154"/>
  <c r="AX11" i="154" s="1"/>
  <c r="J27" i="155"/>
  <c r="J42" i="155" s="1"/>
  <c r="D37" i="157"/>
  <c r="D40" i="157" s="1"/>
  <c r="D41" i="157" s="1"/>
  <c r="K27" i="155"/>
  <c r="K42" i="155" s="1"/>
  <c r="I27" i="155"/>
  <c r="I42" i="155" s="1"/>
  <c r="AV23" i="158"/>
  <c r="AX23" i="158" s="1"/>
  <c r="AV23" i="155"/>
  <c r="AX23" i="155" s="1"/>
  <c r="H27" i="155"/>
  <c r="H42" i="155" s="1"/>
  <c r="B30" i="149"/>
  <c r="C30" i="149"/>
  <c r="AW21" i="158"/>
  <c r="B17" i="156"/>
  <c r="AV5" i="105"/>
  <c r="AX5" i="105" s="1"/>
  <c r="D32" i="149"/>
  <c r="B60" i="149" s="1"/>
  <c r="D40" i="153"/>
  <c r="C40" i="153" s="1"/>
  <c r="D37" i="153"/>
  <c r="AW7" i="156"/>
  <c r="D37" i="149"/>
  <c r="B7" i="105"/>
  <c r="C47" i="149"/>
  <c r="B22" i="184" s="1"/>
  <c r="AV21" i="105"/>
  <c r="AX21" i="105" s="1"/>
  <c r="AX11" i="105"/>
  <c r="AX22" i="105"/>
  <c r="AX12" i="154"/>
  <c r="G25" i="184" l="1"/>
  <c r="H25" i="184" s="1"/>
  <c r="I25" i="184" s="1"/>
  <c r="J25" i="184" s="1"/>
  <c r="C35" i="184" s="1"/>
  <c r="D35" i="184" s="1"/>
  <c r="AG17" i="155"/>
  <c r="G15" i="158"/>
  <c r="K15" i="158"/>
  <c r="L15" i="158"/>
  <c r="P15" i="158"/>
  <c r="M15" i="158"/>
  <c r="N15" i="158"/>
  <c r="H15" i="158"/>
  <c r="I15" i="158"/>
  <c r="J15" i="158"/>
  <c r="J27" i="158" s="1"/>
  <c r="J42" i="158" s="1"/>
  <c r="O15" i="158"/>
  <c r="AH13" i="180"/>
  <c r="H13" i="140"/>
  <c r="B73" i="185"/>
  <c r="B60" i="185"/>
  <c r="V13" i="180"/>
  <c r="Z13" i="180"/>
  <c r="B41" i="150"/>
  <c r="C62" i="150"/>
  <c r="B21" i="154" s="1"/>
  <c r="X13" i="180"/>
  <c r="U13" i="180"/>
  <c r="AG13" i="180"/>
  <c r="S13" i="180"/>
  <c r="T13" i="180"/>
  <c r="Y13" i="180"/>
  <c r="AC13" i="180"/>
  <c r="AE13" i="180"/>
  <c r="AB13" i="180"/>
  <c r="W13" i="180"/>
  <c r="AW13" i="180"/>
  <c r="AD13" i="180"/>
  <c r="AF13" i="180"/>
  <c r="G28" i="184"/>
  <c r="H28" i="184" s="1"/>
  <c r="I28" i="184" s="1"/>
  <c r="J28" i="184" s="1"/>
  <c r="C38" i="184" s="1"/>
  <c r="D38" i="184" s="1"/>
  <c r="G38" i="184" s="1"/>
  <c r="C49" i="185" s="1"/>
  <c r="AX9" i="105"/>
  <c r="AW18" i="105"/>
  <c r="AH18" i="105"/>
  <c r="AH26" i="105" s="1"/>
  <c r="AH41" i="105" s="1"/>
  <c r="AI18" i="105"/>
  <c r="AI26" i="105" s="1"/>
  <c r="AI41" i="105" s="1"/>
  <c r="AJ18" i="105"/>
  <c r="AJ26" i="105" s="1"/>
  <c r="AG18" i="105"/>
  <c r="F24" i="184"/>
  <c r="E24" i="184"/>
  <c r="O15" i="156"/>
  <c r="H15" i="156"/>
  <c r="P15" i="156"/>
  <c r="Q15" i="156"/>
  <c r="G15" i="156"/>
  <c r="I15" i="156"/>
  <c r="M15" i="156"/>
  <c r="N15" i="156"/>
  <c r="J15" i="156"/>
  <c r="K15" i="156"/>
  <c r="L15" i="156"/>
  <c r="AV21" i="186"/>
  <c r="AX21" i="186" s="1"/>
  <c r="AV11" i="156"/>
  <c r="AX11" i="156" s="1"/>
  <c r="B27" i="184"/>
  <c r="E27" i="184" s="1"/>
  <c r="B17" i="180"/>
  <c r="X17" i="180" s="1"/>
  <c r="B15" i="105"/>
  <c r="S15" i="105" s="1"/>
  <c r="B32" i="184"/>
  <c r="E22" i="184"/>
  <c r="F22" i="184"/>
  <c r="B33" i="184"/>
  <c r="E23" i="184"/>
  <c r="F23" i="184"/>
  <c r="K16" i="154"/>
  <c r="J16" i="154"/>
  <c r="AV17" i="158"/>
  <c r="AX17" i="158" s="1"/>
  <c r="G35" i="184"/>
  <c r="C58" i="157" s="1"/>
  <c r="AV15" i="155"/>
  <c r="AX15" i="155" s="1"/>
  <c r="AH17" i="155"/>
  <c r="F26" i="184"/>
  <c r="B36" i="184"/>
  <c r="E26" i="184"/>
  <c r="B15" i="180"/>
  <c r="D60" i="179"/>
  <c r="G16" i="154"/>
  <c r="R16" i="154"/>
  <c r="Q16" i="154"/>
  <c r="O16" i="154"/>
  <c r="P16" i="154"/>
  <c r="AW16" i="154"/>
  <c r="N16" i="154"/>
  <c r="M16" i="154"/>
  <c r="L16" i="154"/>
  <c r="I16" i="154"/>
  <c r="AV5" i="180"/>
  <c r="AX5" i="180" s="1"/>
  <c r="AF17" i="155"/>
  <c r="AW17" i="155"/>
  <c r="AJ17" i="155"/>
  <c r="AI17" i="155"/>
  <c r="AV11" i="158"/>
  <c r="AX11" i="158" s="1"/>
  <c r="AV13" i="156"/>
  <c r="AX13" i="156" s="1"/>
  <c r="AV11" i="155"/>
  <c r="AX11" i="155" s="1"/>
  <c r="AV7" i="155"/>
  <c r="AX7" i="155" s="1"/>
  <c r="X17" i="156"/>
  <c r="AB17" i="156"/>
  <c r="AD17" i="156"/>
  <c r="Y17" i="156"/>
  <c r="Z17" i="156"/>
  <c r="AA17" i="156"/>
  <c r="AC17" i="156"/>
  <c r="T17" i="156"/>
  <c r="U17" i="156"/>
  <c r="V17" i="156"/>
  <c r="W17" i="156"/>
  <c r="S17" i="156"/>
  <c r="AF7" i="105"/>
  <c r="U7" i="105"/>
  <c r="T7" i="105"/>
  <c r="V7" i="105"/>
  <c r="W7" i="105"/>
  <c r="X7" i="105"/>
  <c r="Y7" i="105"/>
  <c r="Z7" i="105"/>
  <c r="AD7" i="105"/>
  <c r="AA7" i="105"/>
  <c r="AE7" i="105"/>
  <c r="AB7" i="105"/>
  <c r="AC7" i="105"/>
  <c r="AV13" i="154"/>
  <c r="AX13" i="154" s="1"/>
  <c r="AK21" i="155"/>
  <c r="AK27" i="155" s="1"/>
  <c r="AK42" i="155" s="1"/>
  <c r="AM21" i="155"/>
  <c r="AM27" i="155" s="1"/>
  <c r="AM42" i="155" s="1"/>
  <c r="AW21" i="155"/>
  <c r="AN21" i="155"/>
  <c r="AN27" i="155" s="1"/>
  <c r="B81" i="160"/>
  <c r="B88" i="160" s="1"/>
  <c r="B68" i="160"/>
  <c r="AV7" i="180"/>
  <c r="AX7" i="180" s="1"/>
  <c r="AE27" i="158"/>
  <c r="AE42" i="158" s="1"/>
  <c r="W27" i="155"/>
  <c r="W42" i="155" s="1"/>
  <c r="V27" i="155"/>
  <c r="V42" i="155" s="1"/>
  <c r="Q27" i="155"/>
  <c r="Q42" i="155" s="1"/>
  <c r="R27" i="155"/>
  <c r="R42" i="155" s="1"/>
  <c r="U27" i="155"/>
  <c r="U42" i="155" s="1"/>
  <c r="C27" i="155"/>
  <c r="C30" i="155" s="1"/>
  <c r="X27" i="155"/>
  <c r="X42" i="155" s="1"/>
  <c r="E27" i="155"/>
  <c r="E42" i="155" s="1"/>
  <c r="E8" i="159" s="1"/>
  <c r="F27" i="155"/>
  <c r="F42" i="155" s="1"/>
  <c r="T27" i="155"/>
  <c r="T42" i="155" s="1"/>
  <c r="G27" i="155"/>
  <c r="G42" i="155" s="1"/>
  <c r="L27" i="155"/>
  <c r="L42" i="155" s="1"/>
  <c r="AH27" i="158"/>
  <c r="AH42" i="158" s="1"/>
  <c r="B69" i="157"/>
  <c r="H8" i="140"/>
  <c r="AW15" i="156"/>
  <c r="F27" i="154"/>
  <c r="F42" i="154" s="1"/>
  <c r="C27" i="154"/>
  <c r="C30" i="154" s="1"/>
  <c r="C37" i="154" s="1"/>
  <c r="D27" i="154"/>
  <c r="D42" i="154" s="1"/>
  <c r="AV26" i="154"/>
  <c r="AX26" i="154" s="1"/>
  <c r="AV15" i="154"/>
  <c r="AX15" i="154" s="1"/>
  <c r="AV17" i="154"/>
  <c r="AX17" i="154" s="1"/>
  <c r="B73" i="149"/>
  <c r="H4" i="140"/>
  <c r="D37" i="150"/>
  <c r="D39" i="150" s="1"/>
  <c r="D42" i="150" s="1"/>
  <c r="B36" i="150"/>
  <c r="AV23" i="156"/>
  <c r="AX23" i="156" s="1"/>
  <c r="AW15" i="158"/>
  <c r="C40" i="179"/>
  <c r="D41" i="179"/>
  <c r="D43" i="179" s="1"/>
  <c r="D46" i="179" s="1"/>
  <c r="C45" i="179"/>
  <c r="B45" i="179"/>
  <c r="C66" i="179"/>
  <c r="C31" i="180"/>
  <c r="C37" i="180"/>
  <c r="C27" i="158"/>
  <c r="C30" i="158" s="1"/>
  <c r="C31" i="158" s="1"/>
  <c r="AF27" i="158"/>
  <c r="AF42" i="158" s="1"/>
  <c r="D27" i="158"/>
  <c r="D42" i="158" s="1"/>
  <c r="H27" i="158"/>
  <c r="H42" i="158" s="1"/>
  <c r="I27" i="158"/>
  <c r="I42" i="158" s="1"/>
  <c r="F27" i="158"/>
  <c r="F42" i="158" s="1"/>
  <c r="G27" i="158"/>
  <c r="G42" i="158" s="1"/>
  <c r="K27" i="158"/>
  <c r="K42" i="158" s="1"/>
  <c r="AV7" i="154"/>
  <c r="AX7" i="154" s="1"/>
  <c r="B82" i="157"/>
  <c r="B89" i="157" s="1"/>
  <c r="AW17" i="156"/>
  <c r="S27" i="155"/>
  <c r="S42" i="155" s="1"/>
  <c r="Y27" i="155"/>
  <c r="Y42" i="155" s="1"/>
  <c r="AG27" i="158"/>
  <c r="AG42" i="158" s="1"/>
  <c r="AV21" i="158"/>
  <c r="AX21" i="158" s="1"/>
  <c r="AW7" i="105"/>
  <c r="B17" i="105"/>
  <c r="D47" i="149"/>
  <c r="D36" i="153"/>
  <c r="D38" i="153" s="1"/>
  <c r="C38" i="153" s="1"/>
  <c r="C61" i="153"/>
  <c r="D61" i="153" s="1"/>
  <c r="B80" i="185" l="1"/>
  <c r="B74" i="185"/>
  <c r="B75" i="185" s="1"/>
  <c r="B81" i="185" s="1"/>
  <c r="AV13" i="180"/>
  <c r="AX13" i="180" s="1"/>
  <c r="D62" i="150"/>
  <c r="AG26" i="105"/>
  <c r="AG41" i="105" s="1"/>
  <c r="AV18" i="105"/>
  <c r="AX18" i="105" s="1"/>
  <c r="G24" i="184"/>
  <c r="H24" i="184" s="1"/>
  <c r="F8" i="159"/>
  <c r="AV22" i="186"/>
  <c r="AX22" i="186" s="1"/>
  <c r="AB17" i="180"/>
  <c r="W17" i="180"/>
  <c r="AV16" i="154"/>
  <c r="AX16" i="154" s="1"/>
  <c r="H35" i="184"/>
  <c r="I35" i="184" s="1"/>
  <c r="AD17" i="180"/>
  <c r="AC17" i="180"/>
  <c r="F27" i="184"/>
  <c r="G27" i="184" s="1"/>
  <c r="H27" i="184" s="1"/>
  <c r="I27" i="184" s="1"/>
  <c r="J27" i="184" s="1"/>
  <c r="C37" i="184" s="1"/>
  <c r="Z17" i="180"/>
  <c r="AG17" i="180"/>
  <c r="B37" i="184"/>
  <c r="AE17" i="180"/>
  <c r="U17" i="180"/>
  <c r="AH17" i="180"/>
  <c r="S17" i="180"/>
  <c r="T17" i="180"/>
  <c r="Y17" i="180"/>
  <c r="AA17" i="180"/>
  <c r="AW17" i="180"/>
  <c r="AF17" i="180"/>
  <c r="V17" i="180"/>
  <c r="H38" i="184"/>
  <c r="I38" i="184" s="1"/>
  <c r="AW15" i="105"/>
  <c r="G22" i="184"/>
  <c r="H22" i="184" s="1"/>
  <c r="I22" i="184" s="1"/>
  <c r="J22" i="184" s="1"/>
  <c r="C32" i="184" s="1"/>
  <c r="D32" i="184" s="1"/>
  <c r="G23" i="184"/>
  <c r="H23" i="184" s="1"/>
  <c r="I23" i="184" s="1"/>
  <c r="J23" i="184" s="1"/>
  <c r="C33" i="184" s="1"/>
  <c r="D33" i="184" s="1"/>
  <c r="I24" i="184"/>
  <c r="J24" i="184" s="1"/>
  <c r="C34" i="184" s="1"/>
  <c r="D34" i="184" s="1"/>
  <c r="B19" i="158"/>
  <c r="D58" i="157"/>
  <c r="AV17" i="155"/>
  <c r="AX17" i="155" s="1"/>
  <c r="G26" i="184"/>
  <c r="H26" i="184" s="1"/>
  <c r="I26" i="184" s="1"/>
  <c r="J26" i="184" s="1"/>
  <c r="C36" i="184" s="1"/>
  <c r="D36" i="184" s="1"/>
  <c r="Z15" i="180"/>
  <c r="T15" i="180"/>
  <c r="AF15" i="180"/>
  <c r="AG15" i="180"/>
  <c r="V15" i="180"/>
  <c r="W15" i="180"/>
  <c r="X15" i="180"/>
  <c r="AA15" i="180"/>
  <c r="Y15" i="180"/>
  <c r="AB15" i="180"/>
  <c r="AC15" i="180"/>
  <c r="AD15" i="180"/>
  <c r="AE15" i="180"/>
  <c r="U15" i="180"/>
  <c r="S15" i="180"/>
  <c r="AW15" i="180"/>
  <c r="AH15" i="180"/>
  <c r="AC17" i="105"/>
  <c r="AD17" i="105"/>
  <c r="AE17" i="105"/>
  <c r="AA17" i="105"/>
  <c r="AB17" i="105"/>
  <c r="AF17" i="105"/>
  <c r="U17" i="105"/>
  <c r="T17" i="105"/>
  <c r="V17" i="105"/>
  <c r="W17" i="105"/>
  <c r="X17" i="105"/>
  <c r="Y17" i="105"/>
  <c r="Z17" i="105"/>
  <c r="T21" i="154"/>
  <c r="T27" i="154" s="1"/>
  <c r="T42" i="154" s="1"/>
  <c r="U21" i="154"/>
  <c r="V21" i="154"/>
  <c r="S21" i="154"/>
  <c r="S27" i="154" s="1"/>
  <c r="S42" i="154" s="1"/>
  <c r="AV21" i="155"/>
  <c r="AX21" i="155" s="1"/>
  <c r="B82" i="160"/>
  <c r="B83" i="160" s="1"/>
  <c r="B89" i="160" s="1"/>
  <c r="D27" i="155"/>
  <c r="D42" i="155" s="1"/>
  <c r="D8" i="159" s="1"/>
  <c r="Q27" i="158"/>
  <c r="Q42" i="158" s="1"/>
  <c r="E27" i="158"/>
  <c r="E42" i="158" s="1"/>
  <c r="AV15" i="156"/>
  <c r="AX15" i="156" s="1"/>
  <c r="C31" i="154"/>
  <c r="C42" i="154"/>
  <c r="B39" i="150"/>
  <c r="C39" i="150"/>
  <c r="C27" i="156"/>
  <c r="G27" i="156"/>
  <c r="G42" i="156" s="1"/>
  <c r="K27" i="156"/>
  <c r="K42" i="156" s="1"/>
  <c r="R27" i="156"/>
  <c r="R42" i="156" s="1"/>
  <c r="E27" i="156"/>
  <c r="E42" i="156" s="1"/>
  <c r="J27" i="156"/>
  <c r="J42" i="156" s="1"/>
  <c r="F27" i="156"/>
  <c r="F42" i="156" s="1"/>
  <c r="I27" i="156"/>
  <c r="I42" i="156" s="1"/>
  <c r="D27" i="156"/>
  <c r="D42" i="156" s="1"/>
  <c r="H27" i="156"/>
  <c r="H42" i="156" s="1"/>
  <c r="Q27" i="156"/>
  <c r="Q42" i="156" s="1"/>
  <c r="B21" i="180"/>
  <c r="D66" i="179"/>
  <c r="C43" i="179"/>
  <c r="B43" i="179"/>
  <c r="C42" i="158"/>
  <c r="L27" i="158"/>
  <c r="L42" i="158" s="1"/>
  <c r="R27" i="158"/>
  <c r="R42" i="158" s="1"/>
  <c r="B83" i="157"/>
  <c r="B84" i="157" s="1"/>
  <c r="B90" i="157" s="1"/>
  <c r="C42" i="155"/>
  <c r="C37" i="158"/>
  <c r="B42" i="150"/>
  <c r="D43" i="150"/>
  <c r="AW21" i="154"/>
  <c r="H26" i="105"/>
  <c r="H41" i="105" s="1"/>
  <c r="B21" i="156"/>
  <c r="D41" i="153"/>
  <c r="B41" i="153" s="1"/>
  <c r="AV7" i="105"/>
  <c r="AX7" i="105" s="1"/>
  <c r="E26" i="105"/>
  <c r="E41" i="105" s="1"/>
  <c r="Q26" i="105"/>
  <c r="Q41" i="105" s="1"/>
  <c r="G26" i="105"/>
  <c r="G41" i="105" s="1"/>
  <c r="S26" i="105"/>
  <c r="S41" i="105" s="1"/>
  <c r="O26" i="105"/>
  <c r="O41" i="105" s="1"/>
  <c r="M26" i="105"/>
  <c r="M41" i="105" s="1"/>
  <c r="P26" i="105"/>
  <c r="P41" i="105" s="1"/>
  <c r="AW17" i="105"/>
  <c r="J26" i="105"/>
  <c r="J41" i="105" s="1"/>
  <c r="N26" i="105"/>
  <c r="N41" i="105" s="1"/>
  <c r="R26" i="105"/>
  <c r="R41" i="105" s="1"/>
  <c r="F26" i="105"/>
  <c r="F41" i="105" s="1"/>
  <c r="K26" i="105"/>
  <c r="K41" i="105" s="1"/>
  <c r="L26" i="105"/>
  <c r="L41" i="105" s="1"/>
  <c r="C31" i="155"/>
  <c r="C37" i="155"/>
  <c r="D37" i="184" l="1"/>
  <c r="G37" i="184" s="1"/>
  <c r="C64" i="179" s="1"/>
  <c r="AV23" i="186"/>
  <c r="AX23" i="186" s="1"/>
  <c r="AV17" i="180"/>
  <c r="AX17" i="180" s="1"/>
  <c r="AV15" i="105"/>
  <c r="AX15" i="105" s="1"/>
  <c r="G32" i="184"/>
  <c r="G33" i="184"/>
  <c r="C60" i="150" s="1"/>
  <c r="G34" i="184"/>
  <c r="C59" i="153" s="1"/>
  <c r="AB19" i="158"/>
  <c r="AC19" i="158"/>
  <c r="Y19" i="158"/>
  <c r="AD19" i="158"/>
  <c r="S19" i="158"/>
  <c r="AW19" i="158"/>
  <c r="X19" i="158"/>
  <c r="Z19" i="158"/>
  <c r="AA19" i="158"/>
  <c r="T19" i="158"/>
  <c r="U19" i="158"/>
  <c r="V19" i="158"/>
  <c r="W19" i="158"/>
  <c r="G36" i="184"/>
  <c r="C57" i="160" s="1"/>
  <c r="AV15" i="180"/>
  <c r="AX15" i="180" s="1"/>
  <c r="AH21" i="156"/>
  <c r="AH27" i="156" s="1"/>
  <c r="AH42" i="156" s="1"/>
  <c r="AE21" i="156"/>
  <c r="AE27" i="156" s="1"/>
  <c r="AE42" i="156" s="1"/>
  <c r="AI21" i="156"/>
  <c r="AI27" i="156" s="1"/>
  <c r="AI42" i="156" s="1"/>
  <c r="AJ21" i="156"/>
  <c r="AJ27" i="156" s="1"/>
  <c r="AF21" i="156"/>
  <c r="AF27" i="156" s="1"/>
  <c r="AF42" i="156" s="1"/>
  <c r="AG21" i="156"/>
  <c r="AI21" i="180"/>
  <c r="AI27" i="180" s="1"/>
  <c r="AI42" i="180" s="1"/>
  <c r="AJ21" i="180"/>
  <c r="AJ27" i="180" s="1"/>
  <c r="B41" i="155"/>
  <c r="AN42" i="155" s="1"/>
  <c r="H5" i="140"/>
  <c r="AV15" i="158"/>
  <c r="AX15" i="158" s="1"/>
  <c r="C42" i="156"/>
  <c r="C30" i="156"/>
  <c r="C31" i="156" s="1"/>
  <c r="AW21" i="180"/>
  <c r="D47" i="179"/>
  <c r="B46" i="179"/>
  <c r="B84" i="150"/>
  <c r="B71" i="150"/>
  <c r="M27" i="158"/>
  <c r="M42" i="158" s="1"/>
  <c r="AV21" i="154"/>
  <c r="U27" i="154"/>
  <c r="U42" i="154" s="1"/>
  <c r="V27" i="154"/>
  <c r="D42" i="153"/>
  <c r="H7" i="140" s="1"/>
  <c r="AV17" i="105"/>
  <c r="AX17" i="105" s="1"/>
  <c r="AW21" i="156"/>
  <c r="L27" i="156"/>
  <c r="L42" i="156" s="1"/>
  <c r="AV24" i="186" l="1"/>
  <c r="AX24" i="186" s="1"/>
  <c r="AV25" i="186"/>
  <c r="AX25" i="186" s="1"/>
  <c r="H34" i="184"/>
  <c r="I34" i="184" s="1"/>
  <c r="C49" i="149"/>
  <c r="B19" i="105" s="1"/>
  <c r="H37" i="184"/>
  <c r="I37" i="184" s="1"/>
  <c r="H32" i="184"/>
  <c r="I32" i="184" s="1"/>
  <c r="H33" i="184"/>
  <c r="I33" i="184" s="1"/>
  <c r="B19" i="154"/>
  <c r="D60" i="150"/>
  <c r="C68" i="150"/>
  <c r="D59" i="153"/>
  <c r="B19" i="156"/>
  <c r="AV19" i="158"/>
  <c r="AX19" i="158" s="1"/>
  <c r="H36" i="184"/>
  <c r="I36" i="184" s="1"/>
  <c r="D57" i="160"/>
  <c r="B19" i="155"/>
  <c r="B19" i="180"/>
  <c r="AW19" i="180" s="1"/>
  <c r="AX19" i="180" s="1"/>
  <c r="D64" i="179"/>
  <c r="H10" i="140"/>
  <c r="H15" i="140" s="1"/>
  <c r="C37" i="156"/>
  <c r="AV21" i="180"/>
  <c r="B88" i="179"/>
  <c r="B75" i="179"/>
  <c r="B85" i="150"/>
  <c r="B86" i="150" s="1"/>
  <c r="B91" i="150"/>
  <c r="AX21" i="154"/>
  <c r="B80" i="149"/>
  <c r="B83" i="153"/>
  <c r="B90" i="153" s="1"/>
  <c r="B70" i="153"/>
  <c r="AV21" i="156"/>
  <c r="AX21" i="156" s="1"/>
  <c r="AG27" i="156"/>
  <c r="AG42" i="156" s="1"/>
  <c r="M27" i="156"/>
  <c r="M42" i="156" s="1"/>
  <c r="N27" i="158"/>
  <c r="N42" i="158" s="1"/>
  <c r="AV4" i="158"/>
  <c r="AC19" i="105" l="1"/>
  <c r="AD19" i="105"/>
  <c r="AE19" i="105"/>
  <c r="AF19" i="105"/>
  <c r="Z19" i="105"/>
  <c r="U19" i="105"/>
  <c r="T19" i="105"/>
  <c r="V19" i="105"/>
  <c r="W19" i="105"/>
  <c r="X19" i="105"/>
  <c r="AA19" i="105"/>
  <c r="AB19" i="105"/>
  <c r="Y19" i="105"/>
  <c r="D49" i="149"/>
  <c r="B19" i="186"/>
  <c r="D49" i="185"/>
  <c r="AW19" i="105"/>
  <c r="I19" i="154"/>
  <c r="I27" i="154" s="1"/>
  <c r="I42" i="154" s="1"/>
  <c r="I8" i="159" s="1"/>
  <c r="L19" i="154"/>
  <c r="L27" i="154" s="1"/>
  <c r="L42" i="154" s="1"/>
  <c r="L8" i="159" s="1"/>
  <c r="AW19" i="154"/>
  <c r="AW27" i="154" s="1"/>
  <c r="M19" i="154"/>
  <c r="M27" i="154" s="1"/>
  <c r="M42" i="154" s="1"/>
  <c r="M8" i="159" s="1"/>
  <c r="J19" i="154"/>
  <c r="J27" i="154" s="1"/>
  <c r="J42" i="154" s="1"/>
  <c r="J8" i="159" s="1"/>
  <c r="N19" i="154"/>
  <c r="N27" i="154" s="1"/>
  <c r="N42" i="154" s="1"/>
  <c r="K19" i="154"/>
  <c r="K27" i="154" s="1"/>
  <c r="K42" i="154" s="1"/>
  <c r="K8" i="159" s="1"/>
  <c r="O19" i="154"/>
  <c r="O27" i="154" s="1"/>
  <c r="O42" i="154" s="1"/>
  <c r="P19" i="154"/>
  <c r="P27" i="154" s="1"/>
  <c r="P42" i="154" s="1"/>
  <c r="G19" i="154"/>
  <c r="Q19" i="154"/>
  <c r="Q27" i="154" s="1"/>
  <c r="Q42" i="154" s="1"/>
  <c r="Q8" i="159" s="1"/>
  <c r="R19" i="154"/>
  <c r="R27" i="154" s="1"/>
  <c r="R42" i="154" s="1"/>
  <c r="R8" i="159" s="1"/>
  <c r="H19" i="154"/>
  <c r="H27" i="154" s="1"/>
  <c r="H42" i="154" s="1"/>
  <c r="H8" i="159" s="1"/>
  <c r="B27" i="154"/>
  <c r="B78" i="150"/>
  <c r="D68" i="150"/>
  <c r="B69" i="150"/>
  <c r="B79" i="150"/>
  <c r="B70" i="150"/>
  <c r="B72" i="150"/>
  <c r="B76" i="150" s="1"/>
  <c r="T19" i="156"/>
  <c r="V19" i="156"/>
  <c r="X19" i="156"/>
  <c r="S19" i="156"/>
  <c r="U19" i="156"/>
  <c r="Y19" i="156"/>
  <c r="Z19" i="156"/>
  <c r="W19" i="156"/>
  <c r="AD19" i="156"/>
  <c r="AA19" i="156"/>
  <c r="AW19" i="156"/>
  <c r="AB19" i="156"/>
  <c r="AC19" i="156"/>
  <c r="AE19" i="155"/>
  <c r="AW19" i="155"/>
  <c r="AF19" i="155"/>
  <c r="AH19" i="155"/>
  <c r="AI19" i="155"/>
  <c r="AJ19" i="155"/>
  <c r="AG19" i="155"/>
  <c r="AX21" i="180"/>
  <c r="B89" i="179"/>
  <c r="B90" i="179" s="1"/>
  <c r="B95" i="179"/>
  <c r="O27" i="158"/>
  <c r="O42" i="158" s="1"/>
  <c r="B92" i="150"/>
  <c r="B74" i="149"/>
  <c r="B75" i="149" s="1"/>
  <c r="B81" i="149" s="1"/>
  <c r="B84" i="153"/>
  <c r="B85" i="153" s="1"/>
  <c r="B91" i="153" s="1"/>
  <c r="N27" i="156"/>
  <c r="N42" i="156" s="1"/>
  <c r="AV6" i="158"/>
  <c r="AX6" i="158" s="1"/>
  <c r="AV7" i="158"/>
  <c r="AX7" i="158" s="1"/>
  <c r="AV19" i="105" l="1"/>
  <c r="AX19" i="105" s="1"/>
  <c r="N8" i="159"/>
  <c r="X19" i="186"/>
  <c r="Z19" i="186"/>
  <c r="AL19" i="186"/>
  <c r="AA19" i="186"/>
  <c r="AC19" i="186"/>
  <c r="AE19" i="186"/>
  <c r="AF19" i="186"/>
  <c r="AG19" i="186"/>
  <c r="AH19" i="186"/>
  <c r="W19" i="186"/>
  <c r="AB19" i="186"/>
  <c r="AD19" i="186"/>
  <c r="AI19" i="186"/>
  <c r="AJ19" i="186"/>
  <c r="Y19" i="186"/>
  <c r="AK19" i="186"/>
  <c r="AW19" i="186"/>
  <c r="L5" i="140"/>
  <c r="C76" i="150"/>
  <c r="B77" i="150"/>
  <c r="C77" i="150" s="1"/>
  <c r="B28" i="154"/>
  <c r="J5" i="140"/>
  <c r="B88" i="150"/>
  <c r="B31" i="154"/>
  <c r="D30" i="154" s="1"/>
  <c r="C79" i="150"/>
  <c r="B80" i="150"/>
  <c r="B99" i="150"/>
  <c r="G66" i="150"/>
  <c r="B32" i="154"/>
  <c r="B33" i="154" s="1"/>
  <c r="B87" i="150"/>
  <c r="C78" i="150"/>
  <c r="G65" i="150"/>
  <c r="K5" i="140"/>
  <c r="AV19" i="154"/>
  <c r="G27" i="154"/>
  <c r="G42" i="154" s="1"/>
  <c r="G8" i="159" s="1"/>
  <c r="AV19" i="156"/>
  <c r="AX19" i="156" s="1"/>
  <c r="AV19" i="155"/>
  <c r="AX19" i="155" s="1"/>
  <c r="B96" i="179"/>
  <c r="O27" i="156"/>
  <c r="O42" i="156" s="1"/>
  <c r="O8" i="159" s="1"/>
  <c r="AV5" i="156"/>
  <c r="AV7" i="156"/>
  <c r="AX7" i="156" s="1"/>
  <c r="AV6" i="156"/>
  <c r="AX6" i="156" s="1"/>
  <c r="AV17" i="156"/>
  <c r="AX17" i="156" s="1"/>
  <c r="AV4" i="156"/>
  <c r="P27" i="158"/>
  <c r="P42" i="158" s="1"/>
  <c r="AV5" i="158"/>
  <c r="AV19" i="186" l="1"/>
  <c r="AX19" i="186" s="1"/>
  <c r="C80" i="150"/>
  <c r="D37" i="154"/>
  <c r="D31" i="154"/>
  <c r="E30" i="154" s="1"/>
  <c r="B29" i="154"/>
  <c r="B41" i="154"/>
  <c r="V42" i="154" s="1"/>
  <c r="B42" i="154" s="1"/>
  <c r="B43" i="154" s="1"/>
  <c r="B44" i="154" s="1"/>
  <c r="AX19" i="154"/>
  <c r="AV27" i="154"/>
  <c r="B89" i="150"/>
  <c r="B96" i="150" s="1"/>
  <c r="B36" i="154"/>
  <c r="V37" i="154" s="1"/>
  <c r="AX5" i="156"/>
  <c r="P27" i="156"/>
  <c r="P42" i="156" s="1"/>
  <c r="P8" i="159" s="1"/>
  <c r="AX5" i="158"/>
  <c r="B98" i="150" l="1"/>
  <c r="N5" i="140"/>
  <c r="E37" i="154"/>
  <c r="E31" i="154"/>
  <c r="F30" i="154" s="1"/>
  <c r="F37" i="154" l="1"/>
  <c r="F31" i="154"/>
  <c r="G30" i="154" s="1"/>
  <c r="G37" i="154" s="1"/>
  <c r="G31" i="154" l="1"/>
  <c r="H30" i="154" s="1"/>
  <c r="H31" i="154" l="1"/>
  <c r="I30" i="154" s="1"/>
  <c r="I37" i="154" s="1"/>
  <c r="H37" i="154"/>
  <c r="I31" i="154" l="1"/>
  <c r="J30" i="154" s="1"/>
  <c r="J37" i="154" s="1"/>
  <c r="J31" i="154" l="1"/>
  <c r="K30" i="154" s="1"/>
  <c r="K37" i="154" s="1"/>
  <c r="K31" i="154" l="1"/>
  <c r="L30" i="154" s="1"/>
  <c r="L31" i="154" s="1"/>
  <c r="M30" i="154" s="1"/>
  <c r="M37" i="154" s="1"/>
  <c r="L37" i="154" l="1"/>
  <c r="M31" i="154"/>
  <c r="N30" i="154" s="1"/>
  <c r="N37" i="154" s="1"/>
  <c r="N31" i="154" l="1"/>
  <c r="O30" i="154" s="1"/>
  <c r="O37" i="154" s="1"/>
  <c r="O31" i="154" l="1"/>
  <c r="P30" i="154" s="1"/>
  <c r="P37" i="154" s="1"/>
  <c r="P31" i="154" l="1"/>
  <c r="Q30" i="154" s="1"/>
  <c r="Q37" i="154" l="1"/>
  <c r="Q31" i="154"/>
  <c r="R30" i="154" s="1"/>
  <c r="R37" i="154" l="1"/>
  <c r="R31" i="154"/>
  <c r="S30" i="154" s="1"/>
  <c r="S37" i="154" l="1"/>
  <c r="S31" i="154"/>
  <c r="T30" i="154" s="1"/>
  <c r="T37" i="154" s="1"/>
  <c r="T31" i="154" l="1"/>
  <c r="U30" i="154" s="1"/>
  <c r="U31" i="154" l="1"/>
  <c r="V30" i="154" s="1"/>
  <c r="V31" i="154" s="1"/>
  <c r="W30" i="154" s="1"/>
  <c r="W31" i="154" s="1"/>
  <c r="X30" i="154" s="1"/>
  <c r="X31" i="154" s="1"/>
  <c r="Y30" i="154" s="1"/>
  <c r="Y31" i="154" s="1"/>
  <c r="Z30" i="154" s="1"/>
  <c r="Z31" i="154" s="1"/>
  <c r="AA30" i="154" s="1"/>
  <c r="AA31" i="154" s="1"/>
  <c r="AB30" i="154" s="1"/>
  <c r="AB31" i="154" s="1"/>
  <c r="AC30" i="154" s="1"/>
  <c r="AC31" i="154" s="1"/>
  <c r="AD30" i="154" s="1"/>
  <c r="AD31" i="154" s="1"/>
  <c r="AE30" i="154" s="1"/>
  <c r="AE31" i="154" s="1"/>
  <c r="AF30" i="154" s="1"/>
  <c r="AF31" i="154" s="1"/>
  <c r="AG30" i="154" s="1"/>
  <c r="AG31" i="154" s="1"/>
  <c r="AH30" i="154" s="1"/>
  <c r="AH31" i="154" s="1"/>
  <c r="AI30" i="154" s="1"/>
  <c r="AI31" i="154" s="1"/>
  <c r="AJ30" i="154" s="1"/>
  <c r="AJ31" i="154" s="1"/>
  <c r="AK30" i="154" s="1"/>
  <c r="AK31" i="154" s="1"/>
  <c r="AL30" i="154" s="1"/>
  <c r="AL31" i="154" s="1"/>
  <c r="AM30" i="154" s="1"/>
  <c r="AM31" i="154" s="1"/>
  <c r="AN30" i="154" s="1"/>
  <c r="AN31" i="154" s="1"/>
  <c r="AO30" i="154" s="1"/>
  <c r="AO31" i="154" s="1"/>
  <c r="AP30" i="154" s="1"/>
  <c r="AP31" i="154" s="1"/>
  <c r="AQ30" i="154" s="1"/>
  <c r="AQ31" i="154" s="1"/>
  <c r="AR30" i="154" s="1"/>
  <c r="AR31" i="154" s="1"/>
  <c r="AS30" i="154" s="1"/>
  <c r="AS31" i="154" s="1"/>
  <c r="AT30" i="154" s="1"/>
  <c r="AT31" i="154" s="1"/>
  <c r="AU30" i="154" s="1"/>
  <c r="AU31" i="154" s="1"/>
  <c r="U37" i="154"/>
  <c r="B37" i="154" s="1"/>
  <c r="B38" i="154" s="1"/>
  <c r="B39" i="154" s="1"/>
  <c r="B97" i="150" s="1"/>
  <c r="M5" i="140" s="1"/>
  <c r="D54" i="149"/>
  <c r="B23" i="105"/>
  <c r="B30" i="154" l="1"/>
  <c r="AW23" i="105"/>
  <c r="T23" i="105"/>
  <c r="I26" i="105"/>
  <c r="I41" i="105" s="1"/>
  <c r="D26" i="105"/>
  <c r="D41" i="105" s="1"/>
  <c r="AV23" i="105" l="1"/>
  <c r="AX23" i="105" s="1"/>
  <c r="C26" i="105"/>
  <c r="C41" i="105" l="1"/>
  <c r="C8" i="159" s="1"/>
  <c r="C29" i="105"/>
  <c r="C36" i="105" l="1"/>
  <c r="C4" i="159" s="1"/>
  <c r="C30" i="105"/>
  <c r="F19" i="140" l="1"/>
  <c r="F24" i="140" s="1"/>
  <c r="C51" i="157" s="1"/>
  <c r="E19" i="140"/>
  <c r="E24" i="140" s="1"/>
  <c r="C52" i="153" s="1"/>
  <c r="B12" i="156" s="1"/>
  <c r="AC12" i="156" s="1"/>
  <c r="G19" i="140"/>
  <c r="G24" i="140" s="1"/>
  <c r="D57" i="157"/>
  <c r="H24" i="140"/>
  <c r="B24" i="140"/>
  <c r="C19" i="140"/>
  <c r="C42" i="149" s="1"/>
  <c r="C24" i="140" l="1"/>
  <c r="D42" i="149"/>
  <c r="C50" i="160"/>
  <c r="C57" i="179"/>
  <c r="C55" i="157"/>
  <c r="B12" i="158"/>
  <c r="D51" i="157"/>
  <c r="B18" i="158"/>
  <c r="U12" i="156"/>
  <c r="T12" i="156"/>
  <c r="D52" i="153"/>
  <c r="AD12" i="156"/>
  <c r="AA12" i="156"/>
  <c r="Y12" i="156"/>
  <c r="V12" i="156"/>
  <c r="C56" i="153"/>
  <c r="C67" i="153" s="1"/>
  <c r="B12" i="105"/>
  <c r="C46" i="149"/>
  <c r="S12" i="156"/>
  <c r="AW12" i="156"/>
  <c r="X12" i="156"/>
  <c r="AB12" i="156"/>
  <c r="W12" i="156"/>
  <c r="Z12" i="156"/>
  <c r="AW18" i="158" l="1"/>
  <c r="Y18" i="158"/>
  <c r="Z18" i="158"/>
  <c r="AA18" i="158"/>
  <c r="AB18" i="158"/>
  <c r="AC18" i="158"/>
  <c r="V18" i="158"/>
  <c r="AD18" i="158"/>
  <c r="S18" i="158"/>
  <c r="T18" i="158"/>
  <c r="U18" i="158"/>
  <c r="W18" i="158"/>
  <c r="X18" i="158"/>
  <c r="V12" i="105"/>
  <c r="W12" i="105"/>
  <c r="X12" i="105"/>
  <c r="Y12" i="105"/>
  <c r="U12" i="105"/>
  <c r="Z12" i="105"/>
  <c r="AA12" i="105"/>
  <c r="T12" i="105"/>
  <c r="AB12" i="105"/>
  <c r="AF12" i="105"/>
  <c r="AC12" i="105"/>
  <c r="AE12" i="105"/>
  <c r="AD12" i="105"/>
  <c r="B12" i="186"/>
  <c r="D42" i="185"/>
  <c r="C46" i="185"/>
  <c r="C57" i="185" s="1"/>
  <c r="B69" i="153"/>
  <c r="B68" i="153"/>
  <c r="B71" i="153"/>
  <c r="B75" i="153" s="1"/>
  <c r="B76" i="153" s="1"/>
  <c r="D67" i="153"/>
  <c r="AV12" i="156"/>
  <c r="AX12" i="156" s="1"/>
  <c r="AW12" i="105"/>
  <c r="AD12" i="158"/>
  <c r="Z12" i="158"/>
  <c r="T12" i="158"/>
  <c r="U12" i="158"/>
  <c r="V12" i="158"/>
  <c r="X12" i="158"/>
  <c r="AA12" i="158"/>
  <c r="S12" i="158"/>
  <c r="Y12" i="158"/>
  <c r="AB12" i="158"/>
  <c r="W12" i="158"/>
  <c r="AC12" i="158"/>
  <c r="AW12" i="158"/>
  <c r="B16" i="105"/>
  <c r="D46" i="149"/>
  <c r="B16" i="158"/>
  <c r="D55" i="157"/>
  <c r="C66" i="157"/>
  <c r="B16" i="156"/>
  <c r="D56" i="153"/>
  <c r="C57" i="149"/>
  <c r="B61" i="149" s="1"/>
  <c r="D57" i="179"/>
  <c r="C61" i="179"/>
  <c r="C72" i="179" s="1"/>
  <c r="I10" i="140" s="1"/>
  <c r="B12" i="180"/>
  <c r="D50" i="160"/>
  <c r="C54" i="160"/>
  <c r="B12" i="155"/>
  <c r="AV18" i="158" l="1"/>
  <c r="AX18" i="158" s="1"/>
  <c r="AV12" i="105"/>
  <c r="AW12" i="186"/>
  <c r="X12" i="186"/>
  <c r="AJ12" i="186"/>
  <c r="Y12" i="186"/>
  <c r="AK12" i="186"/>
  <c r="Z12" i="186"/>
  <c r="AL12" i="186"/>
  <c r="AI12" i="186"/>
  <c r="AA12" i="186"/>
  <c r="AC12" i="186"/>
  <c r="AB12" i="186"/>
  <c r="AG12" i="186"/>
  <c r="AD12" i="186"/>
  <c r="AE12" i="186"/>
  <c r="W12" i="186"/>
  <c r="AH12" i="186"/>
  <c r="AF12" i="186"/>
  <c r="B61" i="185"/>
  <c r="L4" i="140"/>
  <c r="B65" i="149"/>
  <c r="B66" i="149" s="1"/>
  <c r="C66" i="149" s="1"/>
  <c r="B59" i="185"/>
  <c r="D57" i="185"/>
  <c r="B16" i="186"/>
  <c r="D46" i="185"/>
  <c r="B77" i="153"/>
  <c r="B78" i="153"/>
  <c r="AV12" i="158"/>
  <c r="B76" i="179"/>
  <c r="B80" i="179" s="1"/>
  <c r="B81" i="179" s="1"/>
  <c r="C81" i="179" s="1"/>
  <c r="B83" i="179"/>
  <c r="B82" i="179"/>
  <c r="B74" i="179"/>
  <c r="B73" i="179"/>
  <c r="D72" i="179"/>
  <c r="B16" i="155"/>
  <c r="B27" i="155" s="1"/>
  <c r="B29" i="155" s="1"/>
  <c r="D54" i="160"/>
  <c r="AW16" i="158"/>
  <c r="S16" i="158"/>
  <c r="S27" i="158" s="1"/>
  <c r="S42" i="158" s="1"/>
  <c r="AC16" i="158"/>
  <c r="AC27" i="158" s="1"/>
  <c r="AC42" i="158" s="1"/>
  <c r="U16" i="158"/>
  <c r="U27" i="158" s="1"/>
  <c r="U42" i="158" s="1"/>
  <c r="Z16" i="158"/>
  <c r="Z27" i="158" s="1"/>
  <c r="Z42" i="158" s="1"/>
  <c r="AD16" i="158"/>
  <c r="AD27" i="158" s="1"/>
  <c r="AD42" i="158" s="1"/>
  <c r="T16" i="158"/>
  <c r="T27" i="158" s="1"/>
  <c r="T42" i="158" s="1"/>
  <c r="AB16" i="158"/>
  <c r="AB27" i="158" s="1"/>
  <c r="AB42" i="158" s="1"/>
  <c r="AA16" i="158"/>
  <c r="AA27" i="158" s="1"/>
  <c r="AA42" i="158" s="1"/>
  <c r="Y16" i="158"/>
  <c r="Y27" i="158" s="1"/>
  <c r="Y42" i="158" s="1"/>
  <c r="X16" i="158"/>
  <c r="X27" i="158" s="1"/>
  <c r="X42" i="158" s="1"/>
  <c r="V16" i="158"/>
  <c r="V27" i="158" s="1"/>
  <c r="V42" i="158" s="1"/>
  <c r="W16" i="158"/>
  <c r="W27" i="158" s="1"/>
  <c r="W42" i="158" s="1"/>
  <c r="AI12" i="155"/>
  <c r="AE12" i="155"/>
  <c r="AH12" i="155"/>
  <c r="AW12" i="155"/>
  <c r="AG12" i="155"/>
  <c r="AF12" i="155"/>
  <c r="AJ12" i="155"/>
  <c r="D57" i="149"/>
  <c r="B59" i="149"/>
  <c r="I4" i="140"/>
  <c r="B68" i="149"/>
  <c r="B67" i="149"/>
  <c r="C65" i="160"/>
  <c r="I9" i="140" s="1"/>
  <c r="AW16" i="156"/>
  <c r="S16" i="156"/>
  <c r="AC16" i="156"/>
  <c r="AC27" i="156" s="1"/>
  <c r="AC42" i="156" s="1"/>
  <c r="X16" i="156"/>
  <c r="X27" i="156" s="1"/>
  <c r="X42" i="156" s="1"/>
  <c r="V16" i="156"/>
  <c r="V27" i="156" s="1"/>
  <c r="V42" i="156" s="1"/>
  <c r="U16" i="156"/>
  <c r="U27" i="156" s="1"/>
  <c r="U42" i="156" s="1"/>
  <c r="T16" i="156"/>
  <c r="T27" i="156" s="1"/>
  <c r="T42" i="156" s="1"/>
  <c r="Z16" i="156"/>
  <c r="Z27" i="156" s="1"/>
  <c r="Z42" i="156" s="1"/>
  <c r="W16" i="156"/>
  <c r="W27" i="156" s="1"/>
  <c r="W42" i="156" s="1"/>
  <c r="AB16" i="156"/>
  <c r="AB27" i="156" s="1"/>
  <c r="AB42" i="156" s="1"/>
  <c r="Y16" i="156"/>
  <c r="Y27" i="156" s="1"/>
  <c r="Y42" i="156" s="1"/>
  <c r="AA16" i="156"/>
  <c r="AA27" i="156" s="1"/>
  <c r="AA42" i="156" s="1"/>
  <c r="AD16" i="156"/>
  <c r="AD27" i="156" s="1"/>
  <c r="AD42" i="156" s="1"/>
  <c r="B27" i="156"/>
  <c r="AW16" i="105"/>
  <c r="AW26" i="105" s="1"/>
  <c r="AE16" i="105"/>
  <c r="AE26" i="105" s="1"/>
  <c r="AE41" i="105" s="1"/>
  <c r="AC16" i="105"/>
  <c r="AC26" i="105" s="1"/>
  <c r="AC41" i="105" s="1"/>
  <c r="U16" i="105"/>
  <c r="U26" i="105" s="1"/>
  <c r="U41" i="105" s="1"/>
  <c r="Z16" i="105"/>
  <c r="Z26" i="105" s="1"/>
  <c r="Z41" i="105" s="1"/>
  <c r="W16" i="105"/>
  <c r="W26" i="105" s="1"/>
  <c r="W41" i="105" s="1"/>
  <c r="T16" i="105"/>
  <c r="AF16" i="105"/>
  <c r="AF26" i="105" s="1"/>
  <c r="AF41" i="105" s="1"/>
  <c r="AD16" i="105"/>
  <c r="AD26" i="105" s="1"/>
  <c r="AD41" i="105" s="1"/>
  <c r="AB16" i="105"/>
  <c r="AB26" i="105" s="1"/>
  <c r="AB41" i="105" s="1"/>
  <c r="X16" i="105"/>
  <c r="X26" i="105" s="1"/>
  <c r="X41" i="105" s="1"/>
  <c r="Y16" i="105"/>
  <c r="Y26" i="105" s="1"/>
  <c r="Y41" i="105" s="1"/>
  <c r="V16" i="105"/>
  <c r="V26" i="105" s="1"/>
  <c r="V41" i="105" s="1"/>
  <c r="AA16" i="105"/>
  <c r="AA26" i="105" s="1"/>
  <c r="AA41" i="105" s="1"/>
  <c r="L7" i="140"/>
  <c r="B28" i="156"/>
  <c r="B41" i="156" s="1"/>
  <c r="AJ42" i="156" s="1"/>
  <c r="Y12" i="180"/>
  <c r="U12" i="180"/>
  <c r="AW12" i="180"/>
  <c r="AH12" i="180"/>
  <c r="AC12" i="180"/>
  <c r="AE12" i="180"/>
  <c r="AF12" i="180"/>
  <c r="T12" i="180"/>
  <c r="AA12" i="180"/>
  <c r="W12" i="180"/>
  <c r="S12" i="180"/>
  <c r="AB12" i="180"/>
  <c r="AD12" i="180"/>
  <c r="AG12" i="180"/>
  <c r="Z12" i="180"/>
  <c r="V12" i="180"/>
  <c r="X12" i="180"/>
  <c r="B16" i="180"/>
  <c r="D61" i="179"/>
  <c r="B68" i="157"/>
  <c r="B67" i="157"/>
  <c r="B76" i="157"/>
  <c r="D66" i="157"/>
  <c r="B70" i="157"/>
  <c r="B74" i="157" s="1"/>
  <c r="B75" i="157" s="1"/>
  <c r="C75" i="157" s="1"/>
  <c r="B77" i="157"/>
  <c r="AX12" i="105"/>
  <c r="B27" i="158"/>
  <c r="B26" i="105"/>
  <c r="AV12" i="186" l="1"/>
  <c r="AX12" i="186" s="1"/>
  <c r="AI16" i="186"/>
  <c r="AI26" i="186" s="1"/>
  <c r="AI41" i="186" s="1"/>
  <c r="X16" i="186"/>
  <c r="X26" i="186" s="1"/>
  <c r="X41" i="186" s="1"/>
  <c r="AL16" i="186"/>
  <c r="AL26" i="186" s="1"/>
  <c r="AL41" i="186" s="1"/>
  <c r="AA16" i="186"/>
  <c r="AA26" i="186" s="1"/>
  <c r="AA41" i="186" s="1"/>
  <c r="AB16" i="186"/>
  <c r="AB26" i="186" s="1"/>
  <c r="AB41" i="186" s="1"/>
  <c r="AC16" i="186"/>
  <c r="AC26" i="186" s="1"/>
  <c r="AC41" i="186" s="1"/>
  <c r="AF16" i="186"/>
  <c r="AF26" i="186" s="1"/>
  <c r="AF41" i="186" s="1"/>
  <c r="AD16" i="186"/>
  <c r="AD26" i="186" s="1"/>
  <c r="AD41" i="186" s="1"/>
  <c r="AE16" i="186"/>
  <c r="AE26" i="186" s="1"/>
  <c r="AE41" i="186" s="1"/>
  <c r="W16" i="186"/>
  <c r="W26" i="186" s="1"/>
  <c r="W41" i="186" s="1"/>
  <c r="AG16" i="186"/>
  <c r="AG26" i="186" s="1"/>
  <c r="AG41" i="186" s="1"/>
  <c r="AH16" i="186"/>
  <c r="AH26" i="186" s="1"/>
  <c r="AH41" i="186" s="1"/>
  <c r="AJ16" i="186"/>
  <c r="AJ26" i="186" s="1"/>
  <c r="AJ41" i="186" s="1"/>
  <c r="Y16" i="186"/>
  <c r="Y26" i="186" s="1"/>
  <c r="Y41" i="186" s="1"/>
  <c r="AK16" i="186"/>
  <c r="AK26" i="186" s="1"/>
  <c r="AK41" i="186" s="1"/>
  <c r="Z16" i="186"/>
  <c r="Z26" i="186" s="1"/>
  <c r="Z41" i="186" s="1"/>
  <c r="B65" i="185"/>
  <c r="L13" i="140"/>
  <c r="B27" i="105"/>
  <c r="B40" i="105" s="1"/>
  <c r="AJ41" i="105" s="1"/>
  <c r="C65" i="149"/>
  <c r="B26" i="186"/>
  <c r="V26" i="186"/>
  <c r="V41" i="186" s="1"/>
  <c r="U26" i="186"/>
  <c r="U41" i="186" s="1"/>
  <c r="AW16" i="186"/>
  <c r="AW26" i="186" s="1"/>
  <c r="B69" i="149"/>
  <c r="B76" i="149"/>
  <c r="C67" i="149"/>
  <c r="K4" i="140"/>
  <c r="G54" i="149"/>
  <c r="B31" i="105"/>
  <c r="B32" i="105" s="1"/>
  <c r="G55" i="149"/>
  <c r="B35" i="105"/>
  <c r="AJ36" i="105" s="1"/>
  <c r="B30" i="105"/>
  <c r="D29" i="105" s="1"/>
  <c r="C68" i="149"/>
  <c r="B77" i="149"/>
  <c r="J4" i="140"/>
  <c r="AV12" i="155"/>
  <c r="B91" i="179"/>
  <c r="K10" i="140"/>
  <c r="B32" i="180"/>
  <c r="B33" i="180" s="1"/>
  <c r="B84" i="179"/>
  <c r="B103" i="179"/>
  <c r="G70" i="179"/>
  <c r="G69" i="179"/>
  <c r="C82" i="179"/>
  <c r="B85" i="157"/>
  <c r="B32" i="158"/>
  <c r="B33" i="158" s="1"/>
  <c r="K8" i="140"/>
  <c r="B78" i="157"/>
  <c r="C78" i="157" s="1"/>
  <c r="C76" i="157"/>
  <c r="B96" i="157"/>
  <c r="G64" i="157"/>
  <c r="G63" i="157"/>
  <c r="AV16" i="158"/>
  <c r="AX16" i="158" s="1"/>
  <c r="B31" i="180"/>
  <c r="B92" i="179"/>
  <c r="C83" i="179"/>
  <c r="J10" i="140"/>
  <c r="L10" i="140"/>
  <c r="B28" i="180"/>
  <c r="B41" i="180" s="1"/>
  <c r="C80" i="179"/>
  <c r="AW27" i="158"/>
  <c r="B31" i="158"/>
  <c r="D30" i="158" s="1"/>
  <c r="B86" i="157"/>
  <c r="J8" i="140"/>
  <c r="C77" i="157"/>
  <c r="B29" i="156"/>
  <c r="AV16" i="156"/>
  <c r="AV27" i="156" s="1"/>
  <c r="S27" i="156"/>
  <c r="S42" i="156" s="1"/>
  <c r="AX12" i="158"/>
  <c r="AV12" i="180"/>
  <c r="AX12" i="180" s="1"/>
  <c r="Z16" i="180"/>
  <c r="Z27" i="180" s="1"/>
  <c r="Z42" i="180" s="1"/>
  <c r="X16" i="180"/>
  <c r="X27" i="180" s="1"/>
  <c r="AG16" i="180"/>
  <c r="AG27" i="180" s="1"/>
  <c r="AG42" i="180" s="1"/>
  <c r="T16" i="180"/>
  <c r="T27" i="180" s="1"/>
  <c r="T42" i="180" s="1"/>
  <c r="AE16" i="180"/>
  <c r="AE27" i="180" s="1"/>
  <c r="AE42" i="180" s="1"/>
  <c r="AD16" i="180"/>
  <c r="AD27" i="180" s="1"/>
  <c r="AD42" i="180" s="1"/>
  <c r="AH16" i="180"/>
  <c r="AH27" i="180" s="1"/>
  <c r="AH42" i="180" s="1"/>
  <c r="U16" i="180"/>
  <c r="U27" i="180" s="1"/>
  <c r="U42" i="180" s="1"/>
  <c r="U8" i="159" s="1"/>
  <c r="AC16" i="180"/>
  <c r="AC27" i="180" s="1"/>
  <c r="AC42" i="180" s="1"/>
  <c r="AW16" i="180"/>
  <c r="AW27" i="180" s="1"/>
  <c r="V16" i="180"/>
  <c r="V27" i="180" s="1"/>
  <c r="V42" i="180" s="1"/>
  <c r="V8" i="159" s="1"/>
  <c r="W16" i="180"/>
  <c r="W27" i="180" s="1"/>
  <c r="W42" i="180" s="1"/>
  <c r="AA16" i="180"/>
  <c r="AA27" i="180" s="1"/>
  <c r="AA42" i="180" s="1"/>
  <c r="S16" i="180"/>
  <c r="S27" i="180" s="1"/>
  <c r="S42" i="180" s="1"/>
  <c r="AB16" i="180"/>
  <c r="AB27" i="180" s="1"/>
  <c r="AB42" i="180" s="1"/>
  <c r="Y16" i="180"/>
  <c r="Y27" i="180" s="1"/>
  <c r="Y42" i="180" s="1"/>
  <c r="AF16" i="180"/>
  <c r="AF27" i="180" s="1"/>
  <c r="AF42" i="180" s="1"/>
  <c r="B27" i="180"/>
  <c r="B28" i="158"/>
  <c r="B41" i="158" s="1"/>
  <c r="AJ42" i="158" s="1"/>
  <c r="L8" i="140"/>
  <c r="C74" i="157"/>
  <c r="T26" i="105"/>
  <c r="T41" i="105" s="1"/>
  <c r="AV16" i="105"/>
  <c r="AV26" i="105" s="1"/>
  <c r="AW27" i="156"/>
  <c r="AW16" i="155"/>
  <c r="AI16" i="155"/>
  <c r="AI27" i="155" s="1"/>
  <c r="AI42" i="155" s="1"/>
  <c r="AI8" i="159" s="1"/>
  <c r="AE16" i="155"/>
  <c r="AE27" i="155" s="1"/>
  <c r="AE42" i="155" s="1"/>
  <c r="AH16" i="155"/>
  <c r="AH27" i="155" s="1"/>
  <c r="AH42" i="155" s="1"/>
  <c r="AG16" i="155"/>
  <c r="AG27" i="155" s="1"/>
  <c r="AG42" i="155" s="1"/>
  <c r="AJ16" i="155"/>
  <c r="AJ27" i="155" s="1"/>
  <c r="AJ42" i="155" s="1"/>
  <c r="AF16" i="155"/>
  <c r="AF27" i="155" s="1"/>
  <c r="AF42" i="155" s="1"/>
  <c r="C78" i="153"/>
  <c r="J7" i="140"/>
  <c r="B87" i="153"/>
  <c r="B31" i="156"/>
  <c r="B69" i="160"/>
  <c r="B73" i="160" s="1"/>
  <c r="B66" i="160"/>
  <c r="B75" i="160"/>
  <c r="B67" i="160"/>
  <c r="I15" i="140"/>
  <c r="B76" i="160"/>
  <c r="D65" i="160"/>
  <c r="K7" i="140"/>
  <c r="G64" i="153"/>
  <c r="G65" i="153"/>
  <c r="B86" i="153"/>
  <c r="C77" i="153"/>
  <c r="B79" i="153"/>
  <c r="B97" i="153"/>
  <c r="B32" i="156"/>
  <c r="AH8" i="159" l="1"/>
  <c r="AG8" i="159"/>
  <c r="T8" i="159"/>
  <c r="Y8" i="159"/>
  <c r="AA8" i="159"/>
  <c r="Z8" i="159"/>
  <c r="AC8" i="159"/>
  <c r="AB8" i="159"/>
  <c r="AD8" i="159"/>
  <c r="S8" i="159"/>
  <c r="W8" i="159"/>
  <c r="B27" i="186"/>
  <c r="B40" i="186" s="1"/>
  <c r="AP41" i="186" s="1"/>
  <c r="C65" i="185"/>
  <c r="B66" i="185"/>
  <c r="AF8" i="159"/>
  <c r="AE8" i="159"/>
  <c r="C69" i="149"/>
  <c r="B28" i="105"/>
  <c r="C84" i="179"/>
  <c r="AV16" i="186"/>
  <c r="T26" i="186"/>
  <c r="T41" i="186" s="1"/>
  <c r="B29" i="180"/>
  <c r="B29" i="158"/>
  <c r="B88" i="153"/>
  <c r="B95" i="153" s="1"/>
  <c r="AJ42" i="180"/>
  <c r="AJ8" i="159" s="1"/>
  <c r="X42" i="180"/>
  <c r="X8" i="159" s="1"/>
  <c r="D37" i="158"/>
  <c r="D31" i="158"/>
  <c r="E30" i="158" s="1"/>
  <c r="E37" i="158" s="1"/>
  <c r="B84" i="160"/>
  <c r="G63" i="160"/>
  <c r="B95" i="160"/>
  <c r="B77" i="160"/>
  <c r="C77" i="160" s="1"/>
  <c r="G62" i="160"/>
  <c r="B32" i="155"/>
  <c r="B33" i="155" s="1"/>
  <c r="C75" i="160"/>
  <c r="K9" i="140"/>
  <c r="AL42" i="180"/>
  <c r="AQ42" i="180"/>
  <c r="AR42" i="180"/>
  <c r="D30" i="180"/>
  <c r="AN42" i="180"/>
  <c r="AP42" i="180"/>
  <c r="AM42" i="180"/>
  <c r="AK42" i="180"/>
  <c r="AO42" i="180"/>
  <c r="B93" i="179"/>
  <c r="B100" i="179" s="1"/>
  <c r="B36" i="180"/>
  <c r="AJ37" i="180" s="1"/>
  <c r="D36" i="105"/>
  <c r="D30" i="105"/>
  <c r="E29" i="105" s="1"/>
  <c r="E36" i="105" s="1"/>
  <c r="C73" i="160"/>
  <c r="L9" i="140"/>
  <c r="L15" i="140" s="1"/>
  <c r="B36" i="158"/>
  <c r="AJ37" i="158" s="1"/>
  <c r="B87" i="157"/>
  <c r="B94" i="157" s="1"/>
  <c r="B78" i="149"/>
  <c r="B85" i="149" s="1"/>
  <c r="AV16" i="155"/>
  <c r="AV27" i="155" s="1"/>
  <c r="B42" i="158"/>
  <c r="B43" i="158" s="1"/>
  <c r="B44" i="158" s="1"/>
  <c r="N8" i="140" s="1"/>
  <c r="AV27" i="158"/>
  <c r="AX16" i="105"/>
  <c r="AM42" i="156"/>
  <c r="AP42" i="156"/>
  <c r="AN42" i="156"/>
  <c r="AS42" i="156"/>
  <c r="AO42" i="156"/>
  <c r="D30" i="156"/>
  <c r="AL42" i="156"/>
  <c r="AT42" i="156"/>
  <c r="AR42" i="156"/>
  <c r="AQ42" i="156"/>
  <c r="AK42" i="156"/>
  <c r="AU42" i="156"/>
  <c r="AX16" i="156"/>
  <c r="B74" i="160"/>
  <c r="C74" i="160" s="1"/>
  <c r="AW27" i="155"/>
  <c r="B33" i="156"/>
  <c r="B36" i="156"/>
  <c r="AJ37" i="156" s="1"/>
  <c r="B31" i="155"/>
  <c r="B85" i="160"/>
  <c r="C76" i="160"/>
  <c r="J9" i="140"/>
  <c r="C79" i="153"/>
  <c r="B41" i="105"/>
  <c r="B42" i="105" s="1"/>
  <c r="B43" i="105" s="1"/>
  <c r="AV16" i="180"/>
  <c r="AV27" i="180" s="1"/>
  <c r="AX12" i="155"/>
  <c r="C66" i="185" l="1"/>
  <c r="B68" i="185"/>
  <c r="B67" i="185"/>
  <c r="AQ8" i="159"/>
  <c r="AR8" i="159"/>
  <c r="AL8" i="159"/>
  <c r="B87" i="149"/>
  <c r="N4" i="140"/>
  <c r="AK8" i="159"/>
  <c r="B41" i="186"/>
  <c r="B42" i="186" s="1"/>
  <c r="B43" i="186" s="1"/>
  <c r="AP8" i="159"/>
  <c r="AO8" i="159"/>
  <c r="AN8" i="159"/>
  <c r="AM8" i="159"/>
  <c r="B28" i="186"/>
  <c r="AX16" i="186"/>
  <c r="AV26" i="186"/>
  <c r="B42" i="180"/>
  <c r="B43" i="180" s="1"/>
  <c r="B44" i="180" s="1"/>
  <c r="AX16" i="155"/>
  <c r="E30" i="105"/>
  <c r="F29" i="105" s="1"/>
  <c r="D37" i="180"/>
  <c r="D31" i="180"/>
  <c r="E30" i="180" s="1"/>
  <c r="E37" i="180" s="1"/>
  <c r="E31" i="158"/>
  <c r="F30" i="158" s="1"/>
  <c r="F31" i="158" s="1"/>
  <c r="G30" i="158" s="1"/>
  <c r="G37" i="158" s="1"/>
  <c r="B86" i="160"/>
  <c r="B93" i="160" s="1"/>
  <c r="B36" i="155"/>
  <c r="AN37" i="155" s="1"/>
  <c r="B42" i="156"/>
  <c r="B43" i="156" s="1"/>
  <c r="B44" i="156" s="1"/>
  <c r="N7" i="140" s="1"/>
  <c r="D31" i="156"/>
  <c r="E30" i="156" s="1"/>
  <c r="E37" i="156" s="1"/>
  <c r="D37" i="156"/>
  <c r="AX16" i="180"/>
  <c r="AU42" i="155"/>
  <c r="AU8" i="159" s="1"/>
  <c r="D30" i="155"/>
  <c r="AS42" i="155"/>
  <c r="AS8" i="159" s="1"/>
  <c r="AT42" i="155"/>
  <c r="AT8" i="159" s="1"/>
  <c r="K13" i="140" l="1"/>
  <c r="K15" i="140" s="1"/>
  <c r="C67" i="185"/>
  <c r="G54" i="185"/>
  <c r="B69" i="185"/>
  <c r="B35" i="186"/>
  <c r="AP36" i="186" s="1"/>
  <c r="AP4" i="159" s="1"/>
  <c r="B31" i="186"/>
  <c r="B32" i="186" s="1"/>
  <c r="G55" i="185"/>
  <c r="B76" i="185"/>
  <c r="J13" i="140"/>
  <c r="J15" i="140" s="1"/>
  <c r="B77" i="185"/>
  <c r="B30" i="186"/>
  <c r="C68" i="185"/>
  <c r="B87" i="185"/>
  <c r="N13" i="140"/>
  <c r="B102" i="179"/>
  <c r="N10" i="140"/>
  <c r="E31" i="156"/>
  <c r="F30" i="156" s="1"/>
  <c r="F37" i="156" s="1"/>
  <c r="G31" i="158"/>
  <c r="H30" i="158" s="1"/>
  <c r="H31" i="158" s="1"/>
  <c r="I30" i="158" s="1"/>
  <c r="I37" i="158" s="1"/>
  <c r="D31" i="155"/>
  <c r="E30" i="155" s="1"/>
  <c r="E37" i="155" s="1"/>
  <c r="D37" i="155"/>
  <c r="E31" i="180"/>
  <c r="F30" i="180" s="1"/>
  <c r="B42" i="155"/>
  <c r="B43" i="155" s="1"/>
  <c r="B44" i="155" s="1"/>
  <c r="N9" i="140" s="1"/>
  <c r="B8" i="159"/>
  <c r="B9" i="159" s="1"/>
  <c r="B10" i="159" s="1"/>
  <c r="N15" i="140" s="1"/>
  <c r="F30" i="105"/>
  <c r="G29" i="105" s="1"/>
  <c r="G30" i="105" s="1"/>
  <c r="H29" i="105" s="1"/>
  <c r="H36" i="105" s="1"/>
  <c r="F37" i="158"/>
  <c r="F36" i="105"/>
  <c r="C69" i="185" l="1"/>
  <c r="D29" i="186"/>
  <c r="D36" i="186" s="1"/>
  <c r="D4" i="159" s="1"/>
  <c r="B78" i="185"/>
  <c r="B85" i="185" s="1"/>
  <c r="F31" i="156"/>
  <c r="G30" i="156" s="1"/>
  <c r="G31" i="156" s="1"/>
  <c r="H30" i="156" s="1"/>
  <c r="H31" i="156" s="1"/>
  <c r="I30" i="156" s="1"/>
  <c r="I37" i="156" s="1"/>
  <c r="E31" i="155"/>
  <c r="F30" i="155" s="1"/>
  <c r="F37" i="155" s="1"/>
  <c r="H30" i="105"/>
  <c r="I29" i="105" s="1"/>
  <c r="I30" i="105" s="1"/>
  <c r="J29" i="105" s="1"/>
  <c r="J36" i="105" s="1"/>
  <c r="G36" i="105"/>
  <c r="H37" i="158"/>
  <c r="I31" i="158"/>
  <c r="J30" i="158" s="1"/>
  <c r="J37" i="158" s="1"/>
  <c r="F37" i="180"/>
  <c r="F31" i="180"/>
  <c r="G30" i="180" s="1"/>
  <c r="D30" i="186" l="1"/>
  <c r="E29" i="186" s="1"/>
  <c r="F31" i="155"/>
  <c r="G30" i="155" s="1"/>
  <c r="J31" i="158"/>
  <c r="K30" i="158" s="1"/>
  <c r="K37" i="158" s="1"/>
  <c r="G37" i="156"/>
  <c r="I36" i="105"/>
  <c r="G37" i="180"/>
  <c r="J30" i="105"/>
  <c r="K29" i="105" s="1"/>
  <c r="K36" i="105" s="1"/>
  <c r="H37" i="156"/>
  <c r="I31" i="156"/>
  <c r="J30" i="156" s="1"/>
  <c r="G31" i="180"/>
  <c r="H30" i="180" s="1"/>
  <c r="E36" i="186" l="1"/>
  <c r="E4" i="159" s="1"/>
  <c r="E30" i="186"/>
  <c r="F29" i="186" s="1"/>
  <c r="F36" i="186" s="1"/>
  <c r="F4" i="159" s="1"/>
  <c r="G37" i="155"/>
  <c r="G31" i="155"/>
  <c r="H30" i="155" s="1"/>
  <c r="H37" i="155" s="1"/>
  <c r="K31" i="158"/>
  <c r="L30" i="158" s="1"/>
  <c r="L37" i="158" s="1"/>
  <c r="J31" i="156"/>
  <c r="K30" i="156" s="1"/>
  <c r="K30" i="105"/>
  <c r="L29" i="105" s="1"/>
  <c r="L36" i="105" s="1"/>
  <c r="H37" i="180"/>
  <c r="J37" i="156"/>
  <c r="H31" i="180"/>
  <c r="I30" i="180" s="1"/>
  <c r="F30" i="186" l="1"/>
  <c r="G29" i="186" s="1"/>
  <c r="G30" i="186" s="1"/>
  <c r="H29" i="186" s="1"/>
  <c r="H31" i="155"/>
  <c r="I30" i="155" s="1"/>
  <c r="L31" i="158"/>
  <c r="M30" i="158" s="1"/>
  <c r="K37" i="156"/>
  <c r="K31" i="156"/>
  <c r="L30" i="156" s="1"/>
  <c r="L37" i="156" s="1"/>
  <c r="I31" i="180"/>
  <c r="J30" i="180" s="1"/>
  <c r="L30" i="105"/>
  <c r="M29" i="105" s="1"/>
  <c r="I37" i="180"/>
  <c r="G36" i="186" l="1"/>
  <c r="G4" i="159" s="1"/>
  <c r="H36" i="186"/>
  <c r="H4" i="159" s="1"/>
  <c r="H30" i="186"/>
  <c r="I29" i="186" s="1"/>
  <c r="I36" i="186" s="1"/>
  <c r="I31" i="155"/>
  <c r="J30" i="155" s="1"/>
  <c r="I37" i="155"/>
  <c r="I4" i="159" s="1"/>
  <c r="M37" i="158"/>
  <c r="M31" i="158"/>
  <c r="N30" i="158" s="1"/>
  <c r="L31" i="156"/>
  <c r="M30" i="156" s="1"/>
  <c r="M37" i="156" s="1"/>
  <c r="J37" i="180"/>
  <c r="J31" i="180"/>
  <c r="K30" i="180" s="1"/>
  <c r="M36" i="105"/>
  <c r="M30" i="105"/>
  <c r="N29" i="105" s="1"/>
  <c r="I30" i="186" l="1"/>
  <c r="J29" i="186" s="1"/>
  <c r="J36" i="186" s="1"/>
  <c r="J31" i="155"/>
  <c r="K30" i="155" s="1"/>
  <c r="J37" i="155"/>
  <c r="N37" i="158"/>
  <c r="N31" i="158"/>
  <c r="O30" i="158" s="1"/>
  <c r="M31" i="156"/>
  <c r="N30" i="156" s="1"/>
  <c r="N37" i="156" s="1"/>
  <c r="K37" i="180"/>
  <c r="K31" i="180"/>
  <c r="L30" i="180" s="1"/>
  <c r="L31" i="180" s="1"/>
  <c r="M30" i="180" s="1"/>
  <c r="N36" i="105"/>
  <c r="N30" i="105"/>
  <c r="O29" i="105" s="1"/>
  <c r="J4" i="159" l="1"/>
  <c r="J30" i="186"/>
  <c r="K29" i="186" s="1"/>
  <c r="K31" i="155"/>
  <c r="L30" i="155" s="1"/>
  <c r="K37" i="155"/>
  <c r="O37" i="158"/>
  <c r="O31" i="158"/>
  <c r="P30" i="158" s="1"/>
  <c r="P37" i="158" s="1"/>
  <c r="N31" i="156"/>
  <c r="O30" i="156" s="1"/>
  <c r="O37" i="156" s="1"/>
  <c r="M37" i="180"/>
  <c r="M31" i="180"/>
  <c r="N30" i="180" s="1"/>
  <c r="L37" i="180"/>
  <c r="O36" i="105"/>
  <c r="O30" i="105"/>
  <c r="P29" i="105" s="1"/>
  <c r="K30" i="186" l="1"/>
  <c r="L29" i="186" s="1"/>
  <c r="K36" i="186"/>
  <c r="K4" i="159" s="1"/>
  <c r="L31" i="155"/>
  <c r="M30" i="155" s="1"/>
  <c r="L37" i="155"/>
  <c r="P31" i="158"/>
  <c r="Q30" i="158" s="1"/>
  <c r="O31" i="156"/>
  <c r="P30" i="156" s="1"/>
  <c r="P36" i="105"/>
  <c r="P30" i="105"/>
  <c r="Q29" i="105" s="1"/>
  <c r="N37" i="180"/>
  <c r="N31" i="180"/>
  <c r="O30" i="180" s="1"/>
  <c r="L36" i="186" l="1"/>
  <c r="L4" i="159" s="1"/>
  <c r="L30" i="186"/>
  <c r="M29" i="186" s="1"/>
  <c r="M31" i="155"/>
  <c r="N30" i="155" s="1"/>
  <c r="M37" i="155"/>
  <c r="Q31" i="158"/>
  <c r="R30" i="158" s="1"/>
  <c r="Q37" i="158"/>
  <c r="P37" i="156"/>
  <c r="P31" i="156"/>
  <c r="Q30" i="156" s="1"/>
  <c r="Q37" i="156" s="1"/>
  <c r="Q36" i="105"/>
  <c r="Q30" i="105"/>
  <c r="R29" i="105" s="1"/>
  <c r="O37" i="180"/>
  <c r="O31" i="180"/>
  <c r="P30" i="180" s="1"/>
  <c r="M30" i="186" l="1"/>
  <c r="N29" i="186" s="1"/>
  <c r="M36" i="186"/>
  <c r="M4" i="159" s="1"/>
  <c r="N37" i="155"/>
  <c r="N31" i="155"/>
  <c r="O30" i="155" s="1"/>
  <c r="R37" i="158"/>
  <c r="R31" i="158"/>
  <c r="S30" i="158" s="1"/>
  <c r="Q31" i="156"/>
  <c r="R30" i="156" s="1"/>
  <c r="R37" i="156" s="1"/>
  <c r="R36" i="105"/>
  <c r="R30" i="105"/>
  <c r="S29" i="105" s="1"/>
  <c r="P37" i="180"/>
  <c r="P31" i="180"/>
  <c r="Q30" i="180" s="1"/>
  <c r="N30" i="186" l="1"/>
  <c r="O29" i="186" s="1"/>
  <c r="N36" i="186"/>
  <c r="N4" i="159" s="1"/>
  <c r="O31" i="155"/>
  <c r="P30" i="155" s="1"/>
  <c r="O37" i="155"/>
  <c r="S31" i="158"/>
  <c r="T30" i="158" s="1"/>
  <c r="S37" i="158"/>
  <c r="R31" i="156"/>
  <c r="S30" i="156" s="1"/>
  <c r="S37" i="156" s="1"/>
  <c r="S36" i="105"/>
  <c r="S30" i="105"/>
  <c r="T29" i="105" s="1"/>
  <c r="Q37" i="180"/>
  <c r="Q31" i="180"/>
  <c r="R30" i="180" s="1"/>
  <c r="O36" i="186" l="1"/>
  <c r="O4" i="159" s="1"/>
  <c r="O30" i="186"/>
  <c r="P29" i="186" s="1"/>
  <c r="P31" i="155"/>
  <c r="Q30" i="155" s="1"/>
  <c r="P37" i="155"/>
  <c r="T37" i="158"/>
  <c r="T31" i="158"/>
  <c r="U30" i="158" s="1"/>
  <c r="S31" i="156"/>
  <c r="T30" i="156" s="1"/>
  <c r="T37" i="156" s="1"/>
  <c r="T36" i="105"/>
  <c r="T30" i="105"/>
  <c r="U29" i="105" s="1"/>
  <c r="R37" i="180"/>
  <c r="R31" i="180"/>
  <c r="S30" i="180" s="1"/>
  <c r="P36" i="186" l="1"/>
  <c r="P4" i="159" s="1"/>
  <c r="P30" i="186"/>
  <c r="Q29" i="186" s="1"/>
  <c r="Q30" i="186" s="1"/>
  <c r="R29" i="186" s="1"/>
  <c r="Q31" i="155"/>
  <c r="R30" i="155" s="1"/>
  <c r="Q37" i="155"/>
  <c r="U37" i="158"/>
  <c r="U31" i="158"/>
  <c r="V30" i="158" s="1"/>
  <c r="T31" i="156"/>
  <c r="U30" i="156" s="1"/>
  <c r="U37" i="156" s="1"/>
  <c r="U36" i="105"/>
  <c r="U30" i="105"/>
  <c r="V29" i="105" s="1"/>
  <c r="S37" i="180"/>
  <c r="S31" i="180"/>
  <c r="T30" i="180" s="1"/>
  <c r="R36" i="186" l="1"/>
  <c r="R30" i="186"/>
  <c r="S29" i="186" s="1"/>
  <c r="S36" i="186" s="1"/>
  <c r="Q36" i="186"/>
  <c r="Q4" i="159"/>
  <c r="R31" i="155"/>
  <c r="S30" i="155" s="1"/>
  <c r="R37" i="155"/>
  <c r="R4" i="159" s="1"/>
  <c r="V31" i="158"/>
  <c r="W30" i="158" s="1"/>
  <c r="V37" i="158"/>
  <c r="U31" i="156"/>
  <c r="V30" i="156" s="1"/>
  <c r="V37" i="156" s="1"/>
  <c r="V36" i="105"/>
  <c r="V30" i="105"/>
  <c r="W29" i="105" s="1"/>
  <c r="T37" i="180"/>
  <c r="T31" i="180"/>
  <c r="U30" i="180" s="1"/>
  <c r="S30" i="186" l="1"/>
  <c r="T29" i="186" s="1"/>
  <c r="S31" i="155"/>
  <c r="T30" i="155" s="1"/>
  <c r="S37" i="155"/>
  <c r="S4" i="159" s="1"/>
  <c r="W37" i="158"/>
  <c r="W31" i="158"/>
  <c r="X30" i="158" s="1"/>
  <c r="V31" i="156"/>
  <c r="W30" i="156" s="1"/>
  <c r="W37" i="156" s="1"/>
  <c r="U37" i="180"/>
  <c r="U31" i="180"/>
  <c r="V30" i="180" s="1"/>
  <c r="W36" i="105"/>
  <c r="W30" i="105"/>
  <c r="X29" i="105" s="1"/>
  <c r="T36" i="186" l="1"/>
  <c r="T30" i="186"/>
  <c r="U29" i="186" s="1"/>
  <c r="T37" i="155"/>
  <c r="T31" i="155"/>
  <c r="U30" i="155" s="1"/>
  <c r="X37" i="158"/>
  <c r="X31" i="158"/>
  <c r="Y30" i="158" s="1"/>
  <c r="W31" i="156"/>
  <c r="X30" i="156" s="1"/>
  <c r="X37" i="156" s="1"/>
  <c r="V37" i="180"/>
  <c r="V31" i="180"/>
  <c r="W30" i="180" s="1"/>
  <c r="X36" i="105"/>
  <c r="X30" i="105"/>
  <c r="Y29" i="105" s="1"/>
  <c r="T4" i="159" l="1"/>
  <c r="U36" i="186"/>
  <c r="U30" i="186"/>
  <c r="V29" i="186" s="1"/>
  <c r="V36" i="186" s="1"/>
  <c r="U37" i="155"/>
  <c r="U4" i="159" s="1"/>
  <c r="U31" i="155"/>
  <c r="V30" i="155" s="1"/>
  <c r="Y31" i="158"/>
  <c r="Z30" i="158" s="1"/>
  <c r="Y37" i="158"/>
  <c r="X31" i="156"/>
  <c r="Y30" i="156" s="1"/>
  <c r="Y37" i="156" s="1"/>
  <c r="W37" i="180"/>
  <c r="W31" i="180"/>
  <c r="X30" i="180" s="1"/>
  <c r="Y36" i="105"/>
  <c r="Y30" i="105"/>
  <c r="Z29" i="105" s="1"/>
  <c r="V30" i="186" l="1"/>
  <c r="W29" i="186" s="1"/>
  <c r="V31" i="155"/>
  <c r="W30" i="155" s="1"/>
  <c r="V37" i="155"/>
  <c r="V4" i="159" s="1"/>
  <c r="Y31" i="156"/>
  <c r="Z30" i="156" s="1"/>
  <c r="Z37" i="156" s="1"/>
  <c r="Z37" i="158"/>
  <c r="Z31" i="158"/>
  <c r="AA30" i="158" s="1"/>
  <c r="Z36" i="105"/>
  <c r="Z30" i="105"/>
  <c r="AA29" i="105" s="1"/>
  <c r="X37" i="180"/>
  <c r="X31" i="180"/>
  <c r="Y30" i="180" s="1"/>
  <c r="W36" i="186" l="1"/>
  <c r="W30" i="186"/>
  <c r="X29" i="186" s="1"/>
  <c r="Z31" i="156"/>
  <c r="AA30" i="156" s="1"/>
  <c r="AA37" i="156" s="1"/>
  <c r="W31" i="155"/>
  <c r="X30" i="155" s="1"/>
  <c r="W37" i="155"/>
  <c r="AA31" i="158"/>
  <c r="AB30" i="158" s="1"/>
  <c r="AA37" i="158"/>
  <c r="AA36" i="105"/>
  <c r="AA30" i="105"/>
  <c r="AB29" i="105" s="1"/>
  <c r="Y37" i="180"/>
  <c r="Y31" i="180"/>
  <c r="Z30" i="180" s="1"/>
  <c r="X30" i="186" l="1"/>
  <c r="Y29" i="186" s="1"/>
  <c r="Y36" i="186" s="1"/>
  <c r="W4" i="159"/>
  <c r="X36" i="186"/>
  <c r="AA31" i="156"/>
  <c r="AB30" i="156" s="1"/>
  <c r="AB31" i="156" s="1"/>
  <c r="AC30" i="156" s="1"/>
  <c r="X37" i="155"/>
  <c r="X4" i="159" s="1"/>
  <c r="X31" i="155"/>
  <c r="Y30" i="155" s="1"/>
  <c r="AB31" i="158"/>
  <c r="AC30" i="158" s="1"/>
  <c r="AB37" i="158"/>
  <c r="AB36" i="105"/>
  <c r="AB30" i="105"/>
  <c r="AC29" i="105" s="1"/>
  <c r="Z37" i="180"/>
  <c r="Z31" i="180"/>
  <c r="AA30" i="180" s="1"/>
  <c r="Y30" i="186" l="1"/>
  <c r="Z29" i="186" s="1"/>
  <c r="Z36" i="186" s="1"/>
  <c r="AB37" i="156"/>
  <c r="Y31" i="155"/>
  <c r="Z30" i="155" s="1"/>
  <c r="Y37" i="155"/>
  <c r="Y4" i="159" s="1"/>
  <c r="AC31" i="158"/>
  <c r="AD30" i="158" s="1"/>
  <c r="AC37" i="158"/>
  <c r="AC31" i="156"/>
  <c r="AD30" i="156" s="1"/>
  <c r="AD37" i="156" s="1"/>
  <c r="AC37" i="156"/>
  <c r="AA37" i="180"/>
  <c r="AA31" i="180"/>
  <c r="AB30" i="180" s="1"/>
  <c r="AC36" i="105"/>
  <c r="AC30" i="105"/>
  <c r="AD29" i="105" s="1"/>
  <c r="Z30" i="186" l="1"/>
  <c r="AA29" i="186" s="1"/>
  <c r="AA36" i="186" s="1"/>
  <c r="Z37" i="155"/>
  <c r="Z4" i="159" s="1"/>
  <c r="Z31" i="155"/>
  <c r="AA30" i="155" s="1"/>
  <c r="AD37" i="158"/>
  <c r="AD31" i="158"/>
  <c r="AE30" i="158" s="1"/>
  <c r="AD31" i="156"/>
  <c r="AE30" i="156" s="1"/>
  <c r="AE37" i="156" s="1"/>
  <c r="AD36" i="105"/>
  <c r="AD30" i="105"/>
  <c r="AE29" i="105" s="1"/>
  <c r="AB37" i="180"/>
  <c r="AB31" i="180"/>
  <c r="AC30" i="180" s="1"/>
  <c r="AA30" i="186" l="1"/>
  <c r="AB29" i="186" s="1"/>
  <c r="AB36" i="186" s="1"/>
  <c r="AA37" i="155"/>
  <c r="AA4" i="159" s="1"/>
  <c r="AA31" i="155"/>
  <c r="AB30" i="155" s="1"/>
  <c r="AB37" i="155" s="1"/>
  <c r="AB4" i="159" s="1"/>
  <c r="AE37" i="158"/>
  <c r="AE31" i="158"/>
  <c r="AF30" i="158" s="1"/>
  <c r="AF37" i="158" s="1"/>
  <c r="AE31" i="156"/>
  <c r="AF30" i="156" s="1"/>
  <c r="AE36" i="105"/>
  <c r="AE30" i="105"/>
  <c r="AF29" i="105" s="1"/>
  <c r="AC37" i="180"/>
  <c r="AC31" i="180"/>
  <c r="AD30" i="180" s="1"/>
  <c r="AB30" i="186" l="1"/>
  <c r="AC29" i="186" s="1"/>
  <c r="AC36" i="186" s="1"/>
  <c r="AB31" i="155"/>
  <c r="AC30" i="155" s="1"/>
  <c r="AF31" i="158"/>
  <c r="AG30" i="158" s="1"/>
  <c r="AF37" i="156"/>
  <c r="AF31" i="156"/>
  <c r="AG30" i="156" s="1"/>
  <c r="AF36" i="105"/>
  <c r="AF30" i="105"/>
  <c r="AG29" i="105" s="1"/>
  <c r="AD37" i="180"/>
  <c r="AD31" i="180"/>
  <c r="AE30" i="180" s="1"/>
  <c r="AC30" i="186" l="1"/>
  <c r="AD29" i="186" s="1"/>
  <c r="AD30" i="186" s="1"/>
  <c r="AE29" i="186" s="1"/>
  <c r="AE36" i="186" s="1"/>
  <c r="AC37" i="155"/>
  <c r="AC4" i="159" s="1"/>
  <c r="AC31" i="155"/>
  <c r="AD30" i="155" s="1"/>
  <c r="AG37" i="158"/>
  <c r="AG31" i="158"/>
  <c r="AH30" i="158" s="1"/>
  <c r="AG31" i="156"/>
  <c r="AH30" i="156" s="1"/>
  <c r="AH37" i="156" s="1"/>
  <c r="AG37" i="156"/>
  <c r="AG36" i="105"/>
  <c r="AG30" i="105"/>
  <c r="AH29" i="105" s="1"/>
  <c r="AE37" i="180"/>
  <c r="AE31" i="180"/>
  <c r="AF30" i="180" s="1"/>
  <c r="AD36" i="186" l="1"/>
  <c r="AE30" i="186"/>
  <c r="AF29" i="186" s="1"/>
  <c r="AF36" i="186" s="1"/>
  <c r="AD37" i="155"/>
  <c r="AD4" i="159" s="1"/>
  <c r="AD31" i="155"/>
  <c r="AE30" i="155" s="1"/>
  <c r="AH31" i="158"/>
  <c r="AI30" i="158" s="1"/>
  <c r="AI37" i="158" s="1"/>
  <c r="B37" i="158" s="1"/>
  <c r="B38" i="158" s="1"/>
  <c r="B39" i="158" s="1"/>
  <c r="B95" i="157" s="1"/>
  <c r="M8" i="140" s="1"/>
  <c r="AH37" i="158"/>
  <c r="AH31" i="156"/>
  <c r="AI30" i="156" s="1"/>
  <c r="AF37" i="180"/>
  <c r="AF31" i="180"/>
  <c r="AG30" i="180" s="1"/>
  <c r="AH36" i="105"/>
  <c r="AH30" i="105"/>
  <c r="AI29" i="105" s="1"/>
  <c r="AF30" i="186" l="1"/>
  <c r="AG29" i="186" s="1"/>
  <c r="AG36" i="186" s="1"/>
  <c r="AE37" i="155"/>
  <c r="AE4" i="159" s="1"/>
  <c r="AE31" i="155"/>
  <c r="AF30" i="155" s="1"/>
  <c r="AI31" i="158"/>
  <c r="AJ30" i="158" s="1"/>
  <c r="AI37" i="156"/>
  <c r="B37" i="156" s="1"/>
  <c r="B38" i="156" s="1"/>
  <c r="B39" i="156" s="1"/>
  <c r="B96" i="153" s="1"/>
  <c r="M7" i="140" s="1"/>
  <c r="AI31" i="156"/>
  <c r="AJ30" i="156" s="1"/>
  <c r="AJ31" i="156" s="1"/>
  <c r="AI36" i="105"/>
  <c r="AI30" i="105"/>
  <c r="AJ29" i="105" s="1"/>
  <c r="AG37" i="180"/>
  <c r="AG31" i="180"/>
  <c r="AH30" i="180" s="1"/>
  <c r="AG30" i="186" l="1"/>
  <c r="AH29" i="186" s="1"/>
  <c r="AH36" i="186" s="1"/>
  <c r="AF37" i="155"/>
  <c r="AF4" i="159" s="1"/>
  <c r="AF31" i="155"/>
  <c r="AG30" i="155" s="1"/>
  <c r="AJ31" i="158"/>
  <c r="B30" i="158"/>
  <c r="B30" i="156"/>
  <c r="AJ30" i="105"/>
  <c r="B29" i="105"/>
  <c r="AH37" i="180"/>
  <c r="AH31" i="180"/>
  <c r="AI30" i="180" s="1"/>
  <c r="B36" i="105"/>
  <c r="B37" i="105" s="1"/>
  <c r="B38" i="105" s="1"/>
  <c r="B86" i="149" s="1"/>
  <c r="M4" i="140" s="1"/>
  <c r="AH30" i="186" l="1"/>
  <c r="AI29" i="186" s="1"/>
  <c r="AI36" i="186" s="1"/>
  <c r="AG37" i="155"/>
  <c r="AG4" i="159" s="1"/>
  <c r="AG31" i="155"/>
  <c r="AH30" i="155" s="1"/>
  <c r="AI37" i="180"/>
  <c r="B37" i="180" s="1"/>
  <c r="B38" i="180" s="1"/>
  <c r="B39" i="180" s="1"/>
  <c r="B101" i="179" s="1"/>
  <c r="M10" i="140" s="1"/>
  <c r="AI31" i="180"/>
  <c r="AJ30" i="180" s="1"/>
  <c r="AI30" i="186" l="1"/>
  <c r="AJ29" i="186" s="1"/>
  <c r="AJ36" i="186" s="1"/>
  <c r="AJ30" i="186"/>
  <c r="AK29" i="186" s="1"/>
  <c r="AK30" i="186" s="1"/>
  <c r="AL29" i="186" s="1"/>
  <c r="AL36" i="186" s="1"/>
  <c r="AH31" i="155"/>
  <c r="AI30" i="155" s="1"/>
  <c r="AH37" i="155"/>
  <c r="AH4" i="159" s="1"/>
  <c r="AJ31" i="180"/>
  <c r="B30" i="180"/>
  <c r="AK36" i="186" l="1"/>
  <c r="AL30" i="186"/>
  <c r="AM29" i="186" s="1"/>
  <c r="AM36" i="186" s="1"/>
  <c r="AM30" i="186"/>
  <c r="AN29" i="186" s="1"/>
  <c r="AN36" i="186" s="1"/>
  <c r="AN4" i="159" s="1"/>
  <c r="AI31" i="155"/>
  <c r="AJ30" i="155" s="1"/>
  <c r="AI37" i="155"/>
  <c r="AI4" i="159" s="1"/>
  <c r="AN30" i="186" l="1"/>
  <c r="AO29" i="186" s="1"/>
  <c r="AO36" i="186" s="1"/>
  <c r="B36" i="186" s="1"/>
  <c r="B37" i="186" s="1"/>
  <c r="B38" i="186" s="1"/>
  <c r="B86" i="185" s="1"/>
  <c r="M13" i="140" s="1"/>
  <c r="AJ31" i="155"/>
  <c r="AK30" i="155" s="1"/>
  <c r="AJ37" i="155"/>
  <c r="AJ4" i="159" s="1"/>
  <c r="AO4" i="159" l="1"/>
  <c r="AO30" i="186"/>
  <c r="AP29" i="186" s="1"/>
  <c r="AK31" i="155"/>
  <c r="AL30" i="155" s="1"/>
  <c r="AK37" i="155"/>
  <c r="AK4" i="159" s="1"/>
  <c r="AP30" i="186" l="1"/>
  <c r="B29" i="186"/>
  <c r="AL31" i="155"/>
  <c r="AM30" i="155" s="1"/>
  <c r="AL37" i="155"/>
  <c r="AL4" i="159" s="1"/>
  <c r="AM31" i="155" l="1"/>
  <c r="AN30" i="155" s="1"/>
  <c r="AM37" i="155"/>
  <c r="AM4" i="159" s="1"/>
  <c r="B37" i="155" l="1"/>
  <c r="B38" i="155" s="1"/>
  <c r="B39" i="155" s="1"/>
  <c r="B94" i="160" s="1"/>
  <c r="M9" i="140" s="1"/>
  <c r="B4" i="159"/>
  <c r="B5" i="159" s="1"/>
  <c r="B6" i="159" s="1"/>
  <c r="M15" i="140" s="1"/>
  <c r="B30" i="155"/>
  <c r="AN31" i="15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74" authorId="0" shapeId="0" xr:uid="{3C4A0471-2B2B-4A1B-8A74-9D0C743D7552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4"/>
            <color indexed="81"/>
            <rFont val="Calibri"/>
            <family val="2"/>
          </rPr>
          <t xml:space="preserve">
Need to confirm transfer taxes and brokerage commissions combined are 3% or less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85" authorId="0" shapeId="0" xr:uid="{9F712155-0D05-4677-939E-4CF5DA04AA15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4"/>
            <color indexed="81"/>
            <rFont val="Calibri"/>
            <family val="2"/>
          </rPr>
          <t xml:space="preserve">
Need to confirm transfer taxes and brokerage commissions combined are 3% or less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84" authorId="0" shapeId="0" xr:uid="{9EFAD23C-7748-40FB-9A53-A8209E220521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4"/>
            <color indexed="81"/>
            <rFont val="Calibri"/>
            <family val="2"/>
          </rPr>
          <t xml:space="preserve">
Need to confirm transfer taxes and brokerage commissions combined are 3% or less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83" authorId="0" shapeId="0" xr:uid="{5F05B48A-4D15-4075-952A-A8CEF1EC1987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4"/>
            <color indexed="81"/>
            <rFont val="Calibri"/>
            <family val="2"/>
          </rPr>
          <t xml:space="preserve">
Need to confirm transfer taxes and brokerage commissions combined are 3% or less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82" authorId="0" shapeId="0" xr:uid="{26AB10D0-7DE6-4E73-8DF3-CD533F01E13F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4"/>
            <color indexed="81"/>
            <rFont val="Calibri"/>
            <family val="2"/>
          </rPr>
          <t xml:space="preserve">
Need to confirm transfer taxes and brokerage commissions combined are 3% or less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89" authorId="0" shapeId="0" xr:uid="{E7BB4EB3-2B01-422A-9611-23ED44A0B36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4"/>
            <color indexed="81"/>
            <rFont val="Calibri"/>
            <family val="2"/>
          </rPr>
          <t xml:space="preserve">
Need to confirm transfer taxes and brokerage commissions combined are 3% or less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74" authorId="0" shapeId="0" xr:uid="{1575BE52-BB2D-4BF1-B9CF-BC82928C51B9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4"/>
            <color indexed="81"/>
            <rFont val="Calibri"/>
            <family val="2"/>
          </rPr>
          <t xml:space="preserve">
Need to confirm transfer taxes and brokerage commissions combined are 3% or less</t>
        </r>
      </text>
    </comment>
  </commentList>
</comments>
</file>

<file path=xl/sharedStrings.xml><?xml version="1.0" encoding="utf-8"?>
<sst xmlns="http://schemas.openxmlformats.org/spreadsheetml/2006/main" count="1298" uniqueCount="436">
  <si>
    <t>Multifamily Rent, Vacancy, Cap Rates</t>
  </si>
  <si>
    <t>Source: Moody's Analytics</t>
  </si>
  <si>
    <t>Office Rental Rates, Vacancy, Cap Rates</t>
  </si>
  <si>
    <t>Retail Rental Rates, Vacancy, Cap Rates</t>
  </si>
  <si>
    <t>Hotel Average Daily Rate, Occupancy</t>
  </si>
  <si>
    <t>Affordable Asking Rent, Cap Rates, Vacancies</t>
  </si>
  <si>
    <t>Senior Housing Asking Rent, Vacancies</t>
  </si>
  <si>
    <t>Recent Purchases</t>
  </si>
  <si>
    <t>Source Charleston Parcel GIS</t>
  </si>
  <si>
    <t>year</t>
  </si>
  <si>
    <t>inflation</t>
  </si>
  <si>
    <t>parcel #</t>
  </si>
  <si>
    <t>Price</t>
  </si>
  <si>
    <t>Adjusted Price</t>
  </si>
  <si>
    <t>acres</t>
  </si>
  <si>
    <t>sf</t>
  </si>
  <si>
    <t>$/sf</t>
  </si>
  <si>
    <t>$/acre</t>
  </si>
  <si>
    <t>adjusted prices</t>
  </si>
  <si>
    <t>Nonprofit north</t>
  </si>
  <si>
    <t>Refinery north</t>
  </si>
  <si>
    <t>Refinery more north</t>
  </si>
  <si>
    <t>Coast</t>
  </si>
  <si>
    <t>Firefly distillery</t>
  </si>
  <si>
    <t>Right of Firefly</t>
  </si>
  <si>
    <t>average</t>
  </si>
  <si>
    <r>
      <rPr>
        <b/>
        <sz val="10"/>
        <color theme="1"/>
        <rFont val="Arial"/>
        <family val="2"/>
      </rPr>
      <t>TEAM</t>
    </r>
    <r>
      <rPr>
        <sz val="10"/>
        <color theme="1"/>
        <rFont val="Arial"/>
        <family val="2"/>
      </rPr>
      <t xml:space="preserve"> #2023-8682</t>
    </r>
  </si>
  <si>
    <t>Rents, Sales prices, NOI and cap rates</t>
  </si>
  <si>
    <t>Market Rate Housing Rents and Sales Prices</t>
  </si>
  <si>
    <t>Office</t>
  </si>
  <si>
    <t>Rent per SF(NNN)</t>
  </si>
  <si>
    <t>Exit Assumptions</t>
  </si>
  <si>
    <t>Studio</t>
  </si>
  <si>
    <t>Rents/Month</t>
  </si>
  <si>
    <t>Sale Prices/SF</t>
  </si>
  <si>
    <t>Class A Office</t>
  </si>
  <si>
    <t>Cap Rate</t>
  </si>
  <si>
    <t>Vacancy</t>
  </si>
  <si>
    <t>Average Size in SF</t>
  </si>
  <si>
    <t>Hotel</t>
  </si>
  <si>
    <t>ADR</t>
  </si>
  <si>
    <t>Affordable Rental</t>
  </si>
  <si>
    <t>Rent or Price PSF</t>
  </si>
  <si>
    <t>Market Rate Rental</t>
  </si>
  <si>
    <t>1BR</t>
  </si>
  <si>
    <t>Tree House</t>
  </si>
  <si>
    <t>Retail</t>
  </si>
  <si>
    <t>Ground floor retail</t>
  </si>
  <si>
    <t>Parking</t>
  </si>
  <si>
    <t>2BR</t>
  </si>
  <si>
    <t>Community Center</t>
  </si>
  <si>
    <t>NOI Calculation</t>
  </si>
  <si>
    <t>Senior Housing</t>
  </si>
  <si>
    <t>Additional Mixed use revenues after parking</t>
  </si>
  <si>
    <t>Leverage Assumptions</t>
  </si>
  <si>
    <t>3BR</t>
  </si>
  <si>
    <t>Retail &amp; Office</t>
  </si>
  <si>
    <t>Debt percentage</t>
  </si>
  <si>
    <t>Mixed Use Expense Estimate</t>
  </si>
  <si>
    <t>Residential mixed use</t>
  </si>
  <si>
    <t>Rent or Price PSF`</t>
  </si>
  <si>
    <t>NA</t>
  </si>
  <si>
    <t>Project Cost Estimating parameters</t>
  </si>
  <si>
    <t>Parking Mix</t>
  </si>
  <si>
    <t>Type</t>
  </si>
  <si>
    <t>Basis</t>
  </si>
  <si>
    <t xml:space="preserve">   Parking Ratio Requirements</t>
  </si>
  <si>
    <t>Type V Hard Costs for Commercial Construction</t>
  </si>
  <si>
    <t>Residential House</t>
  </si>
  <si>
    <t>2 spaces per unit</t>
  </si>
  <si>
    <t>Type III Hard Costs For Commercial Construction</t>
  </si>
  <si>
    <t>Residential Apartment Studio</t>
  </si>
  <si>
    <t>1 space per unit</t>
  </si>
  <si>
    <t>Type I Hard Costs for Commercial Construction</t>
  </si>
  <si>
    <t>Residential 1 Bedroom</t>
  </si>
  <si>
    <t>1.25 spaces per unit</t>
  </si>
  <si>
    <t>Type V Hard Costs for Residential Construciton</t>
  </si>
  <si>
    <t>Residential 2 Bedroom &amp; Bigger</t>
  </si>
  <si>
    <t>Type III Hard Costs for Residential Construction</t>
  </si>
  <si>
    <t>Stormwater Utility Fee</t>
  </si>
  <si>
    <t>(Non Residential SF/3000 ) * $72</t>
  </si>
  <si>
    <t>Retail/Office</t>
  </si>
  <si>
    <t>Municipal Fees &amp; Allowances</t>
  </si>
  <si>
    <t>Estimate Calculation</t>
  </si>
  <si>
    <t>1 space per 3 rooms</t>
  </si>
  <si>
    <t>Share of infrastructure</t>
  </si>
  <si>
    <t>Estimated Allocation from FPC</t>
  </si>
  <si>
    <t>1 space per 6 beds</t>
  </si>
  <si>
    <t>Legal</t>
  </si>
  <si>
    <t xml:space="preserve">    $/SF</t>
  </si>
  <si>
    <t>Land Closing Costs/commissions</t>
  </si>
  <si>
    <t xml:space="preserve">  Structured Parking</t>
  </si>
  <si>
    <t>Design</t>
  </si>
  <si>
    <t xml:space="preserve">  Surface Parking</t>
  </si>
  <si>
    <t>Developer Fee</t>
  </si>
  <si>
    <t>Monthly Rent / Space</t>
  </si>
  <si>
    <t>Construction Management</t>
  </si>
  <si>
    <t>Unbundled rent/space</t>
  </si>
  <si>
    <t>Taxes Residential</t>
  </si>
  <si>
    <t>Public garage</t>
  </si>
  <si>
    <t>Insurance</t>
  </si>
  <si>
    <t>Estimate</t>
  </si>
  <si>
    <t xml:space="preserve">Affordable </t>
  </si>
  <si>
    <t>Marketing, FFE, and Preleasing</t>
  </si>
  <si>
    <t>Metered Street Parking</t>
  </si>
  <si>
    <t>Operating Deficit</t>
  </si>
  <si>
    <t>Commercial Tenant Improvements</t>
  </si>
  <si>
    <t>Retail and Office Brokerage</t>
  </si>
  <si>
    <t>Construction Loan Origination</t>
  </si>
  <si>
    <t>Construction Interest</t>
  </si>
  <si>
    <t>Land $ per SF</t>
  </si>
  <si>
    <t>Taxes Commercial</t>
  </si>
  <si>
    <t>Tree Clearing Phase 1</t>
  </si>
  <si>
    <t>Tree Clearing Phase 2</t>
  </si>
  <si>
    <t>Demolition for Parcel B</t>
  </si>
  <si>
    <t>Demolition for Parcel C,D,E, &amp; F</t>
  </si>
  <si>
    <t>Demolition for Parcel N &amp; L</t>
  </si>
  <si>
    <t>Demolition Parcel J</t>
  </si>
  <si>
    <t>Affordable Rents--by income and family size</t>
  </si>
  <si>
    <t>Affordable Purchase Prices by income and family size</t>
  </si>
  <si>
    <t>Household size</t>
  </si>
  <si>
    <t>2021 Median Income</t>
  </si>
  <si>
    <t>Low Income: 50% of median</t>
  </si>
  <si>
    <t>Moderate Income: 70% of median</t>
  </si>
  <si>
    <t>30% spent on Housing</t>
  </si>
  <si>
    <t>35% spent on Housing</t>
  </si>
  <si>
    <t xml:space="preserve">  less Utility Allowance</t>
  </si>
  <si>
    <t>Remainder for Rent</t>
  </si>
  <si>
    <t xml:space="preserve">  less Property Insurance</t>
  </si>
  <si>
    <t>Monthly</t>
  </si>
  <si>
    <t xml:space="preserve">  less Property Taxes @ %</t>
  </si>
  <si>
    <t>Remainder for Mortgage</t>
  </si>
  <si>
    <t>Low Income: 70% of median</t>
  </si>
  <si>
    <t>TOTAL AFFORDABLE PRICE</t>
  </si>
  <si>
    <t>Moderate Income: 100% of median</t>
  </si>
  <si>
    <t>Moderate Income: 110% of median</t>
  </si>
  <si>
    <t xml:space="preserve">  less Property Taxes @ 1.4%</t>
  </si>
  <si>
    <t>Moderate Income: 120% of median</t>
  </si>
  <si>
    <t>Development Program</t>
  </si>
  <si>
    <t>Development Component</t>
  </si>
  <si>
    <t>Location of Development Component</t>
  </si>
  <si>
    <t>Area in SF</t>
  </si>
  <si>
    <t>Land Use</t>
  </si>
  <si>
    <t>Residential Units</t>
  </si>
  <si>
    <t>Commercial SF</t>
  </si>
  <si>
    <t>Building Height</t>
  </si>
  <si>
    <t>Value</t>
  </si>
  <si>
    <t>Total Project Costs</t>
  </si>
  <si>
    <t>Equity</t>
  </si>
  <si>
    <t>Debt</t>
  </si>
  <si>
    <t>GAP</t>
  </si>
  <si>
    <t>Leveraged IRR</t>
  </si>
  <si>
    <t>Unleveraged IRR</t>
  </si>
  <si>
    <t>Creekside Homes</t>
  </si>
  <si>
    <t>Parcel A</t>
  </si>
  <si>
    <t>RES-Market-Sale</t>
  </si>
  <si>
    <t>Apartments</t>
  </si>
  <si>
    <t>Parcel B</t>
  </si>
  <si>
    <t>RES-AFF-MU</t>
  </si>
  <si>
    <t>RES-Market-Rental</t>
  </si>
  <si>
    <t>Parcel C &amp; D</t>
  </si>
  <si>
    <t>RES-Market-MU-Rental</t>
  </si>
  <si>
    <t>Retail/Hotel</t>
  </si>
  <si>
    <t>Parcel E &amp; F</t>
  </si>
  <si>
    <t>HOTEL</t>
  </si>
  <si>
    <t>Tree Hotel</t>
  </si>
  <si>
    <t>Parcel G &amp; H</t>
  </si>
  <si>
    <t>Retail/Apartments/Senior Housing</t>
  </si>
  <si>
    <t>Parcel I, J, K,L</t>
  </si>
  <si>
    <t>Duplexes/Townhomes</t>
  </si>
  <si>
    <t>Parcel N &amp; M</t>
  </si>
  <si>
    <t>RES-AFF_Sale</t>
  </si>
  <si>
    <t>TOTALS</t>
  </si>
  <si>
    <t>Infrastructure Allocation</t>
  </si>
  <si>
    <t>Item</t>
  </si>
  <si>
    <t>Total Cost</t>
  </si>
  <si>
    <t>To Component A</t>
  </si>
  <si>
    <t>To Component B</t>
  </si>
  <si>
    <t>To Component C &amp; D</t>
  </si>
  <si>
    <t>To Component E &amp; F</t>
  </si>
  <si>
    <t>To Component I,J,K,L</t>
  </si>
  <si>
    <t>To Component M &amp; N</t>
  </si>
  <si>
    <t>Neighborhood Park</t>
  </si>
  <si>
    <t>Salt Marsh Restoration</t>
  </si>
  <si>
    <t>Utilities</t>
  </si>
  <si>
    <t>Tree Clearing</t>
  </si>
  <si>
    <t>Roadways</t>
  </si>
  <si>
    <t>Tree Planting Buffers</t>
  </si>
  <si>
    <t>TOTAL</t>
  </si>
  <si>
    <t>Schedule</t>
  </si>
  <si>
    <t>Pre-Development</t>
  </si>
  <si>
    <t>Demolition</t>
  </si>
  <si>
    <t>Construction</t>
  </si>
  <si>
    <t>Close-out</t>
  </si>
  <si>
    <t>Construction Period (yrs)</t>
  </si>
  <si>
    <t>Unit Composition</t>
  </si>
  <si>
    <t>%</t>
  </si>
  <si>
    <t>Units</t>
  </si>
  <si>
    <t>1/1/2028 to 5/31/2028</t>
  </si>
  <si>
    <t>None</t>
  </si>
  <si>
    <t>6/1/2028 to 6/30/2031</t>
  </si>
  <si>
    <t>7/1/2031 to 3/31/2032</t>
  </si>
  <si>
    <t>Market Rental</t>
  </si>
  <si>
    <t>1/1/2024 to 8/31/2024</t>
  </si>
  <si>
    <t>9/1/2024 to 12/31/2024</t>
  </si>
  <si>
    <t>1/1/2025 to 12/31/27</t>
  </si>
  <si>
    <t>1/1/2028 to 12/31/2028</t>
  </si>
  <si>
    <t>1/1/2024 to 8/31/2025</t>
  </si>
  <si>
    <t>9/1/2025 to 12/31/2025</t>
  </si>
  <si>
    <t>1/1/2026 to 6/30/2028</t>
  </si>
  <si>
    <t>7/1/2028 to 6/30/2029</t>
  </si>
  <si>
    <t>Total</t>
  </si>
  <si>
    <t>1/1/2025 to 8/31/2027</t>
  </si>
  <si>
    <t>9/1/2027 to 12/31/2027</t>
  </si>
  <si>
    <t>1/1/2028 to 12/31/2030</t>
  </si>
  <si>
    <t>1/1/2031 to 6/30/2032</t>
  </si>
  <si>
    <t>1/1/2026 to 12/31/2030</t>
  </si>
  <si>
    <t>7/1/2032 to 6/30/2033</t>
  </si>
  <si>
    <t>Market Sale</t>
  </si>
  <si>
    <t>7/1/2025 to 8/31/2027</t>
  </si>
  <si>
    <t>1/1/2028 to 12/31/2031</t>
  </si>
  <si>
    <t>1/1/2032 to 6/30/2032</t>
  </si>
  <si>
    <t>Affordable Sale</t>
  </si>
  <si>
    <t>1/1/2029 to 12/31/2032</t>
  </si>
  <si>
    <t>1/1/2031 to 12/31/2033</t>
  </si>
  <si>
    <t>CALENDAR DAYS TO WORKING DAYS CONVERSION</t>
  </si>
  <si>
    <t>Parcel</t>
  </si>
  <si>
    <t>Working Days</t>
  </si>
  <si>
    <t>Working Days/Work Week</t>
  </si>
  <si>
    <t>Calendar Days/Week</t>
  </si>
  <si>
    <t>Total Calendar Days</t>
  </si>
  <si>
    <t>Total Project Duration in Years</t>
  </si>
  <si>
    <t>Total Project Duration in Months</t>
  </si>
  <si>
    <t>A</t>
  </si>
  <si>
    <t>B</t>
  </si>
  <si>
    <t>CD</t>
  </si>
  <si>
    <t>EF</t>
  </si>
  <si>
    <t>GH</t>
  </si>
  <si>
    <t>IJKL</t>
  </si>
  <si>
    <t>MN</t>
  </si>
  <si>
    <t>BID/PERFORMANCE BOND CALCULATIONS</t>
  </si>
  <si>
    <t>Bid Dollar Amount</t>
  </si>
  <si>
    <t>Percentage</t>
  </si>
  <si>
    <t>Bond Amount</t>
  </si>
  <si>
    <t>Running Total</t>
  </si>
  <si>
    <t>Bond Running Total</t>
  </si>
  <si>
    <t xml:space="preserve"> </t>
  </si>
  <si>
    <t>Parcels</t>
  </si>
  <si>
    <t>Total Bid Cost</t>
  </si>
  <si>
    <t>Performance Bond Amount from Table</t>
  </si>
  <si>
    <t>Bond Running Total from Table</t>
  </si>
  <si>
    <t>Difference</t>
  </si>
  <si>
    <t>Bond % of Difference</t>
  </si>
  <si>
    <t>Bond Total from Difference</t>
  </si>
  <si>
    <t>Cost of Additional Months Past 12 mo.</t>
  </si>
  <si>
    <t>Bond Total</t>
  </si>
  <si>
    <t>BUILDERS' RISK INSURANCE CALCULATION</t>
  </si>
  <si>
    <t>Total Bonding</t>
  </si>
  <si>
    <t>Bid + Bond Total</t>
  </si>
  <si>
    <t>Standard or Preferred Rate?</t>
  </si>
  <si>
    <t>Number of Months</t>
  </si>
  <si>
    <t>Builders' Risk Insurance Total</t>
  </si>
  <si>
    <t>Final Bid Cost (Includes Bid, Bond, Insurance)</t>
  </si>
  <si>
    <t>FBC to nearest $1000</t>
  </si>
  <si>
    <t>Standard</t>
  </si>
  <si>
    <t>DEVELOPMENT PLAN</t>
  </si>
  <si>
    <t>Quick Rent Adjuster</t>
  </si>
  <si>
    <t>For Sale Residential</t>
  </si>
  <si>
    <t># of Units</t>
  </si>
  <si>
    <t>Unit Size</t>
  </si>
  <si>
    <t>Price / SF</t>
  </si>
  <si>
    <t>Total Sales Value</t>
  </si>
  <si>
    <t>3 bedroom / 3 Bath</t>
  </si>
  <si>
    <t>Totals:</t>
  </si>
  <si>
    <t>Averages:</t>
  </si>
  <si>
    <t>COMMERCIAL SPACE</t>
  </si>
  <si>
    <t>Square Feet</t>
  </si>
  <si>
    <t>NNN Rent</t>
  </si>
  <si>
    <t>Total Annual</t>
  </si>
  <si>
    <t>Total Commercial</t>
  </si>
  <si>
    <t>PARKING</t>
  </si>
  <si>
    <t>Residential--in garages below living area</t>
  </si>
  <si>
    <t>Guest Parking</t>
  </si>
  <si>
    <t>surface parking</t>
  </si>
  <si>
    <t>Total Parking</t>
  </si>
  <si>
    <t>Fit to Parcel (Layout Calculator)</t>
  </si>
  <si>
    <t>Total Land area</t>
  </si>
  <si>
    <t>Total Sales SF (residential +commercial)</t>
  </si>
  <si>
    <t>Surface Parking</t>
  </si>
  <si>
    <t>NET OPERATING INCOME</t>
  </si>
  <si>
    <t>INCOME</t>
  </si>
  <si>
    <t>Per Unit</t>
  </si>
  <si>
    <t>$/SF Res</t>
  </si>
  <si>
    <t>Un-Trended</t>
  </si>
  <si>
    <t>Gross Sales Proceeds</t>
  </si>
  <si>
    <t>Net Sales Proceeds</t>
  </si>
  <si>
    <t>PROJECT COSTS</t>
  </si>
  <si>
    <t>BASIS</t>
  </si>
  <si>
    <t xml:space="preserve">   Budget     </t>
  </si>
  <si>
    <t>Hard Costs for Construction</t>
  </si>
  <si>
    <t>Hard Cost Contingency</t>
  </si>
  <si>
    <t>LAND</t>
  </si>
  <si>
    <t>Municipal Fees and Allowances</t>
  </si>
  <si>
    <t>Infrastructure allocation</t>
  </si>
  <si>
    <t>Parcel allocation</t>
  </si>
  <si>
    <t xml:space="preserve">Design </t>
  </si>
  <si>
    <t>Construction Management Fee</t>
  </si>
  <si>
    <t>Taxes</t>
  </si>
  <si>
    <t>Marketing, FFE and Preleasing</t>
  </si>
  <si>
    <t>Retail Tenant Improvements</t>
  </si>
  <si>
    <t>Retail brokerage</t>
  </si>
  <si>
    <t>Apply % to estimated Debt to avoid circular reference</t>
  </si>
  <si>
    <t>Additional Contingency</t>
  </si>
  <si>
    <t>Total Project Cost</t>
  </si>
  <si>
    <t>Return on cost</t>
  </si>
  <si>
    <t>Negative indicates shortfall</t>
  </si>
  <si>
    <t>FINANCING</t>
  </si>
  <si>
    <t>Gap Funding reduction</t>
  </si>
  <si>
    <t>Private financing Amount</t>
  </si>
  <si>
    <t>Total Sources</t>
  </si>
  <si>
    <t>SALES ANALYSIS</t>
  </si>
  <si>
    <t>Untrended</t>
  </si>
  <si>
    <t>LESS: Construction Debt</t>
  </si>
  <si>
    <t>LESS: Investor Equity</t>
  </si>
  <si>
    <t>Net Profit</t>
  </si>
  <si>
    <t>Sales Price per Unit</t>
  </si>
  <si>
    <t>Gross Price</t>
  </si>
  <si>
    <t>Net Price</t>
  </si>
  <si>
    <t>YIELD INDICATORS</t>
  </si>
  <si>
    <t>Equity multiple</t>
  </si>
  <si>
    <t>Leveraged Project IRR</t>
  </si>
  <si>
    <t>UnLeveraged Project IRR</t>
  </si>
  <si>
    <t>Debt Yield</t>
  </si>
  <si>
    <t>Exit Cap Rate</t>
  </si>
  <si>
    <t>Schedule----&gt;</t>
  </si>
  <si>
    <t>Duration----&gt;</t>
  </si>
  <si>
    <t>Pre-Development Ends</t>
  </si>
  <si>
    <t>Construction Begins</t>
  </si>
  <si>
    <t>Construction ends</t>
  </si>
  <si>
    <t>Close-out begins</t>
  </si>
  <si>
    <t>Close-out ends</t>
  </si>
  <si>
    <t>&lt;---- columns to unhide for longer development period</t>
  </si>
  <si>
    <t>TOTAL EXPENDED</t>
  </si>
  <si>
    <t>TOTAL COST</t>
  </si>
  <si>
    <t>Hard Cost Draw Percentage</t>
  </si>
  <si>
    <t>difference</t>
  </si>
  <si>
    <t>Gap Funding</t>
  </si>
  <si>
    <t>Net Total Private Financing</t>
  </si>
  <si>
    <t>Equity DRAW</t>
  </si>
  <si>
    <t>TOTAL Equity</t>
  </si>
  <si>
    <t>Permanent loan debt</t>
  </si>
  <si>
    <t>Total annual debt service</t>
  </si>
  <si>
    <t>Operating cash flow during closeout</t>
  </si>
  <si>
    <t>Leveraged</t>
  </si>
  <si>
    <t>Net Proceeds from Sale after debt repayment</t>
  </si>
  <si>
    <t>Leveraged Quarterly cash flow</t>
  </si>
  <si>
    <t>Leveraged QUARTERLY IRR</t>
  </si>
  <si>
    <t>Leveraged Annual IRR</t>
  </si>
  <si>
    <t>Unleveraged</t>
  </si>
  <si>
    <t>Total Net proceeds from Sale+GAP FUNDING</t>
  </si>
  <si>
    <t>UNLeveraged QUARTERLY TOTAL Cash flow</t>
  </si>
  <si>
    <t>UNLeveraged QUARTERLY IRR</t>
  </si>
  <si>
    <t>UNLeveraged Annual IRR</t>
  </si>
  <si>
    <t>For Rent Residential</t>
  </si>
  <si>
    <t>Net Rentable Square Feet (NRSF)</t>
  </si>
  <si>
    <t>$/SF/Mo.</t>
  </si>
  <si>
    <t>1 Bedroom / 1 Bath</t>
  </si>
  <si>
    <t>2 Bedroom / 2 Bath</t>
  </si>
  <si>
    <t>3 Bedroom / 3 Bath</t>
  </si>
  <si>
    <t>Affordable 1 Bedroom / 1 Bath</t>
  </si>
  <si>
    <t>Affordable 2 Bedroom / 2 Bath</t>
  </si>
  <si>
    <t>Affordable 3 Bedroom / 3 Bath</t>
  </si>
  <si>
    <t>Residential</t>
  </si>
  <si>
    <t>Commercial</t>
  </si>
  <si>
    <t>Total Leasable SF (residential +commercial)</t>
  </si>
  <si>
    <t>Gross Residential Rental Income</t>
  </si>
  <si>
    <t>Commercial RENT</t>
  </si>
  <si>
    <t>Gross Income</t>
  </si>
  <si>
    <t>Other Income</t>
  </si>
  <si>
    <t>$/unit</t>
  </si>
  <si>
    <t>$/SF</t>
  </si>
  <si>
    <t>Parking Income-residential</t>
  </si>
  <si>
    <t>Additional Income</t>
  </si>
  <si>
    <t>Total Other Income</t>
  </si>
  <si>
    <t>Effective Gross Income</t>
  </si>
  <si>
    <t>EXPENSES</t>
  </si>
  <si>
    <t>Per SF</t>
  </si>
  <si>
    <t>Total Operating Expenses</t>
  </si>
  <si>
    <t>Net Operating Income</t>
  </si>
  <si>
    <t>TOTAL PROJECT VALUE</t>
  </si>
  <si>
    <t>Market Cap Rate=</t>
  </si>
  <si>
    <t>Parking stalls</t>
  </si>
  <si>
    <t>Apply percentage to estimated Debt to avoid circular reference</t>
  </si>
  <si>
    <t>Yield on cost</t>
  </si>
  <si>
    <t>Construction Ends</t>
  </si>
  <si>
    <t>Closeout Begins</t>
  </si>
  <si>
    <t>Closeout Ends</t>
  </si>
  <si>
    <t>Leveraged QUARTERLY cash flow</t>
  </si>
  <si>
    <t>NRSF</t>
  </si>
  <si>
    <t>First Floor Retail</t>
  </si>
  <si>
    <t>Garage Parking</t>
  </si>
  <si>
    <t>$/SF Retail/Office</t>
  </si>
  <si>
    <t>Parking Income</t>
  </si>
  <si>
    <t>PROJECT COST</t>
  </si>
  <si>
    <t>Sales Price per SF</t>
  </si>
  <si>
    <t>Pre-Development Begins</t>
  </si>
  <si>
    <t>End Pre-Development</t>
  </si>
  <si>
    <t>End Construciton</t>
  </si>
  <si>
    <t>End Closeout</t>
  </si>
  <si>
    <t>Permanent loan debt (based on private capital net of gap funding)</t>
  </si>
  <si>
    <t>Total annual debt service @4.5%</t>
  </si>
  <si>
    <t>Leveraged Quarterly IRR</t>
  </si>
  <si>
    <t>Square Feet / Rooms</t>
  </si>
  <si>
    <t>Accounts for 70% occupancy</t>
  </si>
  <si>
    <t>Total Leasable SF (commercial)</t>
  </si>
  <si>
    <t>$/stall</t>
  </si>
  <si>
    <t>Parking Income-commercial</t>
  </si>
  <si>
    <t>Brokerage</t>
  </si>
  <si>
    <t>per sf</t>
  </si>
  <si>
    <t>Closeout ends</t>
  </si>
  <si>
    <t>2 bedroom/2 bath</t>
  </si>
  <si>
    <t>70% occupancy</t>
  </si>
  <si>
    <t>SURFACE Parking not part of building</t>
  </si>
  <si>
    <t>Senior Housing 1 Bed</t>
  </si>
  <si>
    <t>Senior Housing 2 Bed</t>
  </si>
  <si>
    <t>Parking Income-Commercial</t>
  </si>
  <si>
    <t>Assumptions Table</t>
  </si>
  <si>
    <t>Duplex Market</t>
  </si>
  <si>
    <t>Duplex Affordable</t>
  </si>
  <si>
    <t>Townhome Market</t>
  </si>
  <si>
    <t>Townhome Affordable</t>
  </si>
  <si>
    <t>HUD CDBG</t>
  </si>
  <si>
    <t>ALL Draw-all parcels</t>
  </si>
  <si>
    <t>Quarter----&gt;</t>
  </si>
  <si>
    <t>UNLeveraged Quarterly TOTAL Cash flow</t>
  </si>
  <si>
    <t>UNLeveraged Quarterly IRR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</si>
</sst>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1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[Red]\-&quot;$&quot;#,##0"/>
    <numFmt numFmtId="165" formatCode="&quot;$&quot;#,##0.00"/>
    <numFmt numFmtId="166" formatCode="&quot;$&quot;#,##0"/>
    <numFmt numFmtId="167" formatCode="0.0%"/>
    <numFmt numFmtId="168" formatCode="_(* #,##0_);_(* \(#,##0\);_(* &quot;-&quot;??_);_(@_)"/>
    <numFmt numFmtId="169" formatCode="_(&quot;$&quot;* #,##0_);_(&quot;$&quot;* \(#,##0\);_(&quot;$&quot;* &quot;-&quot;??_);_(@_)"/>
    <numFmt numFmtId="170" formatCode="#,##0.0"/>
    <numFmt numFmtId="171" formatCode="0.0"/>
    <numFmt numFmtId="172" formatCode="[$-409]mmm\-yy;@"/>
    <numFmt numFmtId="173" formatCode="&quot;LESS:&quot;\ #%\ \ &quot;Selling Costs&quot;"/>
    <numFmt numFmtId="174" formatCode="&quot;LESS:&quot;\ #%\ &quot;Vacancy&quot;"/>
    <numFmt numFmtId="175" formatCode="&quot;Density=&quot;#\ &quot;Units/Acre&quot;"/>
    <numFmt numFmtId="176" formatCode="##,###&quot; SF&quot;"/>
    <numFmt numFmtId="177" formatCode="###&quot; SF&quot;"/>
    <numFmt numFmtId="178" formatCode="&quot;Studio---&quot;#%"/>
    <numFmt numFmtId="179" formatCode="###\ &quot;Units&quot;"/>
    <numFmt numFmtId="180" formatCode="##%\ \ \ &quot;Debt&quot;"/>
    <numFmt numFmtId="181" formatCode="##%\ \ \ &quot;Equity&quot;"/>
    <numFmt numFmtId="182" formatCode="#.##%\ "/>
    <numFmt numFmtId="183" formatCode="&quot;$&quot;#,##0;\(&quot;$&quot;#,##0\)"/>
    <numFmt numFmtId="184" formatCode="&quot;$&quot;#,##0.0;\(&quot;$&quot;#,##0.0\)"/>
    <numFmt numFmtId="185" formatCode="&quot;$&quot;#,##0.00;\(&quot;$&quot;#,##0.00\)"/>
    <numFmt numFmtId="186" formatCode="0.0_)\%;\(0.0\)\%;0.0_)\%;@_)_%"/>
    <numFmt numFmtId="187" formatCode="#,##0.0_)_%;\(#,##0.0\)_%;0.0_)_%;@_)_%"/>
    <numFmt numFmtId="188" formatCode="#,##0.0_);\(#,##0.0\);#,##0.0_);@_)"/>
    <numFmt numFmtId="189" formatCode="#,##0.0_);\(#,##0.0\)"/>
    <numFmt numFmtId="190" formatCode="&quot;$&quot;_(#,##0.00_);&quot;$&quot;\(#,##0.00\);&quot;$&quot;_(0.00_);@_)"/>
    <numFmt numFmtId="191" formatCode="&quot;$&quot;_(#,##0.00_);&quot;$&quot;\(#,##0.00\)"/>
    <numFmt numFmtId="192" formatCode="&quot;\&quot;_(#,##0.00_);&quot;\&quot;\(#,##0.00\)"/>
    <numFmt numFmtId="193" formatCode="#,##0.00_);\(#,##0.00\);0.00_);@_)"/>
    <numFmt numFmtId="194" formatCode="\€_(#,##0.00_);\€\(#,##0.00\);\€_(0.00_);@_)"/>
    <numFmt numFmtId="195" formatCode="#,##0_)\x;\(#,##0\)\x;0_)\x;@_)_x"/>
    <numFmt numFmtId="196" formatCode="#,##0.0_)\x;\(#,##0.0\)\x"/>
    <numFmt numFmtId="197" formatCode="#,##0_)_x;\(#,##0\)_x;0_)_x;@_)_x"/>
    <numFmt numFmtId="198" formatCode="m/d/yy\ h:mm\ AM/PM"/>
    <numFmt numFmtId="199" formatCode="#,##0.0_)_x;\(#,##0.0\)_x"/>
    <numFmt numFmtId="200" formatCode="0.0_)\%;\(0.0\)\%"/>
    <numFmt numFmtId="201" formatCode="mmmm\ d\,\ yyyy"/>
    <numFmt numFmtId="202" formatCode="#,##0.0_)_%;\(#,##0.0\)_%"/>
    <numFmt numFmtId="203" formatCode="General_)"/>
    <numFmt numFmtId="204" formatCode="0.0\ \x"/>
    <numFmt numFmtId="205" formatCode="&quot;$&quot;#,##0.000_);\(&quot;$&quot;#,##0.000\)"/>
    <numFmt numFmtId="206" formatCode="m\-d\-yy"/>
    <numFmt numFmtId="207" formatCode="#,##0_);\(#,##0\);&quot;- &quot;"/>
    <numFmt numFmtId="208" formatCode="0.0%;\(0.0%\);&quot;- &quot;"/>
    <numFmt numFmtId="209" formatCode="mm/dd/yy_)"/>
    <numFmt numFmtId="210" formatCode="#,##0;\-#,##0;&quot;-&quot;"/>
    <numFmt numFmtId="211" formatCode="#,##0.00;\(#,##0.00"/>
    <numFmt numFmtId="212" formatCode="d\ mmm\ yy"/>
    <numFmt numFmtId="213" formatCode="#,##0.0_);[Red]\(#,##0.0\)"/>
    <numFmt numFmtId="214" formatCode="_(* #,##0.0_);_(* \(#,##0.0\);_(* &quot;-&quot;?_);_(@_)"/>
    <numFmt numFmtId="215" formatCode="#,##0_%_);\(#,##0\)_%;**;@_%_)"/>
    <numFmt numFmtId="216" formatCode="#,##0_%_);\(#,##0\)_%;#,##0_%_);@_%_)"/>
    <numFmt numFmtId="217" formatCode="&quot;$&quot;#,##0\ ;\(&quot;$&quot;#,##0\)"/>
    <numFmt numFmtId="218" formatCode="&quot;$&quot;#,##0.0\ ;\(&quot;$&quot;#,##0.0\)"/>
    <numFmt numFmtId="219" formatCode="0.00\x"/>
    <numFmt numFmtId="220" formatCode="m/d/yyyy\ \ h:mm\ AM/PM"/>
    <numFmt numFmtId="221" formatCode="#,##0;\(#,##0\)"/>
    <numFmt numFmtId="222" formatCode="#,##0.0;\(#,##0.0\)"/>
    <numFmt numFmtId="223" formatCode="\ #,##0.0_);\(#,##0.0\);\-\ \ ??"/>
    <numFmt numFmtId="224" formatCode="&quot;$&quot;#,##0.0_);\(&quot;$&quot;#,##0.0\)"/>
    <numFmt numFmtId="225" formatCode="&quot;$&quot;#,##0.0"/>
    <numFmt numFmtId="226" formatCode="_-* #,##0.00\ [$€-1]_-;\-* #,##0.00\ [$€-1]_-;_-* &quot;-&quot;??\ [$€-1]_-"/>
    <numFmt numFmtId="227" formatCode="00"/>
    <numFmt numFmtId="228" formatCode=";;;"/>
    <numFmt numFmtId="229" formatCode="0.00_)"/>
    <numFmt numFmtId="230" formatCode="mm/yyyy"/>
    <numFmt numFmtId="231" formatCode="&quot;Standard&quot;_);;&quot;Reverse&quot;_)"/>
    <numFmt numFmtId="232" formatCode="_-* #,##0_-;\-* #,##0_-;_-* &quot;-&quot;_-;_-@_-"/>
    <numFmt numFmtId="233" formatCode="_-* #,##0.00_-;\-* #,##0.00_-;_-* &quot;-&quot;??_-;_-@_-"/>
    <numFmt numFmtId="234" formatCode="#,##0.00&quot; F&quot;_);\(#,##0.00&quot; F&quot;\)"/>
    <numFmt numFmtId="235" formatCode="#,##0&quot; $&quot;;\-#,##0&quot; $&quot;"/>
    <numFmt numFmtId="236" formatCode="_-* #,##0\ _F_-;\-* #,##0\ _F_-;_-* &quot;-&quot;\ _F_-;_-@_-"/>
    <numFmt numFmtId="237" formatCode="_-* #,##0.00\ &quot;F&quot;_-;\-* #,##0.00\ &quot;F&quot;_-;_-* &quot;-&quot;??\ &quot;F&quot;_-;_-@_-"/>
    <numFmt numFmtId="238" formatCode="_-* #,##0\ &quot;Esc.&quot;_-;\-* #,##0\ &quot;Esc.&quot;_-;_-* &quot;-&quot;\ &quot;Esc.&quot;_-;_-@_-"/>
    <numFmt numFmtId="239" formatCode="#,##0.00&quot;$&quot;;[Red]\-#,##0.00&quot;$&quot;"/>
    <numFmt numFmtId="240" formatCode="#,##0&quot; F&quot;_);[Red]\(#,##0&quot; F&quot;\)"/>
    <numFmt numFmtId="241" formatCode="#,##0.00&quot; F&quot;_);[Red]\(#,##0.00&quot; F&quot;\)"/>
    <numFmt numFmtId="242" formatCode="_-* #,##0\ &quot;F&quot;_-;\-* #,##0\ &quot;F&quot;_-;_-* &quot;-&quot;\ &quot;F&quot;_-;_-@_-"/>
    <numFmt numFmtId="243" formatCode="0.0_x_);\(0.0\)_x"/>
    <numFmt numFmtId="244" formatCode="0.0\x_);\(0.0\x\)"/>
    <numFmt numFmtId="245" formatCode="0.0\x_)_);&quot;NM&quot;_x_)_);0.0\x_)_);@_%_)"/>
    <numFmt numFmtId="246" formatCode="_(* #,##0.0000_);_(* \(#,##0.0000\);_(* &quot;-&quot;??_);_(@_)"/>
    <numFmt numFmtId="247" formatCode="0.0%;\(0.0%\)"/>
    <numFmt numFmtId="248" formatCode="#,##0_ "/>
    <numFmt numFmtId="249" formatCode="&quot;$&quot;#,##0.00_);\(&quot;$&quot;#,##0.00\);\-\ ??"/>
    <numFmt numFmtId="250" formatCode="[&lt;=9999999]###\-####;\(###\)\ ###\-####"/>
    <numFmt numFmtId="251" formatCode="#,##0.0\%_);\(#,##0.0\%\);#,##0.0\%_);@_%_)"/>
    <numFmt numFmtId="252" formatCode="#,##0.0_x\);\(#,##0.0\)"/>
    <numFmt numFmtId="253" formatCode="_(&quot;$&quot;* #,##0.0000000000000_);_(&quot;$&quot;* \(#,##0.0000000000000\);_(&quot;$&quot;* &quot;-&quot;??_);_(@_)"/>
    <numFmt numFmtId="254" formatCode="_-* #,##0\ _E_s_c_._-;\-* #,##0\ _E_s_c_._-;_-* &quot;-&quot;\ _E_s_c_._-;_-@_-"/>
    <numFmt numFmtId="255" formatCode="_(&quot;$&quot;* #,##0.000_);_(&quot;$&quot;* \(#,##0.000\);_(&quot;$&quot;* &quot;-&quot;??_);_(@_)"/>
    <numFmt numFmtId="256" formatCode="_-&quot;L.&quot;\ * #,##0_-;\-&quot;L.&quot;\ * #,##0_-;_-&quot;L.&quot;\ * &quot;-&quot;_-;_-@_-"/>
    <numFmt numFmtId="257" formatCode="_-&quot;L.&quot;\ * #,##0.00_-;\-&quot;L.&quot;\ * #,##0.00_-;_-&quot;L.&quot;\ * &quot;-&quot;??_-;_-@_-"/>
    <numFmt numFmtId="258" formatCode="0\ \ ;\(0\)\ \ \ "/>
    <numFmt numFmtId="259" formatCode="&quot;Yes&quot;;;&quot;No&quot;"/>
    <numFmt numFmtId="260" formatCode="#,###\ &quot;SF Retail Income&quot;"/>
    <numFmt numFmtId="261" formatCode="##%\ &quot;of GMP costs&quot;"/>
    <numFmt numFmtId="262" formatCode="&quot;$&quot;##,###\ &quot;per unit&quot;"/>
    <numFmt numFmtId="263" formatCode="##%\ &quot;of total hard costs&quot;"/>
    <numFmt numFmtId="264" formatCode="&quot;$&quot;###\ &quot;per SF of retail&quot;"/>
    <numFmt numFmtId="265" formatCode="##.00%\ &quot;of loan amount&quot;"/>
    <numFmt numFmtId="266" formatCode="&quot;Residual land value at&quot;\ ##%\ &quot;ROC&quot;"/>
    <numFmt numFmtId="267" formatCode="&quot;$&quot;###\ &quot;per SF net leasable&quot;"/>
    <numFmt numFmtId="268" formatCode="#\ &quot;Months of OPEX&quot;"/>
    <numFmt numFmtId="269" formatCode="#.#%\ &quot;of soft costs&quot;"/>
    <numFmt numFmtId="270" formatCode="#%\ &quot;on a five year term&quot;"/>
    <numFmt numFmtId="271" formatCode="##%\ &quot;of Project Budget&quot;"/>
    <numFmt numFmtId="272" formatCode="&quot;$&quot;##,###\ &quot;per stall&quot;"/>
    <numFmt numFmtId="273" formatCode="&quot;Gap at&quot;\ ##%"/>
    <numFmt numFmtId="274" formatCode="##.0%\ &quot;of gross revenue&quot;"/>
    <numFmt numFmtId="275" formatCode="##%\ &quot;of loan amount&quot;"/>
    <numFmt numFmtId="276" formatCode="&quot;Net Affordable Mortage at&quot;\ ##%"/>
    <numFmt numFmtId="277" formatCode="&quot;plus Down Payment of&quot;\ ##%"/>
    <numFmt numFmtId="278" formatCode="##\ &quot;stories&quot;"/>
    <numFmt numFmtId="279" formatCode="&quot;Building footprint at&quot;\ ##\ &quot;stories&quot;"/>
    <numFmt numFmtId="280" formatCode="&quot;Building area at&quot;\ ##%\ &quot;circulation&quot;"/>
    <numFmt numFmtId="281" formatCode="&quot;Parking area at&quot;\ ###\ &quot;sf per stall&quot;"/>
    <numFmt numFmtId="282" formatCode="#,###\ &quot;SF&quot;"/>
    <numFmt numFmtId="283" formatCode="&quot;Fee/unit=&quot;&quot;$&quot;##,###"/>
    <numFmt numFmtId="284" formatCode="&quot;$&quot;###\ &quot;per SF net lease or sale&quot;"/>
    <numFmt numFmtId="285" formatCode="##\ &quot;Units&quot;"/>
    <numFmt numFmtId="286" formatCode="###\ &quot;SF&quot;"/>
    <numFmt numFmtId="287" formatCode="#,###\ &quot;Units&quot;"/>
    <numFmt numFmtId="288" formatCode="m/d/yy;@"/>
    <numFmt numFmtId="289" formatCode="&quot;Fee/SF=&quot;&quot;$&quot;##,###"/>
    <numFmt numFmtId="290" formatCode="&quot;$&quot;##,###\ &quot;per sf&quot;"/>
    <numFmt numFmtId="291" formatCode="&quot;Commercial&quot;\ #,###\ &quot;SF&quot;"/>
    <numFmt numFmtId="292" formatCode="&quot;Feasible Project Costs at&quot;\ ##%\ &quot;ROC&quot;"/>
    <numFmt numFmtId="293" formatCode="&quot;LESS:&quot;\ #.##%\ \ &quot;Selling Costs&quot;"/>
    <numFmt numFmtId="294" formatCode="#%&quot; of total hard costs&quot;"/>
    <numFmt numFmtId="295" formatCode="&quot;$&quot;###.00\ &quot;per SF&quot;"/>
    <numFmt numFmtId="296" formatCode="##.00%\ &quot;of GMP costs&quot;"/>
    <numFmt numFmtId="297" formatCode="##.00%\ &quot;of Project Budget&quot;"/>
    <numFmt numFmtId="298" formatCode="##.00%\ &quot;of GMP&quot;"/>
    <numFmt numFmtId="299" formatCode="&quot;LESS:&quot;\ #.0%\ &quot;Vacancy&quot;"/>
    <numFmt numFmtId="300" formatCode="&quot;$&quot;##,###.00\ &quot;per sf&quot;"/>
    <numFmt numFmtId="301" formatCode="#.00%&quot; of total hard costs&quot;"/>
    <numFmt numFmtId="302" formatCode="#\ &quot;spaces per unit&quot;"/>
    <numFmt numFmtId="303" formatCode="&quot;$&quot;##.##\ &quot;per sf&quot;"/>
    <numFmt numFmtId="304" formatCode="&quot;$&quot;##.##\ &quot;per SF&quot;"/>
    <numFmt numFmtId="305" formatCode="&quot;$&quot;##\ &quot;per space&quot;"/>
    <numFmt numFmtId="306" formatCode="&quot;$&quot;##,###\ &quot;per SF&quot;"/>
  </numFmts>
  <fonts count="200"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2"/>
      <name val="Arial"/>
      <family val="2"/>
    </font>
    <font>
      <b/>
      <sz val="8"/>
      <name val="Times New Roman"/>
      <family val="1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sz val="12"/>
      <name val="Arial MT"/>
    </font>
    <font>
      <b/>
      <sz val="18"/>
      <name val="Times New Roman"/>
      <family val="1"/>
    </font>
    <font>
      <b/>
      <sz val="16"/>
      <name val="Times New Roman"/>
      <family val="1"/>
    </font>
    <font>
      <b/>
      <sz val="14"/>
      <name val="Times New Roman"/>
      <family val="1"/>
    </font>
    <font>
      <u/>
      <sz val="11"/>
      <color theme="11"/>
      <name val="Calibri"/>
      <family val="2"/>
      <scheme val="minor"/>
    </font>
    <font>
      <b/>
      <sz val="10"/>
      <name val="Arial"/>
      <family val="2"/>
    </font>
    <font>
      <sz val="10"/>
      <color indexed="8"/>
      <name val="Arial"/>
      <family val="2"/>
    </font>
    <font>
      <sz val="8"/>
      <name val="Times New Roman"/>
      <family val="1"/>
    </font>
    <font>
      <sz val="11"/>
      <name val="ＭＳ Ｐゴシック"/>
      <charset val="128"/>
    </font>
    <font>
      <sz val="8"/>
      <name val="Palatino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indexed="8"/>
      <name val="Palatino"/>
      <family val="1"/>
    </font>
    <font>
      <b/>
      <sz val="12"/>
      <name val="Helv"/>
    </font>
    <font>
      <b/>
      <i/>
      <sz val="10"/>
      <name val="Helv"/>
      <family val="2"/>
    </font>
    <font>
      <b/>
      <sz val="8"/>
      <name val="Helv"/>
      <family val="2"/>
    </font>
    <font>
      <sz val="7"/>
      <color indexed="12"/>
      <name val="Times New Roman"/>
      <family val="1"/>
    </font>
    <font>
      <sz val="9"/>
      <name val="Tahoma"/>
      <family val="2"/>
    </font>
    <font>
      <sz val="8"/>
      <name val="Times"/>
      <family val="1"/>
    </font>
    <font>
      <sz val="9"/>
      <color indexed="8"/>
      <name val="Times New Roman"/>
      <family val="1"/>
    </font>
    <font>
      <sz val="8"/>
      <color indexed="12"/>
      <name val="Tms Rmn"/>
    </font>
    <font>
      <sz val="10"/>
      <color indexed="12"/>
      <name val="Times New Roman"/>
      <family val="1"/>
    </font>
    <font>
      <sz val="12"/>
      <name val="Tms Rmn"/>
      <family val="1"/>
    </font>
    <font>
      <b/>
      <sz val="12"/>
      <name val="SWISS"/>
    </font>
    <font>
      <b/>
      <i/>
      <sz val="10"/>
      <color indexed="30"/>
      <name val="Comic Sans MS"/>
      <family val="4"/>
    </font>
    <font>
      <sz val="8"/>
      <color indexed="30"/>
      <name val="Comic Sans MS"/>
      <family val="4"/>
    </font>
    <font>
      <b/>
      <sz val="8"/>
      <color indexed="30"/>
      <name val="Comic Sans MS"/>
      <family val="4"/>
    </font>
    <font>
      <sz val="10"/>
      <color indexed="30"/>
      <name val="Comic Sans MS"/>
      <family val="4"/>
    </font>
    <font>
      <sz val="8"/>
      <name val="Helvetica-Narrow"/>
    </font>
    <font>
      <u val="singleAccounting"/>
      <sz val="10"/>
      <name val="Arial"/>
      <family val="2"/>
    </font>
    <font>
      <sz val="12"/>
      <name val="±¼¸²Ã¼"/>
      <family val="3"/>
      <charset val="129"/>
    </font>
    <font>
      <sz val="9"/>
      <color indexed="8"/>
      <name val="Helvetica-Narrow"/>
    </font>
    <font>
      <sz val="8"/>
      <color indexed="13"/>
      <name val="Helvetica-Narrow"/>
    </font>
    <font>
      <b/>
      <sz val="7"/>
      <name val="Helvetica-Narrow"/>
      <family val="2"/>
    </font>
    <font>
      <b/>
      <sz val="7"/>
      <name val="GillSans"/>
    </font>
    <font>
      <b/>
      <sz val="9"/>
      <name val="Tahoma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Helv"/>
    </font>
    <font>
      <b/>
      <sz val="24"/>
      <name val="Courier New"/>
      <family val="3"/>
    </font>
    <font>
      <b/>
      <sz val="10"/>
      <color indexed="30"/>
      <name val="Comic Sans MS"/>
      <family val="4"/>
    </font>
    <font>
      <sz val="12"/>
      <color indexed="30"/>
      <name val="Comic Sans MS"/>
      <family val="4"/>
    </font>
    <font>
      <sz val="10"/>
      <name val="MS Serif"/>
      <family val="1"/>
    </font>
    <font>
      <sz val="10"/>
      <name val="Courier"/>
      <family val="3"/>
    </font>
    <font>
      <sz val="10"/>
      <name val="Book Antiqua"/>
      <family val="1"/>
    </font>
    <font>
      <sz val="10"/>
      <name val="Times New Roman Special G1"/>
    </font>
    <font>
      <sz val="10"/>
      <color indexed="24"/>
      <name val="Arial"/>
      <family val="2"/>
    </font>
    <font>
      <sz val="9"/>
      <name val="Times New Roman"/>
      <family val="1"/>
    </font>
    <font>
      <u/>
      <sz val="8"/>
      <color indexed="12"/>
      <name val="Times New Roman"/>
      <family val="1"/>
    </font>
    <font>
      <sz val="9"/>
      <name val="Arial"/>
      <family val="2"/>
    </font>
    <font>
      <sz val="8"/>
      <color indexed="12"/>
      <name val="Times New Roman"/>
      <family val="1"/>
    </font>
    <font>
      <u val="doubleAccounting"/>
      <sz val="10"/>
      <name val="Arial"/>
      <family val="2"/>
    </font>
    <font>
      <sz val="14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Times New Roman"/>
      <family val="1"/>
    </font>
    <font>
      <i/>
      <sz val="9"/>
      <name val="Times New Roman"/>
      <family val="1"/>
    </font>
    <font>
      <i/>
      <sz val="10"/>
      <name val="Times New Roman"/>
      <family val="1"/>
    </font>
    <font>
      <i/>
      <sz val="9"/>
      <color indexed="8"/>
      <name val="Times New Roman"/>
      <family val="1"/>
    </font>
    <font>
      <b/>
      <sz val="9"/>
      <name val="Times New Roman"/>
      <family val="1"/>
    </font>
    <font>
      <sz val="22"/>
      <name val="Times New Roman"/>
      <family val="1"/>
    </font>
    <font>
      <b/>
      <i/>
      <sz val="8"/>
      <color indexed="12"/>
      <name val="Arial"/>
      <family val="2"/>
    </font>
    <font>
      <sz val="10"/>
      <color indexed="16"/>
      <name val="MS Serif"/>
      <family val="1"/>
    </font>
    <font>
      <sz val="7"/>
      <name val="Palatino"/>
      <family val="1"/>
    </font>
    <font>
      <sz val="9"/>
      <name val="CharterITC BT"/>
      <family val="1"/>
    </font>
    <font>
      <b/>
      <sz val="10"/>
      <name val="Tahoma"/>
      <family val="2"/>
    </font>
    <font>
      <sz val="8"/>
      <name val="Arial"/>
      <family val="2"/>
    </font>
    <font>
      <b/>
      <sz val="12"/>
      <color indexed="9"/>
      <name val="Tms Rmn"/>
    </font>
    <font>
      <u/>
      <sz val="12"/>
      <name val="Tahoma"/>
      <family val="2"/>
    </font>
    <font>
      <i/>
      <u/>
      <sz val="11"/>
      <name val="Tahoma"/>
      <family val="2"/>
    </font>
    <font>
      <u/>
      <sz val="11"/>
      <name val="Tahoma"/>
      <family val="2"/>
    </font>
    <font>
      <i/>
      <u/>
      <sz val="10"/>
      <name val="Tahoma"/>
      <family val="2"/>
    </font>
    <font>
      <u/>
      <sz val="10"/>
      <name val="Tahoma"/>
      <family val="2"/>
    </font>
    <font>
      <i/>
      <u/>
      <sz val="9"/>
      <name val="Tahoma"/>
      <family val="2"/>
    </font>
    <font>
      <u/>
      <sz val="9"/>
      <name val="Tahoma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i/>
      <sz val="22"/>
      <name val="Times New Roman"/>
      <family val="1"/>
    </font>
    <font>
      <b/>
      <sz val="8"/>
      <name val="MS Sans Serif"/>
      <family val="2"/>
    </font>
    <font>
      <b/>
      <sz val="24"/>
      <name val="Geneva"/>
    </font>
    <font>
      <b/>
      <u/>
      <sz val="8"/>
      <name val="Arial"/>
      <family val="2"/>
    </font>
    <font>
      <sz val="10"/>
      <color indexed="12"/>
      <name val="Arial"/>
      <family val="2"/>
    </font>
    <font>
      <i/>
      <sz val="10"/>
      <name val="Arial"/>
      <family val="2"/>
    </font>
    <font>
      <sz val="10"/>
      <color indexed="16"/>
      <name val="MS Sans Serif"/>
      <family val="2"/>
    </font>
    <font>
      <sz val="10"/>
      <name val="Geneva"/>
    </font>
    <font>
      <sz val="14"/>
      <name val="Architecture"/>
      <family val="2"/>
    </font>
    <font>
      <sz val="7"/>
      <name val="Small Fonts"/>
      <family val="2"/>
    </font>
    <font>
      <sz val="11"/>
      <name val="明朝"/>
      <family val="1"/>
      <charset val="128"/>
    </font>
    <font>
      <sz val="10"/>
      <name val="Palatino"/>
      <family val="1"/>
    </font>
    <font>
      <sz val="10"/>
      <name val="ＭＳ Ｐゴシック"/>
      <family val="3"/>
      <charset val="128"/>
    </font>
    <font>
      <sz val="11"/>
      <name val="Times New Roman"/>
      <family val="1"/>
    </font>
    <font>
      <sz val="11"/>
      <name val="‚l‚r –¾’©"/>
      <family val="3"/>
      <charset val="128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26"/>
      <name val="Times New Roman"/>
      <family val="1"/>
    </font>
    <font>
      <sz val="10"/>
      <color indexed="16"/>
      <name val="Helvetica-Black"/>
    </font>
    <font>
      <b/>
      <sz val="14"/>
      <color indexed="12"/>
      <name val="Arial"/>
      <family val="2"/>
    </font>
    <font>
      <sz val="22"/>
      <name val="UBSHeadline"/>
      <family val="1"/>
    </font>
    <font>
      <sz val="10"/>
      <name val="Tms Rmn"/>
      <family val="1"/>
    </font>
    <font>
      <sz val="10"/>
      <name val="MS Sans Serif"/>
      <family val="2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sz val="10"/>
      <name val="GillSans Light"/>
    </font>
    <font>
      <sz val="9.5"/>
      <color indexed="23"/>
      <name val="Helvetica-Black"/>
    </font>
    <font>
      <b/>
      <sz val="16"/>
      <color indexed="16"/>
      <name val="Arial"/>
      <family val="2"/>
    </font>
    <font>
      <sz val="8"/>
      <name val="MS Sans Serif"/>
      <family val="2"/>
    </font>
    <font>
      <sz val="10"/>
      <color indexed="14"/>
      <name val="Century Schoolbook"/>
      <family val="1"/>
    </font>
    <font>
      <b/>
      <sz val="11"/>
      <name val="Helv"/>
    </font>
    <font>
      <b/>
      <u/>
      <sz val="10"/>
      <name val="Tahoma"/>
      <family val="2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name val="Arial"/>
      <family val="2"/>
    </font>
    <font>
      <b/>
      <sz val="7"/>
      <name val="Arial"/>
      <family val="2"/>
    </font>
    <font>
      <sz val="9"/>
      <name val="Helvetica-Black"/>
    </font>
    <font>
      <sz val="9"/>
      <name val="Palatino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1"/>
      <name val="Tahoma"/>
      <family val="2"/>
    </font>
    <font>
      <u/>
      <sz val="8"/>
      <name val="Times New Roman"/>
      <family val="1"/>
    </font>
    <font>
      <b/>
      <sz val="12"/>
      <name val="CG Times (W1)"/>
      <family val="1"/>
    </font>
    <font>
      <b/>
      <i/>
      <sz val="12"/>
      <name val="CG Times (W1)"/>
      <family val="1"/>
    </font>
    <font>
      <b/>
      <i/>
      <sz val="24"/>
      <name val="Arial"/>
      <family val="2"/>
    </font>
    <font>
      <sz val="12"/>
      <name val="Tahoma"/>
      <family val="2"/>
    </font>
    <font>
      <i/>
      <sz val="11"/>
      <name val="Tahoma"/>
      <family val="2"/>
    </font>
    <font>
      <sz val="11"/>
      <name val="Tahoma"/>
      <family val="2"/>
    </font>
    <font>
      <i/>
      <sz val="10"/>
      <name val="Tahoma"/>
      <family val="2"/>
    </font>
    <font>
      <sz val="10"/>
      <name val="Tahoma"/>
      <family val="2"/>
    </font>
    <font>
      <i/>
      <sz val="9"/>
      <name val="Tahoma"/>
      <family val="2"/>
    </font>
    <font>
      <b/>
      <sz val="10"/>
      <color indexed="30"/>
      <name val="Arial"/>
      <family val="2"/>
    </font>
    <font>
      <b/>
      <sz val="7"/>
      <color indexed="12"/>
      <name val="Arial"/>
      <family val="2"/>
    </font>
    <font>
      <u/>
      <sz val="8"/>
      <color indexed="8"/>
      <name val="Arial"/>
      <family val="2"/>
    </font>
    <font>
      <sz val="8"/>
      <color indexed="12"/>
      <name val="Arial"/>
      <family val="2"/>
    </font>
    <font>
      <sz val="10"/>
      <color indexed="9"/>
      <name val="Tms Rmn"/>
    </font>
    <font>
      <sz val="7"/>
      <name val="Times New Roman"/>
      <family val="1"/>
    </font>
    <font>
      <b/>
      <i/>
      <sz val="8"/>
      <name val="Helv"/>
    </font>
    <font>
      <sz val="10"/>
      <name val="ＭＳ 明朝"/>
      <family val="1"/>
      <charset val="128"/>
    </font>
    <font>
      <sz val="9"/>
      <color indexed="8"/>
      <name val="ＭＳ Ｐゴシック"/>
      <family val="3"/>
      <charset val="128"/>
    </font>
    <font>
      <b/>
      <sz val="10"/>
      <color indexed="81"/>
      <name val="Calibri"/>
      <family val="2"/>
    </font>
    <font>
      <sz val="14"/>
      <color indexed="81"/>
      <name val="Calibri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3"/>
      <color theme="1"/>
      <name val="Arial"/>
      <family val="2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3"/>
      <name val="Arial"/>
      <family val="2"/>
    </font>
    <font>
      <b/>
      <sz val="10"/>
      <color rgb="FF0432FF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0"/>
      <name val="Arial"/>
      <family val="2"/>
    </font>
    <font>
      <b/>
      <sz val="10"/>
      <color rgb="FFFFFF00"/>
      <name val="Arial"/>
      <family val="2"/>
    </font>
    <font>
      <sz val="10"/>
      <color theme="9" tint="-0.249977111117893"/>
      <name val="Arial"/>
      <family val="2"/>
    </font>
    <font>
      <sz val="11"/>
      <color rgb="FF00B0F0"/>
      <name val="Arial"/>
      <family val="2"/>
    </font>
    <font>
      <sz val="10"/>
      <color rgb="FF00B0F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color theme="4"/>
      <name val="Arial"/>
      <family val="2"/>
    </font>
    <font>
      <b/>
      <sz val="10"/>
      <color rgb="FF00B0F0"/>
      <name val="Arial"/>
      <family val="2"/>
    </font>
    <font>
      <b/>
      <sz val="9"/>
      <color theme="1"/>
      <name val="Arial"/>
      <family val="2"/>
    </font>
    <font>
      <b/>
      <sz val="14"/>
      <color theme="0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00B0F0"/>
      <name val="Arial"/>
      <family val="2"/>
    </font>
    <font>
      <b/>
      <sz val="12"/>
      <color theme="0"/>
      <name val="Arial"/>
      <family val="2"/>
    </font>
    <font>
      <sz val="11"/>
      <color rgb="FF00B0F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rgb="FFFF000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</patternFill>
    </fill>
    <fill>
      <patternFill patternType="solid">
        <fgColor indexed="44"/>
        <bgColor indexed="64"/>
      </patternFill>
    </fill>
    <fill>
      <patternFill patternType="lightGray">
        <fgColor indexed="15"/>
      </patternFill>
    </fill>
    <fill>
      <patternFill patternType="solid">
        <fgColor indexed="2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10"/>
      </patternFill>
    </fill>
    <fill>
      <patternFill patternType="solid">
        <fgColor indexed="22"/>
        <bgColor indexed="22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6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C6EFCE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14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/>
      <right/>
      <top style="thick">
        <color indexed="30"/>
      </top>
      <bottom/>
      <diagonal/>
    </border>
    <border>
      <left style="thin">
        <color indexed="30"/>
      </left>
      <right style="thin">
        <color indexed="30"/>
      </right>
      <top/>
      <bottom style="double">
        <color indexed="30"/>
      </bottom>
      <diagonal/>
    </border>
    <border>
      <left/>
      <right/>
      <top/>
      <bottom style="thin">
        <color indexed="30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30"/>
      </bottom>
      <diagonal/>
    </border>
    <border>
      <left style="thin">
        <color indexed="30"/>
      </left>
      <right style="thin">
        <color indexed="30"/>
      </right>
      <top/>
      <bottom style="thin">
        <color indexed="30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30"/>
      </left>
      <right/>
      <top/>
      <bottom/>
      <diagonal/>
    </border>
    <border>
      <left style="thin">
        <color indexed="30"/>
      </left>
      <right style="thin">
        <color indexed="30"/>
      </right>
      <top/>
      <bottom/>
      <diagonal/>
    </border>
    <border>
      <left/>
      <right/>
      <top/>
      <bottom style="dotted">
        <color auto="1"/>
      </bottom>
      <diagonal/>
    </border>
    <border>
      <left/>
      <right/>
      <top/>
      <bottom style="medium">
        <color indexed="63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thin">
        <color indexed="23"/>
      </bottom>
      <diagonal/>
    </border>
    <border>
      <left/>
      <right/>
      <top style="thick">
        <color indexed="17"/>
      </top>
      <bottom/>
      <diagonal/>
    </border>
    <border>
      <left/>
      <right/>
      <top/>
      <bottom style="thick">
        <color indexed="18"/>
      </bottom>
      <diagonal/>
    </border>
    <border>
      <left/>
      <right/>
      <top/>
      <bottom style="thin">
        <color indexed="18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ck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30"/>
      </left>
      <right/>
      <top/>
      <bottom style="thin">
        <color indexed="30"/>
      </bottom>
      <diagonal/>
    </border>
    <border>
      <left/>
      <right style="thin">
        <color indexed="30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indexed="30"/>
      </left>
      <right style="thin">
        <color indexed="30"/>
      </right>
      <top style="thick">
        <color indexed="30"/>
      </top>
      <bottom style="thick">
        <color indexed="30"/>
      </bottom>
      <diagonal/>
    </border>
    <border>
      <left/>
      <right/>
      <top style="thin">
        <color auto="1"/>
      </top>
      <bottom style="hair">
        <color indexed="22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/>
      <bottom style="medium">
        <color indexed="4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ck">
        <color theme="4" tint="0.3999755851924192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auto="1"/>
      </bottom>
      <diagonal/>
    </border>
    <border>
      <left/>
      <right/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auto="1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</borders>
  <cellStyleXfs count="1361">
    <xf numFmtId="0" fontId="0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7" fillId="0" borderId="0"/>
    <xf numFmtId="43" fontId="15" fillId="0" borderId="0" applyFont="0" applyFill="0" applyBorder="0" applyAlignment="0" applyProtection="0"/>
    <xf numFmtId="0" fontId="18" fillId="0" borderId="0"/>
    <xf numFmtId="9" fontId="1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3" fontId="25" fillId="0" borderId="0">
      <alignment horizontal="right"/>
    </xf>
    <xf numFmtId="184" fontId="25" fillId="0" borderId="0">
      <alignment horizontal="right"/>
    </xf>
    <xf numFmtId="185" fontId="25" fillId="0" borderId="0">
      <alignment horizontal="right"/>
    </xf>
    <xf numFmtId="186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26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26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26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27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2" fontId="26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2" fontId="26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67" fontId="27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2" fontId="26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26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26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26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15" fillId="12" borderId="0" applyNumberFormat="0" applyFont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67" fontId="27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67" fontId="27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26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26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8" fontId="27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8" fontId="27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7" fontId="15" fillId="0" borderId="0" applyFont="0" applyFill="0" applyBorder="0" applyProtection="0">
      <alignment horizontal="right"/>
    </xf>
    <xf numFmtId="199" fontId="26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9" fontId="26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9" fontId="26" fillId="0" borderId="0" applyFont="0" applyFill="0" applyBorder="0" applyAlignment="0" applyProtection="0"/>
    <xf numFmtId="200" fontId="26" fillId="0" borderId="0" applyFont="0" applyFill="0" applyBorder="0" applyAlignment="0" applyProtection="0"/>
    <xf numFmtId="201" fontId="27" fillId="0" borderId="0" applyFont="0" applyFill="0" applyBorder="0" applyAlignment="0" applyProtection="0"/>
    <xf numFmtId="201" fontId="27" fillId="0" borderId="0" applyFont="0" applyFill="0" applyBorder="0" applyAlignment="0" applyProtection="0"/>
    <xf numFmtId="202" fontId="26" fillId="0" borderId="0" applyFont="0" applyFill="0" applyBorder="0" applyAlignment="0" applyProtection="0"/>
    <xf numFmtId="203" fontId="27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29" fillId="0" borderId="0" applyNumberFormat="0" applyFill="0" applyBorder="0" applyProtection="0">
      <alignment vertical="top"/>
    </xf>
    <xf numFmtId="0" fontId="30" fillId="0" borderId="16" applyNumberFormat="0" applyFill="0" applyAlignment="0" applyProtection="0"/>
    <xf numFmtId="0" fontId="31" fillId="0" borderId="17" applyNumberFormat="0" applyFill="0" applyProtection="0">
      <alignment horizontal="center"/>
    </xf>
    <xf numFmtId="0" fontId="31" fillId="0" borderId="0" applyNumberFormat="0" applyFill="0" applyBorder="0" applyProtection="0">
      <alignment horizontal="left"/>
    </xf>
    <xf numFmtId="0" fontId="32" fillId="0" borderId="0" applyNumberFormat="0" applyFill="0" applyBorder="0" applyProtection="0">
      <alignment horizontal="centerContinuous"/>
    </xf>
    <xf numFmtId="204" fontId="33" fillId="0" borderId="0">
      <alignment horizontal="left"/>
      <protection locked="0"/>
    </xf>
    <xf numFmtId="38" fontId="9" fillId="0" borderId="18"/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39" fontId="36" fillId="0" borderId="0">
      <alignment horizontal="center"/>
    </xf>
    <xf numFmtId="205" fontId="37" fillId="0" borderId="0">
      <protection locked="0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14" fontId="38" fillId="0" borderId="0"/>
    <xf numFmtId="206" fontId="23" fillId="13" borderId="19">
      <alignment horizontal="center" vertical="center"/>
    </xf>
    <xf numFmtId="0" fontId="39" fillId="0" borderId="0"/>
    <xf numFmtId="37" fontId="21" fillId="0" borderId="0" applyFont="0" applyAlignment="0">
      <alignment horizontal="centerContinuous" vertical="top"/>
    </xf>
    <xf numFmtId="0" fontId="25" fillId="0" borderId="0">
      <alignment horizontal="center" wrapText="1"/>
      <protection locked="0"/>
    </xf>
    <xf numFmtId="0" fontId="1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207" fontId="15" fillId="0" borderId="0" applyFont="0" applyFill="0" applyBorder="0" applyAlignment="0"/>
    <xf numFmtId="208" fontId="40" fillId="0" borderId="0" applyFont="0" applyFill="0" applyBorder="0" applyAlignment="0">
      <alignment horizontal="right"/>
    </xf>
    <xf numFmtId="0" fontId="41" fillId="0" borderId="0" applyNumberFormat="0" applyFill="0" applyBorder="0" applyAlignment="0" applyProtection="0"/>
    <xf numFmtId="0" fontId="37" fillId="0" borderId="0">
      <protection locked="0"/>
    </xf>
    <xf numFmtId="209" fontId="37" fillId="0" borderId="0">
      <alignment horizontal="right"/>
      <protection locked="0"/>
    </xf>
    <xf numFmtId="7" fontId="42" fillId="0" borderId="0">
      <alignment horizontal="right"/>
      <protection locked="0"/>
    </xf>
    <xf numFmtId="203" fontId="37" fillId="0" borderId="0">
      <alignment horizontal="right"/>
      <protection locked="0"/>
    </xf>
    <xf numFmtId="0" fontId="43" fillId="0" borderId="0" applyNumberFormat="0" applyFill="0" applyBorder="0" applyAlignment="0" applyProtection="0"/>
    <xf numFmtId="0" fontId="44" fillId="0" borderId="0"/>
    <xf numFmtId="0" fontId="45" fillId="0" borderId="20"/>
    <xf numFmtId="0" fontId="46" fillId="13" borderId="21" applyAlignment="0">
      <alignment horizontal="center"/>
    </xf>
    <xf numFmtId="0" fontId="47" fillId="0" borderId="22"/>
    <xf numFmtId="0" fontId="25" fillId="0" borderId="23" applyNumberFormat="0" applyFont="0" applyFill="0" applyAlignment="0" applyProtection="0"/>
    <xf numFmtId="203" fontId="15" fillId="0" borderId="24" applyNumberFormat="0" applyFill="0" applyAlignment="0" applyProtection="0"/>
    <xf numFmtId="0" fontId="48" fillId="0" borderId="25"/>
    <xf numFmtId="0" fontId="48" fillId="0" borderId="26"/>
    <xf numFmtId="0" fontId="49" fillId="0" borderId="0"/>
    <xf numFmtId="0" fontId="50" fillId="0" borderId="0" applyFont="0" applyFill="0" applyBorder="0" applyAlignment="0" applyProtection="0"/>
    <xf numFmtId="0" fontId="51" fillId="0" borderId="0"/>
    <xf numFmtId="210" fontId="24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211" fontId="52" fillId="0" borderId="11" applyFill="0" applyBorder="0" applyAlignment="0" applyProtection="0">
      <alignment horizontal="right"/>
    </xf>
    <xf numFmtId="212" fontId="53" fillId="0" borderId="0" applyFont="0" applyFill="0"/>
    <xf numFmtId="39" fontId="25" fillId="14" borderId="0" applyNumberFormat="0" applyFont="0" applyBorder="0" applyAlignment="0"/>
    <xf numFmtId="213" fontId="15" fillId="0" borderId="0" applyFill="0" applyBorder="0" applyProtection="0"/>
    <xf numFmtId="0" fontId="11" fillId="0" borderId="12" applyNumberFormat="0" applyFont="0" applyFill="0" applyProtection="0">
      <alignment horizontal="centerContinuous" vertical="center"/>
    </xf>
    <xf numFmtId="0" fontId="54" fillId="0" borderId="27" applyNumberFormat="0" applyFill="0" applyProtection="0">
      <alignment horizontal="center" vertical="center"/>
    </xf>
    <xf numFmtId="0" fontId="55" fillId="0" borderId="28" applyNumberFormat="0" applyFill="0" applyBorder="0" applyProtection="0">
      <alignment horizontal="right" vertical="center"/>
    </xf>
    <xf numFmtId="0" fontId="11" fillId="0" borderId="0" applyNumberFormat="0" applyFill="0" applyBorder="0" applyProtection="0">
      <alignment horizontal="center" vertical="center"/>
    </xf>
    <xf numFmtId="0" fontId="56" fillId="13" borderId="0" applyNumberFormat="0">
      <alignment horizontal="center"/>
    </xf>
    <xf numFmtId="0" fontId="15" fillId="0" borderId="0" applyFont="0" applyFill="0" applyBorder="0" applyAlignment="0" applyProtection="0"/>
    <xf numFmtId="214" fontId="15" fillId="0" borderId="0" applyFont="0" applyFill="0" applyBorder="0" applyAlignment="0" applyProtection="0"/>
    <xf numFmtId="0" fontId="27" fillId="0" borderId="0" applyFont="0" applyFill="0" applyBorder="0" applyAlignment="0" applyProtection="0">
      <alignment horizontal="right"/>
    </xf>
    <xf numFmtId="215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57" fillId="0" borderId="0" applyFont="0" applyFill="0" applyBorder="0" applyAlignment="0" applyProtection="0"/>
    <xf numFmtId="0" fontId="58" fillId="0" borderId="0"/>
    <xf numFmtId="0" fontId="59" fillId="0" borderId="0"/>
    <xf numFmtId="3" fontId="60" fillId="0" borderId="0" applyFill="0" applyBorder="0" applyAlignment="0" applyProtection="0"/>
    <xf numFmtId="0" fontId="58" fillId="0" borderId="0"/>
    <xf numFmtId="41" fontId="46" fillId="0" borderId="29">
      <alignment horizontal="center"/>
      <protection locked="0" hidden="1"/>
    </xf>
    <xf numFmtId="41" fontId="46" fillId="0" borderId="30">
      <alignment horizontal="center"/>
      <protection locked="0"/>
    </xf>
    <xf numFmtId="41" fontId="61" fillId="0" borderId="20">
      <protection hidden="1"/>
    </xf>
    <xf numFmtId="41" fontId="62" fillId="0" borderId="20"/>
    <xf numFmtId="41" fontId="46" fillId="0" borderId="20">
      <alignment horizontal="right"/>
    </xf>
    <xf numFmtId="0" fontId="63" fillId="0" borderId="0" applyNumberFormat="0" applyAlignment="0">
      <alignment horizontal="left"/>
    </xf>
    <xf numFmtId="0" fontId="64" fillId="0" borderId="0" applyNumberFormat="0" applyAlignment="0"/>
    <xf numFmtId="0" fontId="59" fillId="0" borderId="0"/>
    <xf numFmtId="0" fontId="58" fillId="0" borderId="0"/>
    <xf numFmtId="0" fontId="15" fillId="0" borderId="0" applyFont="0" applyFill="0" applyBorder="0" applyAlignment="0" applyProtection="0"/>
    <xf numFmtId="8" fontId="65" fillId="0" borderId="0" applyBorder="0"/>
    <xf numFmtId="0" fontId="27" fillId="0" borderId="0" applyFont="0" applyFill="0" applyBorder="0" applyAlignment="0" applyProtection="0">
      <alignment horizontal="right"/>
    </xf>
    <xf numFmtId="44" fontId="6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217" fontId="67" fillId="0" borderId="0" applyFont="0" applyFill="0" applyBorder="0" applyAlignment="0" applyProtection="0"/>
    <xf numFmtId="218" fontId="68" fillId="0" borderId="0"/>
    <xf numFmtId="44" fontId="61" fillId="0" borderId="20">
      <alignment horizontal="center"/>
      <protection hidden="1"/>
    </xf>
    <xf numFmtId="39" fontId="38" fillId="0" borderId="0">
      <alignment horizontal="right"/>
    </xf>
    <xf numFmtId="14" fontId="46" fillId="0" borderId="30">
      <alignment horizontal="center"/>
    </xf>
    <xf numFmtId="0" fontId="27" fillId="0" borderId="0" applyFont="0" applyFill="0" applyBorder="0" applyAlignment="0" applyProtection="0"/>
    <xf numFmtId="219" fontId="15" fillId="0" borderId="0">
      <alignment horizontal="right"/>
    </xf>
    <xf numFmtId="14" fontId="24" fillId="0" borderId="0" applyFill="0" applyBorder="0" applyAlignment="0"/>
    <xf numFmtId="14" fontId="25" fillId="0" borderId="0">
      <alignment horizontal="right"/>
    </xf>
    <xf numFmtId="14" fontId="69" fillId="0" borderId="0">
      <alignment horizontal="right"/>
      <protection locked="0"/>
    </xf>
    <xf numFmtId="220" fontId="70" fillId="0" borderId="0" applyFill="0" applyProtection="0">
      <alignment vertical="center"/>
    </xf>
    <xf numFmtId="221" fontId="25" fillId="0" borderId="0">
      <alignment horizontal="right"/>
    </xf>
    <xf numFmtId="222" fontId="25" fillId="0" borderId="0">
      <alignment horizontal="right"/>
    </xf>
    <xf numFmtId="223" fontId="15" fillId="0" borderId="0">
      <alignment horizontal="right"/>
    </xf>
    <xf numFmtId="8" fontId="15" fillId="0" borderId="0" applyFill="0" applyBorder="0" applyProtection="0"/>
    <xf numFmtId="224" fontId="25" fillId="0" borderId="0"/>
    <xf numFmtId="224" fontId="71" fillId="0" borderId="0">
      <protection locked="0"/>
    </xf>
    <xf numFmtId="7" fontId="25" fillId="0" borderId="0"/>
    <xf numFmtId="0" fontId="27" fillId="0" borderId="31" applyNumberFormat="0" applyFont="0" applyFill="0" applyAlignment="0" applyProtection="0"/>
    <xf numFmtId="42" fontId="72" fillId="0" borderId="0" applyFill="0" applyBorder="0" applyAlignment="0" applyProtection="0"/>
    <xf numFmtId="171" fontId="9" fillId="15" borderId="0">
      <alignment vertical="center"/>
    </xf>
    <xf numFmtId="171" fontId="10" fillId="0" borderId="0">
      <alignment vertical="center"/>
    </xf>
    <xf numFmtId="171" fontId="10" fillId="0" borderId="0">
      <alignment vertical="center"/>
    </xf>
    <xf numFmtId="171" fontId="73" fillId="16" borderId="32" applyNumberFormat="0" applyAlignment="0">
      <alignment horizontal="center" vertical="center"/>
    </xf>
    <xf numFmtId="171" fontId="74" fillId="16" borderId="0">
      <alignment horizontal="center" vertical="center"/>
    </xf>
    <xf numFmtId="14" fontId="9" fillId="16" borderId="0">
      <alignment horizontal="center" vertical="center"/>
    </xf>
    <xf numFmtId="17" fontId="68" fillId="16" borderId="0">
      <alignment horizontal="center" vertical="center"/>
    </xf>
    <xf numFmtId="171" fontId="16" fillId="0" borderId="0">
      <alignment vertical="center"/>
    </xf>
    <xf numFmtId="171" fontId="75" fillId="16" borderId="0">
      <alignment vertical="center"/>
    </xf>
    <xf numFmtId="171" fontId="76" fillId="16" borderId="0">
      <alignment vertical="center"/>
    </xf>
    <xf numFmtId="167" fontId="77" fillId="16" borderId="33">
      <alignment vertical="center"/>
    </xf>
    <xf numFmtId="0" fontId="9" fillId="16" borderId="33">
      <alignment vertical="center"/>
    </xf>
    <xf numFmtId="37" fontId="68" fillId="16" borderId="0">
      <alignment horizontal="left" vertical="center"/>
    </xf>
    <xf numFmtId="171" fontId="68" fillId="16" borderId="0">
      <alignment horizontal="center" vertical="center"/>
    </xf>
    <xf numFmtId="225" fontId="40" fillId="16" borderId="0">
      <alignment horizontal="right" vertical="center"/>
    </xf>
    <xf numFmtId="165" fontId="40" fillId="16" borderId="0">
      <alignment horizontal="right" vertical="center"/>
    </xf>
    <xf numFmtId="167" fontId="78" fillId="16" borderId="0">
      <alignment horizontal="right" vertical="center"/>
    </xf>
    <xf numFmtId="167" fontId="78" fillId="16" borderId="9">
      <alignment horizontal="right" vertical="center"/>
    </xf>
    <xf numFmtId="165" fontId="79" fillId="16" borderId="33">
      <alignment horizontal="right" vertical="center"/>
    </xf>
    <xf numFmtId="170" fontId="30" fillId="16" borderId="0">
      <alignment horizontal="right" vertical="center"/>
    </xf>
    <xf numFmtId="4" fontId="40" fillId="16" borderId="0">
      <alignment horizontal="right" vertical="center"/>
    </xf>
    <xf numFmtId="170" fontId="68" fillId="16" borderId="28">
      <alignment horizontal="right" vertical="center"/>
    </xf>
    <xf numFmtId="165" fontId="68" fillId="16" borderId="28">
      <alignment horizontal="right" vertical="center"/>
    </xf>
    <xf numFmtId="165" fontId="79" fillId="16" borderId="0">
      <alignment horizontal="right" vertical="center"/>
    </xf>
    <xf numFmtId="219" fontId="68" fillId="16" borderId="0">
      <alignment horizontal="right" vertical="center"/>
    </xf>
    <xf numFmtId="171" fontId="9" fillId="0" borderId="0">
      <alignment vertical="center"/>
    </xf>
    <xf numFmtId="171" fontId="16" fillId="16" borderId="28" applyBorder="0">
      <alignment horizontal="left" vertical="center"/>
    </xf>
    <xf numFmtId="171" fontId="80" fillId="16" borderId="0">
      <alignment horizontal="left" vertical="center"/>
    </xf>
    <xf numFmtId="171" fontId="16" fillId="16" borderId="34">
      <alignment horizontal="left"/>
    </xf>
    <xf numFmtId="171" fontId="25" fillId="16" borderId="35">
      <alignment vertical="center"/>
    </xf>
    <xf numFmtId="171" fontId="25" fillId="16" borderId="36">
      <alignment vertical="center"/>
    </xf>
    <xf numFmtId="171" fontId="25" fillId="16" borderId="9">
      <alignment vertical="center"/>
    </xf>
    <xf numFmtId="171" fontId="10" fillId="16" borderId="37">
      <alignment horizontal="center" vertical="center"/>
    </xf>
    <xf numFmtId="171" fontId="10" fillId="0" borderId="0">
      <alignment vertical="center"/>
    </xf>
    <xf numFmtId="171" fontId="10" fillId="0" borderId="0">
      <alignment vertical="center"/>
    </xf>
    <xf numFmtId="171" fontId="10" fillId="0" borderId="0">
      <alignment vertical="center"/>
    </xf>
    <xf numFmtId="167" fontId="81" fillId="0" borderId="38" applyNumberFormat="0" applyAlignment="0" applyProtection="0">
      <alignment vertical="top"/>
    </xf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82" fillId="0" borderId="0" applyNumberFormat="0" applyAlignment="0">
      <alignment horizontal="left"/>
    </xf>
    <xf numFmtId="226" fontId="15" fillId="0" borderId="0" applyFont="0" applyFill="0" applyBorder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8" fillId="0" borderId="0" applyNumberFormat="0" applyFill="0" applyBorder="0" applyAlignment="0" applyProtection="0"/>
    <xf numFmtId="167" fontId="38" fillId="0" borderId="0" applyBorder="0"/>
    <xf numFmtId="227" fontId="9" fillId="0" borderId="0">
      <protection locked="0"/>
    </xf>
    <xf numFmtId="0" fontId="59" fillId="0" borderId="0"/>
    <xf numFmtId="0" fontId="83" fillId="0" borderId="0" applyFill="0" applyBorder="0" applyProtection="0">
      <alignment horizontal="left"/>
    </xf>
    <xf numFmtId="216" fontId="84" fillId="0" borderId="0"/>
    <xf numFmtId="0" fontId="85" fillId="0" borderId="0">
      <alignment horizontal="left" indent="2"/>
    </xf>
    <xf numFmtId="38" fontId="86" fillId="17" borderId="0" applyNumberFormat="0" applyBorder="0" applyAlignment="0" applyProtection="0"/>
    <xf numFmtId="0" fontId="27" fillId="0" borderId="0" applyFont="0" applyFill="0" applyBorder="0" applyAlignment="0" applyProtection="0">
      <alignment horizontal="right"/>
    </xf>
    <xf numFmtId="0" fontId="87" fillId="18" borderId="0"/>
    <xf numFmtId="0" fontId="15" fillId="0" borderId="0"/>
    <xf numFmtId="0" fontId="88" fillId="0" borderId="0" applyNumberFormat="0" applyFill="0" applyBorder="0" applyAlignment="0" applyProtection="0">
      <alignment horizontal="left"/>
    </xf>
    <xf numFmtId="0" fontId="89" fillId="0" borderId="0" applyNumberFormat="0" applyFill="0" applyBorder="0" applyAlignment="0" applyProtection="0">
      <alignment horizontal="left"/>
    </xf>
    <xf numFmtId="0" fontId="90" fillId="0" borderId="0" applyNumberFormat="0" applyFill="0" applyBorder="0" applyAlignment="0" applyProtection="0">
      <alignment horizontal="left"/>
    </xf>
    <xf numFmtId="0" fontId="91" fillId="0" borderId="0" applyNumberFormat="0" applyFill="0" applyBorder="0" applyAlignment="0" applyProtection="0">
      <alignment horizontal="left"/>
    </xf>
    <xf numFmtId="0" fontId="92" fillId="0" borderId="0" applyNumberFormat="0" applyFill="0" applyAlignment="0" applyProtection="0">
      <alignment horizontal="left"/>
    </xf>
    <xf numFmtId="0" fontId="91" fillId="0" borderId="0" applyNumberFormat="0" applyFill="0" applyBorder="0" applyAlignment="0" applyProtection="0">
      <alignment horizontal="left"/>
    </xf>
    <xf numFmtId="0" fontId="92" fillId="0" borderId="0" applyNumberFormat="0" applyFill="0" applyBorder="0" applyAlignment="0" applyProtection="0">
      <alignment horizontal="left"/>
    </xf>
    <xf numFmtId="0" fontId="93" fillId="0" borderId="0" applyNumberFormat="0" applyFill="0" applyBorder="0" applyAlignment="0" applyProtection="0">
      <alignment horizontal="left"/>
    </xf>
    <xf numFmtId="0" fontId="94" fillId="0" borderId="0" applyNumberFormat="0" applyFill="0" applyBorder="0" applyAlignment="0" applyProtection="0">
      <alignment horizontal="left"/>
    </xf>
    <xf numFmtId="0" fontId="95" fillId="0" borderId="0" applyNumberFormat="0" applyFill="0" applyBorder="0" applyAlignment="0" applyProtection="0"/>
    <xf numFmtId="0" fontId="96" fillId="0" borderId="7" applyNumberFormat="0" applyAlignment="0" applyProtection="0">
      <alignment horizontal="left" vertical="center"/>
    </xf>
    <xf numFmtId="0" fontId="96" fillId="0" borderId="4">
      <alignment horizontal="left" vertical="center"/>
    </xf>
    <xf numFmtId="8" fontId="34" fillId="0" borderId="0" applyProtection="0">
      <alignment horizontal="center"/>
    </xf>
    <xf numFmtId="0" fontId="20" fillId="0" borderId="0">
      <alignment horizontal="right"/>
    </xf>
    <xf numFmtId="0" fontId="20" fillId="0" borderId="0">
      <alignment horizontal="left"/>
    </xf>
    <xf numFmtId="0" fontId="15" fillId="0" borderId="0">
      <protection locked="0"/>
    </xf>
    <xf numFmtId="0" fontId="15" fillId="0" borderId="0">
      <protection locked="0"/>
    </xf>
    <xf numFmtId="0" fontId="97" fillId="0" borderId="40" applyNumberFormat="0" applyFill="0" applyBorder="0" applyAlignment="0" applyProtection="0">
      <alignment horizontal="left"/>
    </xf>
    <xf numFmtId="0" fontId="98" fillId="0" borderId="0">
      <alignment horizontal="center"/>
    </xf>
    <xf numFmtId="0" fontId="99" fillId="0" borderId="12"/>
    <xf numFmtId="0" fontId="15" fillId="13" borderId="6" applyNumberFormat="0" applyFont="0" applyBorder="0" applyAlignment="0" applyProtection="0"/>
    <xf numFmtId="0" fontId="15" fillId="13" borderId="6" applyNumberFormat="0" applyFont="0" applyBorder="0" applyAlignment="0" applyProtection="0"/>
    <xf numFmtId="0" fontId="15" fillId="13" borderId="6" applyNumberFormat="0" applyFont="0" applyBorder="0" applyAlignment="0" applyProtection="0"/>
    <xf numFmtId="0" fontId="15" fillId="13" borderId="6" applyNumberFormat="0" applyFont="0" applyBorder="0" applyAlignment="0" applyProtection="0"/>
    <xf numFmtId="0" fontId="15" fillId="13" borderId="6" applyNumberFormat="0" applyFont="0" applyBorder="0" applyAlignment="0" applyProtection="0"/>
    <xf numFmtId="0" fontId="15" fillId="13" borderId="6" applyNumberFormat="0" applyFont="0" applyBorder="0" applyAlignment="0" applyProtection="0"/>
    <xf numFmtId="3" fontId="49" fillId="0" borderId="0" applyNumberFormat="0" applyFill="0" applyBorder="0" applyAlignment="0" applyProtection="0"/>
    <xf numFmtId="228" fontId="9" fillId="0" borderId="0"/>
    <xf numFmtId="228" fontId="100" fillId="0" borderId="0" applyFont="0" applyFill="0" applyBorder="0" applyAlignment="0" applyProtection="0"/>
    <xf numFmtId="0" fontId="101" fillId="0" borderId="41" applyNumberFormat="0" applyFill="0" applyAlignment="0" applyProtection="0"/>
    <xf numFmtId="37" fontId="38" fillId="0" borderId="0" applyBorder="0"/>
    <xf numFmtId="10" fontId="86" fillId="19" borderId="1" applyNumberFormat="0" applyBorder="0" applyAlignment="0" applyProtection="0"/>
    <xf numFmtId="40" fontId="42" fillId="0" borderId="1">
      <protection locked="0"/>
    </xf>
    <xf numFmtId="38" fontId="42" fillId="0" borderId="1">
      <protection locked="0"/>
    </xf>
    <xf numFmtId="8" fontId="42" fillId="0" borderId="1">
      <protection locked="0"/>
    </xf>
    <xf numFmtId="6" fontId="42" fillId="0" borderId="1">
      <protection locked="0"/>
    </xf>
    <xf numFmtId="10" fontId="42" fillId="0" borderId="1">
      <protection locked="0"/>
    </xf>
    <xf numFmtId="9" fontId="42" fillId="0" borderId="1">
      <protection locked="0"/>
    </xf>
    <xf numFmtId="38" fontId="101" fillId="0" borderId="0"/>
    <xf numFmtId="40" fontId="9" fillId="0" borderId="0"/>
    <xf numFmtId="229" fontId="25" fillId="0" borderId="0">
      <alignment horizontal="left"/>
    </xf>
    <xf numFmtId="0" fontId="15" fillId="0" borderId="29"/>
    <xf numFmtId="2" fontId="102" fillId="0" borderId="1"/>
    <xf numFmtId="0" fontId="86" fillId="17" borderId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37" fontId="103" fillId="0" borderId="0" applyNumberFormat="0" applyFill="0" applyBorder="0" applyAlignment="0" applyProtection="0">
      <alignment horizontal="right"/>
    </xf>
    <xf numFmtId="44" fontId="8" fillId="0" borderId="0">
      <alignment horizontal="justify"/>
    </xf>
    <xf numFmtId="230" fontId="38" fillId="0" borderId="0"/>
    <xf numFmtId="231" fontId="27" fillId="0" borderId="0" applyFill="0" applyBorder="0" applyAlignment="0" applyProtection="0">
      <alignment horizontal="right"/>
    </xf>
    <xf numFmtId="232" fontId="15" fillId="0" borderId="0" applyFont="0" applyFill="0" applyBorder="0" applyAlignment="0" applyProtection="0"/>
    <xf numFmtId="233" fontId="15" fillId="0" borderId="0" applyFont="0" applyFill="0" applyBorder="0" applyAlignment="0" applyProtection="0"/>
    <xf numFmtId="234" fontId="15" fillId="0" borderId="0" applyFont="0" applyFill="0" applyBorder="0" applyAlignment="0" applyProtection="0"/>
    <xf numFmtId="235" fontId="15" fillId="0" borderId="0" applyFont="0" applyFill="0" applyBorder="0" applyAlignment="0" applyProtection="0"/>
    <xf numFmtId="236" fontId="15" fillId="0" borderId="0" applyFont="0" applyFill="0" applyBorder="0" applyAlignment="0" applyProtection="0"/>
    <xf numFmtId="237" fontId="15" fillId="0" borderId="0" applyFont="0" applyFill="0" applyBorder="0" applyAlignment="0" applyProtection="0"/>
    <xf numFmtId="238" fontId="15" fillId="0" borderId="0" applyFont="0" applyFill="0" applyBorder="0" applyAlignment="0" applyProtection="0"/>
    <xf numFmtId="239" fontId="104" fillId="0" borderId="0" applyFont="0" applyFill="0" applyBorder="0" applyAlignment="0" applyProtection="0"/>
    <xf numFmtId="240" fontId="15" fillId="0" borderId="0" applyFont="0" applyFill="0" applyBorder="0" applyAlignment="0" applyProtection="0"/>
    <xf numFmtId="241" fontId="15" fillId="0" borderId="0" applyFont="0" applyFill="0" applyBorder="0" applyAlignment="0" applyProtection="0"/>
    <xf numFmtId="242" fontId="15" fillId="0" borderId="0" applyFont="0" applyFill="0" applyBorder="0" applyAlignment="0" applyProtection="0"/>
    <xf numFmtId="237" fontId="15" fillId="0" borderId="0" applyFont="0" applyFill="0" applyBorder="0" applyAlignment="0" applyProtection="0"/>
    <xf numFmtId="0" fontId="105" fillId="0" borderId="0"/>
    <xf numFmtId="0" fontId="27" fillId="0" borderId="0" applyFont="0" applyFill="0" applyBorder="0" applyAlignment="0" applyProtection="0">
      <alignment horizontal="right"/>
    </xf>
    <xf numFmtId="243" fontId="25" fillId="0" borderId="0" applyFont="0" applyFill="0" applyBorder="0" applyAlignment="0" applyProtection="0"/>
    <xf numFmtId="244" fontId="25" fillId="0" borderId="0" applyFont="0" applyFill="0" applyBorder="0" applyAlignment="0" applyProtection="0"/>
    <xf numFmtId="245" fontId="27" fillId="0" borderId="0" applyFont="0" applyFill="0" applyBorder="0" applyAlignment="0" applyProtection="0">
      <alignment horizontal="right"/>
    </xf>
    <xf numFmtId="37" fontId="106" fillId="0" borderId="0"/>
    <xf numFmtId="38" fontId="26" fillId="0" borderId="1"/>
    <xf numFmtId="246" fontId="107" fillId="0" borderId="0"/>
    <xf numFmtId="0" fontId="15" fillId="0" borderId="0"/>
    <xf numFmtId="0" fontId="61" fillId="13" borderId="42"/>
    <xf numFmtId="17" fontId="61" fillId="0" borderId="30">
      <alignment horizontal="center"/>
    </xf>
    <xf numFmtId="0" fontId="15" fillId="0" borderId="0"/>
    <xf numFmtId="0" fontId="108" fillId="0" borderId="0"/>
    <xf numFmtId="0" fontId="48" fillId="0" borderId="30"/>
    <xf numFmtId="247" fontId="9" fillId="16" borderId="0" applyBorder="0">
      <alignment vertical="center"/>
    </xf>
    <xf numFmtId="3" fontId="46" fillId="0" borderId="43">
      <protection locked="0"/>
    </xf>
    <xf numFmtId="9" fontId="46" fillId="0" borderId="43"/>
    <xf numFmtId="248" fontId="26" fillId="0" borderId="18"/>
    <xf numFmtId="3" fontId="9" fillId="0" borderId="1"/>
    <xf numFmtId="248" fontId="109" fillId="20" borderId="1"/>
    <xf numFmtId="189" fontId="110" fillId="0" borderId="0"/>
    <xf numFmtId="3" fontId="26" fillId="0" borderId="44"/>
    <xf numFmtId="0" fontId="26" fillId="0" borderId="1"/>
    <xf numFmtId="1" fontId="71" fillId="0" borderId="0">
      <alignment horizontal="right"/>
      <protection locked="0"/>
    </xf>
    <xf numFmtId="171" fontId="75" fillId="0" borderId="0">
      <alignment horizontal="right"/>
      <protection locked="0"/>
    </xf>
    <xf numFmtId="0" fontId="71" fillId="0" borderId="0">
      <protection locked="0"/>
    </xf>
    <xf numFmtId="2" fontId="75" fillId="0" borderId="0">
      <alignment horizontal="right"/>
      <protection locked="0"/>
    </xf>
    <xf numFmtId="2" fontId="71" fillId="0" borderId="0">
      <alignment horizontal="right"/>
      <protection locked="0"/>
    </xf>
    <xf numFmtId="249" fontId="15" fillId="0" borderId="0" applyFont="0" applyBorder="0" applyAlignment="0">
      <alignment horizontal="centerContinuous"/>
    </xf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40" fontId="111" fillId="0" borderId="0" applyFont="0" applyFill="0" applyBorder="0" applyAlignment="0" applyProtection="0"/>
    <xf numFmtId="38" fontId="111" fillId="0" borderId="0" applyFont="0" applyFill="0" applyBorder="0" applyAlignment="0" applyProtection="0"/>
    <xf numFmtId="0" fontId="85" fillId="21" borderId="1" applyNumberFormat="0" applyAlignment="0">
      <protection locked="0"/>
    </xf>
    <xf numFmtId="0" fontId="47" fillId="0" borderId="45">
      <alignment horizontal="left" wrapText="1"/>
    </xf>
    <xf numFmtId="4" fontId="24" fillId="16" borderId="0">
      <alignment horizontal="right"/>
    </xf>
    <xf numFmtId="0" fontId="112" fillId="16" borderId="0">
      <alignment horizontal="center" vertical="center"/>
    </xf>
    <xf numFmtId="0" fontId="113" fillId="16" borderId="14"/>
    <xf numFmtId="0" fontId="112" fillId="16" borderId="0" applyBorder="0">
      <alignment horizontal="centerContinuous"/>
    </xf>
    <xf numFmtId="0" fontId="114" fillId="16" borderId="0" applyBorder="0">
      <alignment horizontal="centerContinuous"/>
    </xf>
    <xf numFmtId="0" fontId="15" fillId="0" borderId="46" applyNumberFormat="0" applyFont="0" applyFill="0" applyAlignment="0" applyProtection="0"/>
    <xf numFmtId="0" fontId="15" fillId="0" borderId="46" applyNumberFormat="0" applyFont="0" applyFill="0" applyAlignment="0" applyProtection="0"/>
    <xf numFmtId="0" fontId="15" fillId="0" borderId="46" applyNumberFormat="0" applyFont="0" applyFill="0" applyAlignment="0" applyProtection="0"/>
    <xf numFmtId="0" fontId="15" fillId="0" borderId="46" applyNumberFormat="0" applyFont="0" applyFill="0" applyAlignment="0" applyProtection="0"/>
    <xf numFmtId="0" fontId="15" fillId="0" borderId="46" applyNumberFormat="0" applyFont="0" applyFill="0" applyAlignment="0" applyProtection="0"/>
    <xf numFmtId="0" fontId="15" fillId="0" borderId="46" applyNumberFormat="0" applyFont="0" applyFill="0" applyAlignment="0" applyProtection="0"/>
    <xf numFmtId="0" fontId="15" fillId="0" borderId="5" applyNumberFormat="0" applyFont="0" applyFill="0" applyAlignment="0" applyProtection="0"/>
    <xf numFmtId="250" fontId="38" fillId="0" borderId="23" applyBorder="0"/>
    <xf numFmtId="0" fontId="115" fillId="0" borderId="0" applyProtection="0">
      <alignment horizontal="left"/>
    </xf>
    <xf numFmtId="0" fontId="115" fillId="0" borderId="0" applyFill="0" applyBorder="0" applyProtection="0">
      <alignment horizontal="left"/>
    </xf>
    <xf numFmtId="0" fontId="19" fillId="0" borderId="0" applyFill="0" applyBorder="0" applyProtection="0">
      <alignment horizontal="left"/>
    </xf>
    <xf numFmtId="1" fontId="116" fillId="0" borderId="0" applyProtection="0">
      <alignment horizontal="right" vertical="center"/>
    </xf>
    <xf numFmtId="0" fontId="117" fillId="22" borderId="47"/>
    <xf numFmtId="171" fontId="15" fillId="0" borderId="0" applyFill="0"/>
    <xf numFmtId="0" fontId="10" fillId="0" borderId="48" applyNumberFormat="0" applyAlignment="0" applyProtection="0"/>
    <xf numFmtId="0" fontId="9" fillId="20" borderId="0" applyNumberFormat="0" applyFont="0" applyBorder="0" applyAlignment="0" applyProtection="0"/>
    <xf numFmtId="0" fontId="86" fillId="23" borderId="49" applyNumberFormat="0" applyFont="0" applyBorder="0" applyAlignment="0" applyProtection="0">
      <alignment horizontal="center"/>
    </xf>
    <xf numFmtId="0" fontId="86" fillId="13" borderId="49" applyNumberFormat="0" applyFont="0" applyBorder="0" applyAlignment="0" applyProtection="0">
      <alignment horizontal="center"/>
    </xf>
    <xf numFmtId="0" fontId="9" fillId="0" borderId="50" applyNumberFormat="0" applyAlignment="0" applyProtection="0"/>
    <xf numFmtId="0" fontId="9" fillId="0" borderId="51" applyNumberFormat="0" applyAlignment="0" applyProtection="0"/>
    <xf numFmtId="0" fontId="10" fillId="0" borderId="52" applyNumberFormat="0" applyAlignment="0" applyProtection="0"/>
    <xf numFmtId="49" fontId="118" fillId="0" borderId="28" applyFill="0" applyProtection="0">
      <alignment vertical="center"/>
    </xf>
    <xf numFmtId="14" fontId="25" fillId="0" borderId="0">
      <alignment horizontal="center" wrapText="1"/>
      <protection locked="0"/>
    </xf>
    <xf numFmtId="0" fontId="25" fillId="0" borderId="0">
      <alignment horizontal="right"/>
    </xf>
    <xf numFmtId="0" fontId="59" fillId="0" borderId="0"/>
    <xf numFmtId="0" fontId="58" fillId="0" borderId="0"/>
    <xf numFmtId="0" fontId="59" fillId="0" borderId="0"/>
    <xf numFmtId="9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67" fontId="25" fillId="0" borderId="0">
      <alignment horizontal="right"/>
    </xf>
    <xf numFmtId="10" fontId="25" fillId="0" borderId="0">
      <alignment horizontal="right"/>
    </xf>
    <xf numFmtId="251" fontId="25" fillId="0" borderId="0" applyFont="0" applyFill="0" applyBorder="0" applyProtection="0">
      <alignment horizontal="right"/>
    </xf>
    <xf numFmtId="9" fontId="25" fillId="0" borderId="0">
      <alignment horizontal="right"/>
    </xf>
    <xf numFmtId="9" fontId="61" fillId="0" borderId="20">
      <alignment horizontal="center"/>
    </xf>
    <xf numFmtId="167" fontId="25" fillId="0" borderId="0"/>
    <xf numFmtId="167" fontId="71" fillId="0" borderId="0"/>
    <xf numFmtId="10" fontId="25" fillId="0" borderId="0"/>
    <xf numFmtId="10" fontId="71" fillId="0" borderId="0">
      <protection locked="0"/>
    </xf>
    <xf numFmtId="9" fontId="61" fillId="0" borderId="20">
      <alignment horizontal="right"/>
    </xf>
    <xf numFmtId="252" fontId="15" fillId="0" borderId="0"/>
    <xf numFmtId="9" fontId="15" fillId="0" borderId="0" applyFont="0" applyFill="0" applyBorder="0" applyAlignment="0" applyProtection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253" fontId="15" fillId="0" borderId="0" applyProtection="0">
      <alignment horizontal="right"/>
    </xf>
    <xf numFmtId="253" fontId="15" fillId="0" borderId="0">
      <alignment horizontal="right"/>
      <protection locked="0"/>
    </xf>
    <xf numFmtId="5" fontId="119" fillId="0" borderId="0"/>
    <xf numFmtId="0" fontId="120" fillId="0" borderId="0" applyNumberFormat="0" applyFont="0" applyFill="0" applyBorder="0" applyAlignment="0" applyProtection="0">
      <alignment horizontal="left"/>
    </xf>
    <xf numFmtId="15" fontId="120" fillId="0" borderId="0" applyFont="0" applyFill="0" applyBorder="0" applyAlignment="0" applyProtection="0"/>
    <xf numFmtId="4" fontId="120" fillId="0" borderId="0" applyFont="0" applyFill="0" applyBorder="0" applyAlignment="0" applyProtection="0"/>
    <xf numFmtId="0" fontId="121" fillId="0" borderId="23">
      <alignment horizontal="center"/>
    </xf>
    <xf numFmtId="3" fontId="120" fillId="0" borderId="0" applyFont="0" applyFill="0" applyBorder="0" applyAlignment="0" applyProtection="0"/>
    <xf numFmtId="0" fontId="120" fillId="24" borderId="0" applyNumberFormat="0" applyFon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22" fillId="25" borderId="0" applyNumberFormat="0" applyFont="0" applyBorder="0" applyAlignment="0">
      <alignment horizontal="center"/>
    </xf>
    <xf numFmtId="14" fontId="123" fillId="0" borderId="0" applyNumberFormat="0" applyFill="0" applyBorder="0" applyAlignment="0" applyProtection="0">
      <alignment horizontal="left"/>
    </xf>
    <xf numFmtId="0" fontId="124" fillId="0" borderId="0" applyNumberFormat="0" applyFill="0" applyBorder="0" applyProtection="0">
      <alignment horizontal="right" vertical="center"/>
    </xf>
    <xf numFmtId="0" fontId="64" fillId="0" borderId="0"/>
    <xf numFmtId="0" fontId="125" fillId="0" borderId="53">
      <alignment vertical="center"/>
    </xf>
    <xf numFmtId="0" fontId="119" fillId="0" borderId="54"/>
    <xf numFmtId="171" fontId="15" fillId="0" borderId="0" applyProtection="0">
      <alignment horizontal="center"/>
    </xf>
    <xf numFmtId="254" fontId="15" fillId="0" borderId="0" applyFont="0" applyFill="0" applyBorder="0" applyAlignment="0" applyProtection="0"/>
    <xf numFmtId="0" fontId="9" fillId="26" borderId="0" applyNumberFormat="0" applyFont="0" applyBorder="0" applyAlignment="0" applyProtection="0"/>
    <xf numFmtId="0" fontId="122" fillId="1" borderId="4" applyNumberFormat="0" applyFont="0" applyAlignment="0">
      <alignment horizontal="center"/>
    </xf>
    <xf numFmtId="42" fontId="50" fillId="0" borderId="0" applyFill="0" applyBorder="0" applyAlignment="0" applyProtection="0"/>
    <xf numFmtId="0" fontId="126" fillId="0" borderId="0" applyNumberFormat="0">
      <alignment horizontal="left"/>
    </xf>
    <xf numFmtId="2" fontId="23" fillId="0" borderId="55"/>
    <xf numFmtId="0" fontId="15" fillId="13" borderId="0" applyNumberFormat="0" applyBorder="0" applyProtection="0">
      <alignment horizontal="center"/>
    </xf>
    <xf numFmtId="0" fontId="127" fillId="0" borderId="0" applyNumberFormat="0" applyFill="0" applyBorder="0" applyAlignment="0">
      <alignment horizontal="center"/>
    </xf>
    <xf numFmtId="0" fontId="15" fillId="0" borderId="0"/>
    <xf numFmtId="0" fontId="128" fillId="0" borderId="0"/>
    <xf numFmtId="0" fontId="15" fillId="0" borderId="0">
      <alignment horizontal="left" wrapText="1"/>
    </xf>
    <xf numFmtId="0" fontId="109" fillId="0" borderId="56"/>
    <xf numFmtId="0" fontId="129" fillId="0" borderId="0"/>
    <xf numFmtId="0" fontId="130" fillId="0" borderId="0">
      <alignment horizontal="left"/>
    </xf>
    <xf numFmtId="213" fontId="15" fillId="0" borderId="0" applyFill="0" applyBorder="0" applyAlignment="0" applyProtection="0"/>
    <xf numFmtId="0" fontId="19" fillId="0" borderId="0"/>
    <xf numFmtId="0" fontId="56" fillId="0" borderId="0">
      <alignment horizontal="left" indent="1"/>
    </xf>
    <xf numFmtId="49" fontId="38" fillId="0" borderId="0"/>
    <xf numFmtId="0" fontId="131" fillId="0" borderId="0" applyFill="0" applyBorder="0" applyProtection="0">
      <alignment horizontal="center" vertical="center"/>
    </xf>
    <xf numFmtId="0" fontId="132" fillId="0" borderId="0" applyBorder="0" applyProtection="0">
      <alignment vertical="center"/>
    </xf>
    <xf numFmtId="0" fontId="132" fillId="0" borderId="28" applyBorder="0" applyProtection="0">
      <alignment horizontal="right" vertical="center"/>
    </xf>
    <xf numFmtId="0" fontId="133" fillId="27" borderId="0" applyBorder="0" applyProtection="0">
      <alignment horizontal="centerContinuous" vertical="center"/>
    </xf>
    <xf numFmtId="0" fontId="133" fillId="2" borderId="28" applyBorder="0" applyProtection="0">
      <alignment horizontal="centerContinuous" vertical="center"/>
    </xf>
    <xf numFmtId="0" fontId="134" fillId="0" borderId="0"/>
    <xf numFmtId="0" fontId="135" fillId="0" borderId="0" applyBorder="0" applyProtection="0">
      <alignment horizontal="left"/>
    </xf>
    <xf numFmtId="0" fontId="136" fillId="0" borderId="0" applyFill="0" applyBorder="0" applyProtection="0"/>
    <xf numFmtId="0" fontId="108" fillId="0" borderId="0"/>
    <xf numFmtId="0" fontId="137" fillId="0" borderId="0" applyFill="0" applyBorder="0" applyProtection="0">
      <alignment horizontal="left"/>
    </xf>
    <xf numFmtId="0" fontId="83" fillId="0" borderId="57" applyFill="0" applyBorder="0" applyProtection="0">
      <alignment horizontal="left" vertical="top"/>
    </xf>
    <xf numFmtId="0" fontId="10" fillId="0" borderId="0">
      <alignment horizontal="centerContinuous"/>
    </xf>
    <xf numFmtId="203" fontId="138" fillId="0" borderId="0" applyNumberFormat="0" applyFill="0" applyBorder="0">
      <alignment horizontal="left"/>
    </xf>
    <xf numFmtId="0" fontId="139" fillId="0" borderId="0"/>
    <xf numFmtId="0" fontId="71" fillId="0" borderId="0">
      <alignment horizontal="left"/>
      <protection locked="0"/>
    </xf>
    <xf numFmtId="0" fontId="140" fillId="0" borderId="0"/>
    <xf numFmtId="49" fontId="24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18" fontId="38" fillId="0" borderId="0" applyFill="0" applyProtection="0">
      <alignment horizont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0" fontId="12" fillId="0" borderId="0"/>
    <xf numFmtId="0" fontId="11" fillId="0" borderId="0" applyNumberFormat="0" applyFont="0" applyBorder="0" applyAlignment="0"/>
    <xf numFmtId="0" fontId="141" fillId="0" borderId="0">
      <alignment horizontal="center"/>
    </xf>
    <xf numFmtId="229" fontId="10" fillId="0" borderId="0">
      <alignment horizontal="centerContinuous"/>
    </xf>
    <xf numFmtId="229" fontId="142" fillId="0" borderId="58">
      <alignment horizontal="centerContinuous"/>
    </xf>
    <xf numFmtId="229" fontId="14" fillId="0" borderId="0">
      <alignment horizontal="centerContinuous"/>
      <protection locked="0"/>
    </xf>
    <xf numFmtId="229" fontId="14" fillId="0" borderId="0">
      <alignment horizontal="left"/>
    </xf>
    <xf numFmtId="0" fontId="36" fillId="0" borderId="0">
      <alignment horizontal="center"/>
    </xf>
    <xf numFmtId="0" fontId="36" fillId="0" borderId="0">
      <alignment horizontal="left"/>
    </xf>
    <xf numFmtId="0" fontId="85" fillId="0" borderId="0">
      <alignment horizontal="center"/>
    </xf>
    <xf numFmtId="39" fontId="143" fillId="0" borderId="0">
      <alignment vertical="center"/>
    </xf>
    <xf numFmtId="39" fontId="143" fillId="0" borderId="0">
      <alignment vertical="center"/>
    </xf>
    <xf numFmtId="39" fontId="144" fillId="0" borderId="0">
      <alignment vertical="center"/>
    </xf>
    <xf numFmtId="0" fontId="145" fillId="0" borderId="0"/>
    <xf numFmtId="44" fontId="61" fillId="0" borderId="20"/>
    <xf numFmtId="0" fontId="146" fillId="0" borderId="0" applyNumberFormat="0" applyFill="0" applyBorder="0" applyAlignment="0" applyProtection="0">
      <alignment horizontal="left"/>
    </xf>
    <xf numFmtId="0" fontId="147" fillId="0" borderId="0" applyNumberFormat="0" applyFill="0" applyBorder="0" applyAlignment="0" applyProtection="0">
      <alignment horizontal="left"/>
    </xf>
    <xf numFmtId="0" fontId="148" fillId="0" borderId="0" applyNumberFormat="0" applyFill="0" applyBorder="0" applyAlignment="0" applyProtection="0">
      <alignment horizontal="left"/>
    </xf>
    <xf numFmtId="0" fontId="149" fillId="0" borderId="0" applyNumberFormat="0" applyFill="0" applyBorder="0" applyAlignment="0" applyProtection="0">
      <alignment horizontal="left"/>
    </xf>
    <xf numFmtId="0" fontId="150" fillId="0" borderId="0" applyNumberFormat="0" applyFill="0" applyBorder="0" applyAlignment="0" applyProtection="0">
      <alignment horizontal="left"/>
    </xf>
    <xf numFmtId="0" fontId="149" fillId="0" borderId="0" applyNumberFormat="0" applyFill="0" applyBorder="0" applyAlignment="0" applyProtection="0">
      <alignment horizontal="left"/>
    </xf>
    <xf numFmtId="0" fontId="150" fillId="0" borderId="0" applyNumberFormat="0" applyFill="0" applyBorder="0" applyAlignment="0" applyProtection="0">
      <alignment horizontal="left"/>
    </xf>
    <xf numFmtId="0" fontId="151" fillId="0" borderId="0">
      <alignment horizontal="left"/>
    </xf>
    <xf numFmtId="0" fontId="38" fillId="0" borderId="0" applyNumberFormat="0" applyFill="0" applyBorder="0" applyAlignment="0" applyProtection="0">
      <alignment horizontal="left"/>
    </xf>
    <xf numFmtId="44" fontId="152" fillId="0" borderId="20"/>
    <xf numFmtId="37" fontId="61" fillId="0" borderId="20"/>
    <xf numFmtId="0" fontId="15" fillId="13" borderId="0" applyNumberFormat="0" applyFont="0" applyBorder="0" applyAlignment="0" applyProtection="0"/>
    <xf numFmtId="0" fontId="15" fillId="13" borderId="0" applyNumberFormat="0" applyFont="0" applyBorder="0" applyAlignment="0" applyProtection="0"/>
    <xf numFmtId="0" fontId="15" fillId="13" borderId="0" applyNumberFormat="0" applyFont="0" applyBorder="0" applyAlignment="0" applyProtection="0"/>
    <xf numFmtId="0" fontId="15" fillId="13" borderId="0" applyNumberFormat="0" applyFont="0" applyBorder="0" applyAlignment="0" applyProtection="0"/>
    <xf numFmtId="0" fontId="15" fillId="13" borderId="0" applyNumberFormat="0" applyFont="0" applyBorder="0" applyAlignment="0" applyProtection="0"/>
    <xf numFmtId="0" fontId="15" fillId="13" borderId="0" applyNumberFormat="0" applyFont="0" applyBorder="0" applyAlignment="0" applyProtection="0"/>
    <xf numFmtId="255" fontId="15" fillId="0" borderId="0">
      <alignment horizontal="right"/>
    </xf>
    <xf numFmtId="203" fontId="153" fillId="0" borderId="0">
      <alignment horizontal="left"/>
      <protection locked="0"/>
    </xf>
    <xf numFmtId="222" fontId="142" fillId="0" borderId="0">
      <alignment horizontal="right"/>
    </xf>
    <xf numFmtId="223" fontId="15" fillId="0" borderId="0">
      <alignment horizontal="right"/>
    </xf>
    <xf numFmtId="1" fontId="142" fillId="0" borderId="0">
      <alignment horizontal="left"/>
    </xf>
    <xf numFmtId="221" fontId="142" fillId="0" borderId="0">
      <alignment horizontal="right"/>
    </xf>
    <xf numFmtId="0" fontId="154" fillId="0" borderId="0">
      <alignment horizontal="fill"/>
    </xf>
    <xf numFmtId="0" fontId="15" fillId="0" borderId="23" applyNumberFormat="0" applyFont="0" applyFill="0" applyAlignment="0" applyProtection="0"/>
    <xf numFmtId="0" fontId="15" fillId="0" borderId="23" applyNumberFormat="0" applyFont="0" applyFill="0" applyAlignment="0" applyProtection="0"/>
    <xf numFmtId="0" fontId="15" fillId="0" borderId="23" applyNumberFormat="0" applyFont="0" applyFill="0" applyAlignment="0" applyProtection="0"/>
    <xf numFmtId="0" fontId="15" fillId="0" borderId="23" applyNumberFormat="0" applyFont="0" applyFill="0" applyAlignment="0" applyProtection="0"/>
    <xf numFmtId="0" fontId="15" fillId="0" borderId="23" applyNumberFormat="0" applyFont="0" applyFill="0" applyAlignment="0" applyProtection="0"/>
    <xf numFmtId="0" fontId="15" fillId="0" borderId="23" applyNumberFormat="0" applyFont="0" applyFill="0" applyAlignment="0" applyProtection="0"/>
    <xf numFmtId="37" fontId="86" fillId="28" borderId="0" applyNumberFormat="0" applyBorder="0" applyAlignment="0" applyProtection="0"/>
    <xf numFmtId="37" fontId="86" fillId="0" borderId="0"/>
    <xf numFmtId="3" fontId="155" fillId="0" borderId="41" applyProtection="0"/>
    <xf numFmtId="0" fontId="15" fillId="0" borderId="0"/>
    <xf numFmtId="256" fontId="15" fillId="0" borderId="0" applyFont="0" applyFill="0" applyBorder="0" applyAlignment="0" applyProtection="0"/>
    <xf numFmtId="257" fontId="15" fillId="0" borderId="0" applyFont="0" applyFill="0" applyBorder="0" applyAlignment="0" applyProtection="0"/>
    <xf numFmtId="4" fontId="104" fillId="0" borderId="0" applyFont="0" applyFill="0" applyBorder="0" applyAlignment="0" applyProtection="0"/>
    <xf numFmtId="189" fontId="156" fillId="0" borderId="0"/>
    <xf numFmtId="0" fontId="157" fillId="29" borderId="0">
      <alignment horizontal="right"/>
    </xf>
    <xf numFmtId="189" fontId="157" fillId="29" borderId="0">
      <alignment horizontal="right"/>
    </xf>
    <xf numFmtId="189" fontId="157" fillId="29" borderId="0">
      <alignment horizontal="right"/>
    </xf>
    <xf numFmtId="0" fontId="157" fillId="29" borderId="0">
      <alignment horizontal="right"/>
    </xf>
    <xf numFmtId="189" fontId="157" fillId="29" borderId="0">
      <alignment horizontal="right"/>
    </xf>
    <xf numFmtId="189" fontId="157" fillId="29" borderId="0">
      <alignment horizontal="right"/>
    </xf>
    <xf numFmtId="258" fontId="158" fillId="0" borderId="28" applyBorder="0" applyProtection="0">
      <alignment horizontal="right"/>
    </xf>
    <xf numFmtId="0" fontId="50" fillId="0" borderId="0" applyFont="0" applyFill="0" applyBorder="0" applyAlignment="0" applyProtection="0"/>
    <xf numFmtId="259" fontId="14" fillId="0" borderId="49">
      <alignment horizontal="center"/>
    </xf>
    <xf numFmtId="0" fontId="159" fillId="0" borderId="0">
      <alignment vertical="center"/>
    </xf>
    <xf numFmtId="40" fontId="120" fillId="0" borderId="0" applyFont="0" applyFill="0" applyBorder="0" applyAlignment="0" applyProtection="0"/>
    <xf numFmtId="41" fontId="160" fillId="0" borderId="0" applyFont="0" applyFill="0" applyBorder="0" applyAlignment="0" applyProtection="0"/>
    <xf numFmtId="0" fontId="26" fillId="0" borderId="0"/>
    <xf numFmtId="8" fontId="120" fillId="0" borderId="0" applyFont="0" applyFill="0" applyBorder="0" applyAlignment="0" applyProtection="0"/>
    <xf numFmtId="6" fontId="12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5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2" fillId="0" borderId="0"/>
    <xf numFmtId="0" fontId="2" fillId="0" borderId="0"/>
    <xf numFmtId="0" fontId="15" fillId="0" borderId="0"/>
    <xf numFmtId="43" fontId="164" fillId="0" borderId="0" applyFont="0" applyFill="0" applyBorder="0" applyAlignment="0" applyProtection="0"/>
    <xf numFmtId="0" fontId="166" fillId="0" borderId="61" applyNumberFormat="0" applyFill="0" applyAlignment="0" applyProtection="0"/>
    <xf numFmtId="0" fontId="164" fillId="0" borderId="0"/>
    <xf numFmtId="0" fontId="2" fillId="0" borderId="0"/>
    <xf numFmtId="9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168" fillId="0" borderId="0" applyNumberForma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964">
    <xf numFmtId="0" fontId="0" fillId="0" borderId="0" xfId="0"/>
    <xf numFmtId="0" fontId="169" fillId="0" borderId="0" xfId="0" applyFont="1"/>
    <xf numFmtId="0" fontId="23" fillId="0" borderId="0" xfId="5" applyFont="1"/>
    <xf numFmtId="0" fontId="23" fillId="0" borderId="0" xfId="5" applyFont="1" applyAlignment="1">
      <alignment horizontal="right"/>
    </xf>
    <xf numFmtId="168" fontId="171" fillId="0" borderId="0" xfId="0" applyNumberFormat="1" applyFont="1" applyAlignment="1">
      <alignment horizontal="center"/>
    </xf>
    <xf numFmtId="1" fontId="113" fillId="0" borderId="0" xfId="0" applyNumberFormat="1" applyFont="1" applyAlignment="1">
      <alignment horizontal="left"/>
    </xf>
    <xf numFmtId="0" fontId="171" fillId="0" borderId="0" xfId="0" applyFont="1"/>
    <xf numFmtId="175" fontId="172" fillId="8" borderId="15" xfId="0" applyNumberFormat="1" applyFont="1" applyFill="1" applyBorder="1" applyAlignment="1">
      <alignment horizontal="center"/>
    </xf>
    <xf numFmtId="175" fontId="172" fillId="8" borderId="0" xfId="0" applyNumberFormat="1" applyFont="1" applyFill="1" applyAlignment="1">
      <alignment horizontal="center"/>
    </xf>
    <xf numFmtId="0" fontId="172" fillId="8" borderId="15" xfId="0" applyFont="1" applyFill="1" applyBorder="1" applyAlignment="1">
      <alignment horizontal="left"/>
    </xf>
    <xf numFmtId="0" fontId="172" fillId="8" borderId="0" xfId="0" applyFont="1" applyFill="1" applyAlignment="1">
      <alignment horizontal="center"/>
    </xf>
    <xf numFmtId="0" fontId="172" fillId="8" borderId="6" xfId="0" applyFont="1" applyFill="1" applyBorder="1" applyAlignment="1">
      <alignment horizontal="center"/>
    </xf>
    <xf numFmtId="0" fontId="15" fillId="0" borderId="72" xfId="0" applyFont="1" applyBorder="1"/>
    <xf numFmtId="179" fontId="23" fillId="0" borderId="73" xfId="22" applyNumberFormat="1" applyFont="1" applyBorder="1" applyAlignment="1">
      <alignment horizontal="center"/>
    </xf>
    <xf numFmtId="176" fontId="23" fillId="0" borderId="73" xfId="22" applyNumberFormat="1" applyFont="1" applyBorder="1" applyAlignment="1">
      <alignment horizontal="center" vertical="center"/>
    </xf>
    <xf numFmtId="0" fontId="15" fillId="4" borderId="73" xfId="0" applyFont="1" applyFill="1" applyBorder="1" applyAlignment="1">
      <alignment horizontal="center"/>
    </xf>
    <xf numFmtId="0" fontId="15" fillId="0" borderId="81" xfId="0" applyFont="1" applyBorder="1"/>
    <xf numFmtId="168" fontId="15" fillId="4" borderId="82" xfId="22" applyNumberFormat="1" applyFont="1" applyFill="1" applyBorder="1" applyAlignment="1">
      <alignment horizontal="center"/>
    </xf>
    <xf numFmtId="177" fontId="23" fillId="0" borderId="82" xfId="22" applyNumberFormat="1" applyFont="1" applyBorder="1" applyAlignment="1">
      <alignment horizontal="center" vertical="center"/>
    </xf>
    <xf numFmtId="165" fontId="23" fillId="0" borderId="82" xfId="2" applyNumberFormat="1" applyFont="1" applyBorder="1" applyAlignment="1">
      <alignment horizontal="center"/>
    </xf>
    <xf numFmtId="0" fontId="15" fillId="4" borderId="59" xfId="0" applyFont="1" applyFill="1" applyBorder="1"/>
    <xf numFmtId="0" fontId="15" fillId="0" borderId="8" xfId="0" applyFont="1" applyBorder="1"/>
    <xf numFmtId="168" fontId="15" fillId="0" borderId="65" xfId="22" applyNumberFormat="1" applyFont="1" applyFill="1" applyBorder="1" applyAlignment="1">
      <alignment horizontal="center"/>
    </xf>
    <xf numFmtId="177" fontId="23" fillId="0" borderId="65" xfId="22" applyNumberFormat="1" applyFont="1" applyFill="1" applyBorder="1" applyAlignment="1">
      <alignment horizontal="center" vertical="center"/>
    </xf>
    <xf numFmtId="165" fontId="23" fillId="0" borderId="65" xfId="2" applyNumberFormat="1" applyFont="1" applyBorder="1" applyAlignment="1">
      <alignment horizontal="center"/>
    </xf>
    <xf numFmtId="0" fontId="15" fillId="0" borderId="83" xfId="0" applyFont="1" applyBorder="1"/>
    <xf numFmtId="8" fontId="15" fillId="0" borderId="65" xfId="0" applyNumberFormat="1" applyFont="1" applyBorder="1"/>
    <xf numFmtId="6" fontId="15" fillId="0" borderId="65" xfId="0" applyNumberFormat="1" applyFont="1" applyBorder="1"/>
    <xf numFmtId="6" fontId="171" fillId="0" borderId="0" xfId="0" applyNumberFormat="1" applyFont="1"/>
    <xf numFmtId="8" fontId="15" fillId="0" borderId="0" xfId="0" applyNumberFormat="1" applyFont="1"/>
    <xf numFmtId="6" fontId="15" fillId="0" borderId="0" xfId="0" applyNumberFormat="1" applyFont="1"/>
    <xf numFmtId="0" fontId="15" fillId="0" borderId="84" xfId="0" applyFont="1" applyBorder="1"/>
    <xf numFmtId="3" fontId="15" fillId="0" borderId="85" xfId="0" applyNumberFormat="1" applyFont="1" applyBorder="1"/>
    <xf numFmtId="0" fontId="15" fillId="0" borderId="0" xfId="0" applyFont="1"/>
    <xf numFmtId="177" fontId="23" fillId="0" borderId="0" xfId="22" applyNumberFormat="1" applyFont="1" applyFill="1" applyBorder="1" applyAlignment="1">
      <alignment horizontal="center" vertical="center"/>
    </xf>
    <xf numFmtId="165" fontId="23" fillId="0" borderId="0" xfId="2" applyNumberFormat="1" applyFont="1" applyAlignment="1">
      <alignment horizontal="center"/>
    </xf>
    <xf numFmtId="5" fontId="15" fillId="11" borderId="3" xfId="22" applyNumberFormat="1" applyFont="1" applyFill="1" applyBorder="1" applyAlignment="1">
      <alignment horizontal="center"/>
    </xf>
    <xf numFmtId="0" fontId="15" fillId="0" borderId="67" xfId="0" applyFont="1" applyBorder="1"/>
    <xf numFmtId="5" fontId="23" fillId="0" borderId="68" xfId="22" applyNumberFormat="1" applyFont="1" applyBorder="1" applyAlignment="1">
      <alignment horizontal="center"/>
    </xf>
    <xf numFmtId="174" fontId="176" fillId="0" borderId="67" xfId="0" applyNumberFormat="1" applyFont="1" applyBorder="1" applyAlignment="1">
      <alignment horizontal="left"/>
    </xf>
    <xf numFmtId="5" fontId="15" fillId="0" borderId="68" xfId="22" applyNumberFormat="1" applyFont="1" applyBorder="1" applyAlignment="1">
      <alignment horizontal="center"/>
    </xf>
    <xf numFmtId="5" fontId="23" fillId="3" borderId="59" xfId="22" applyNumberFormat="1" applyFont="1" applyFill="1" applyBorder="1" applyAlignment="1">
      <alignment horizontal="center"/>
    </xf>
    <xf numFmtId="5" fontId="23" fillId="3" borderId="60" xfId="22" applyNumberFormat="1" applyFont="1" applyFill="1" applyBorder="1" applyAlignment="1">
      <alignment horizontal="center"/>
    </xf>
    <xf numFmtId="0" fontId="172" fillId="8" borderId="10" xfId="0" applyFont="1" applyFill="1" applyBorder="1" applyAlignment="1">
      <alignment horizontal="center"/>
    </xf>
    <xf numFmtId="0" fontId="175" fillId="0" borderId="65" xfId="0" applyFont="1" applyBorder="1" applyAlignment="1">
      <alignment horizontal="left"/>
    </xf>
    <xf numFmtId="5" fontId="175" fillId="0" borderId="65" xfId="0" applyNumberFormat="1" applyFont="1" applyBorder="1" applyAlignment="1">
      <alignment horizontal="center"/>
    </xf>
    <xf numFmtId="0" fontId="177" fillId="8" borderId="59" xfId="2" applyFont="1" applyFill="1" applyBorder="1" applyAlignment="1">
      <alignment horizontal="right" wrapText="1"/>
    </xf>
    <xf numFmtId="10" fontId="178" fillId="8" borderId="59" xfId="2" applyNumberFormat="1" applyFont="1" applyFill="1" applyBorder="1" applyAlignment="1">
      <alignment horizontal="center"/>
    </xf>
    <xf numFmtId="0" fontId="172" fillId="8" borderId="0" xfId="0" applyFont="1" applyFill="1" applyAlignment="1">
      <alignment horizontal="center" wrapText="1"/>
    </xf>
    <xf numFmtId="0" fontId="15" fillId="0" borderId="62" xfId="0" applyFont="1" applyBorder="1" applyAlignment="1">
      <alignment wrapText="1"/>
    </xf>
    <xf numFmtId="5" fontId="15" fillId="0" borderId="65" xfId="22" applyNumberFormat="1" applyFont="1" applyFill="1" applyBorder="1" applyAlignment="1">
      <alignment horizontal="center"/>
    </xf>
    <xf numFmtId="10" fontId="171" fillId="0" borderId="0" xfId="1" applyNumberFormat="1" applyFont="1"/>
    <xf numFmtId="7" fontId="171" fillId="5" borderId="0" xfId="0" applyNumberFormat="1" applyFont="1" applyFill="1"/>
    <xf numFmtId="5" fontId="171" fillId="5" borderId="0" xfId="0" applyNumberFormat="1" applyFont="1" applyFill="1"/>
    <xf numFmtId="5" fontId="23" fillId="3" borderId="65" xfId="22" applyNumberFormat="1" applyFont="1" applyFill="1" applyBorder="1" applyAlignment="1">
      <alignment horizontal="center"/>
    </xf>
    <xf numFmtId="166" fontId="171" fillId="0" borderId="0" xfId="0" applyNumberFormat="1" applyFont="1"/>
    <xf numFmtId="7" fontId="171" fillId="0" borderId="0" xfId="0" applyNumberFormat="1" applyFont="1"/>
    <xf numFmtId="0" fontId="179" fillId="0" borderId="0" xfId="0" applyFont="1"/>
    <xf numFmtId="266" fontId="23" fillId="0" borderId="0" xfId="0" applyNumberFormat="1" applyFont="1"/>
    <xf numFmtId="6" fontId="23" fillId="0" borderId="0" xfId="1" applyNumberFormat="1" applyFont="1" applyFill="1" applyBorder="1" applyAlignment="1">
      <alignment horizontal="center"/>
    </xf>
    <xf numFmtId="0" fontId="175" fillId="0" borderId="65" xfId="0" applyFont="1" applyBorder="1" applyAlignment="1">
      <alignment horizontal="right"/>
    </xf>
    <xf numFmtId="6" fontId="175" fillId="0" borderId="65" xfId="0" applyNumberFormat="1" applyFont="1" applyBorder="1" applyAlignment="1">
      <alignment horizontal="center"/>
    </xf>
    <xf numFmtId="0" fontId="175" fillId="0" borderId="8" xfId="0" applyFont="1" applyBorder="1" applyAlignment="1">
      <alignment horizontal="right"/>
    </xf>
    <xf numFmtId="5" fontId="15" fillId="0" borderId="65" xfId="22" applyNumberFormat="1" applyFont="1" applyBorder="1"/>
    <xf numFmtId="5" fontId="15" fillId="0" borderId="3" xfId="22" applyNumberFormat="1" applyFont="1" applyBorder="1"/>
    <xf numFmtId="5" fontId="23" fillId="0" borderId="3" xfId="0" applyNumberFormat="1" applyFont="1" applyBorder="1"/>
    <xf numFmtId="0" fontId="171" fillId="0" borderId="15" xfId="0" applyFont="1" applyBorder="1" applyAlignment="1">
      <alignment horizontal="right"/>
    </xf>
    <xf numFmtId="37" fontId="15" fillId="0" borderId="60" xfId="22" applyNumberFormat="1" applyFont="1" applyBorder="1"/>
    <xf numFmtId="165" fontId="171" fillId="0" borderId="0" xfId="0" applyNumberFormat="1" applyFont="1"/>
    <xf numFmtId="166" fontId="23" fillId="0" borderId="60" xfId="22" applyNumberFormat="1" applyFont="1" applyBorder="1"/>
    <xf numFmtId="5" fontId="171" fillId="0" borderId="0" xfId="0" applyNumberFormat="1" applyFont="1"/>
    <xf numFmtId="0" fontId="172" fillId="0" borderId="60" xfId="0" applyFont="1" applyBorder="1" applyAlignment="1">
      <alignment horizontal="center"/>
    </xf>
    <xf numFmtId="0" fontId="172" fillId="0" borderId="15" xfId="0" applyFont="1" applyBorder="1" applyAlignment="1">
      <alignment horizontal="center"/>
    </xf>
    <xf numFmtId="0" fontId="171" fillId="0" borderId="0" xfId="0" applyFont="1" applyAlignment="1">
      <alignment horizontal="right"/>
    </xf>
    <xf numFmtId="0" fontId="169" fillId="0" borderId="0" xfId="0" applyFont="1" applyAlignment="1">
      <alignment horizontal="center"/>
    </xf>
    <xf numFmtId="0" fontId="171" fillId="36" borderId="0" xfId="1347" applyFont="1" applyFill="1"/>
    <xf numFmtId="14" fontId="181" fillId="36" borderId="0" xfId="1347" applyNumberFormat="1" applyFont="1" applyFill="1" applyAlignment="1">
      <alignment horizontal="center"/>
    </xf>
    <xf numFmtId="14" fontId="171" fillId="36" borderId="0" xfId="1347" applyNumberFormat="1" applyFont="1" applyFill="1" applyAlignment="1">
      <alignment horizontal="center"/>
    </xf>
    <xf numFmtId="0" fontId="171" fillId="36" borderId="0" xfId="1347" applyFont="1" applyFill="1" applyAlignment="1">
      <alignment horizontal="left" vertical="center" indent="1"/>
    </xf>
    <xf numFmtId="0" fontId="23" fillId="36" borderId="0" xfId="1347" applyFont="1" applyFill="1" applyAlignment="1">
      <alignment horizontal="center" vertical="center"/>
    </xf>
    <xf numFmtId="0" fontId="23" fillId="36" borderId="75" xfId="1347" applyFont="1" applyFill="1" applyBorder="1" applyAlignment="1">
      <alignment horizontal="center" vertical="center"/>
    </xf>
    <xf numFmtId="0" fontId="15" fillId="36" borderId="15" xfId="1347" applyFont="1" applyFill="1" applyBorder="1" applyAlignment="1">
      <alignment horizontal="left" vertical="center"/>
    </xf>
    <xf numFmtId="0" fontId="171" fillId="36" borderId="15" xfId="1347" applyFont="1" applyFill="1" applyBorder="1"/>
    <xf numFmtId="0" fontId="171" fillId="36" borderId="15" xfId="1347" applyFont="1" applyFill="1" applyBorder="1" applyAlignment="1">
      <alignment horizontal="left" vertical="center" indent="1"/>
    </xf>
    <xf numFmtId="14" fontId="175" fillId="36" borderId="0" xfId="1347" applyNumberFormat="1" applyFont="1" applyFill="1" applyAlignment="1">
      <alignment horizontal="center"/>
    </xf>
    <xf numFmtId="0" fontId="175" fillId="36" borderId="0" xfId="1347" applyFont="1" applyFill="1" applyAlignment="1">
      <alignment horizontal="center" vertical="center"/>
    </xf>
    <xf numFmtId="9" fontId="181" fillId="36" borderId="6" xfId="1347" applyNumberFormat="1" applyFont="1" applyFill="1" applyBorder="1" applyAlignment="1">
      <alignment horizontal="center" vertical="center"/>
    </xf>
    <xf numFmtId="0" fontId="15" fillId="36" borderId="0" xfId="1347" applyFont="1" applyFill="1" applyAlignment="1">
      <alignment horizontal="left" vertical="center" indent="1"/>
    </xf>
    <xf numFmtId="0" fontId="15" fillId="36" borderId="0" xfId="1347" applyFont="1" applyFill="1" applyAlignment="1">
      <alignment vertical="center"/>
    </xf>
    <xf numFmtId="5" fontId="171" fillId="36" borderId="0" xfId="1347" applyNumberFormat="1" applyFont="1" applyFill="1" applyAlignment="1">
      <alignment horizontal="center" vertical="center"/>
    </xf>
    <xf numFmtId="9" fontId="181" fillId="36" borderId="75" xfId="1347" applyNumberFormat="1" applyFont="1" applyFill="1" applyBorder="1" applyAlignment="1">
      <alignment horizontal="center" vertical="center"/>
    </xf>
    <xf numFmtId="0" fontId="15" fillId="36" borderId="91" xfId="1347" applyFont="1" applyFill="1" applyBorder="1" applyAlignment="1">
      <alignment vertical="center"/>
    </xf>
    <xf numFmtId="9" fontId="181" fillId="36" borderId="0" xfId="1347" applyNumberFormat="1" applyFont="1" applyFill="1" applyAlignment="1">
      <alignment horizontal="center" vertical="center"/>
    </xf>
    <xf numFmtId="0" fontId="15" fillId="36" borderId="15" xfId="1347" applyFont="1" applyFill="1" applyBorder="1" applyAlignment="1">
      <alignment horizontal="left" vertical="center" indent="1"/>
    </xf>
    <xf numFmtId="166" fontId="171" fillId="36" borderId="15" xfId="1347" applyNumberFormat="1" applyFont="1" applyFill="1" applyBorder="1"/>
    <xf numFmtId="0" fontId="15" fillId="36" borderId="74" xfId="1347" applyFont="1" applyFill="1" applyBorder="1" applyAlignment="1">
      <alignment horizontal="left" vertical="center" indent="1"/>
    </xf>
    <xf numFmtId="0" fontId="15" fillId="36" borderId="86" xfId="1347" applyFont="1" applyFill="1" applyBorder="1" applyAlignment="1">
      <alignment vertical="center"/>
    </xf>
    <xf numFmtId="0" fontId="23" fillId="0" borderId="62" xfId="0" applyFont="1" applyBorder="1" applyAlignment="1">
      <alignment horizontal="right"/>
    </xf>
    <xf numFmtId="0" fontId="171" fillId="0" borderId="65" xfId="0" applyFont="1" applyBorder="1" applyAlignment="1">
      <alignment horizontal="center"/>
    </xf>
    <xf numFmtId="0" fontId="171" fillId="0" borderId="3" xfId="0" applyFont="1" applyBorder="1" applyAlignment="1">
      <alignment horizontal="center"/>
    </xf>
    <xf numFmtId="0" fontId="15" fillId="0" borderId="15" xfId="0" applyFont="1" applyBorder="1"/>
    <xf numFmtId="6" fontId="171" fillId="0" borderId="0" xfId="0" applyNumberFormat="1" applyFont="1" applyAlignment="1">
      <alignment horizontal="center"/>
    </xf>
    <xf numFmtId="6" fontId="171" fillId="0" borderId="6" xfId="0" applyNumberFormat="1" applyFont="1" applyBorder="1" applyAlignment="1">
      <alignment horizontal="center"/>
    </xf>
    <xf numFmtId="0" fontId="171" fillId="0" borderId="62" xfId="0" applyFont="1" applyBorder="1"/>
    <xf numFmtId="6" fontId="171" fillId="0" borderId="65" xfId="0" applyNumberFormat="1" applyFont="1" applyBorder="1"/>
    <xf numFmtId="6" fontId="171" fillId="0" borderId="3" xfId="0" applyNumberFormat="1" applyFont="1" applyBorder="1"/>
    <xf numFmtId="276" fontId="15" fillId="0" borderId="15" xfId="2" applyNumberFormat="1" applyFont="1" applyBorder="1"/>
    <xf numFmtId="6" fontId="15" fillId="0" borderId="0" xfId="2" applyNumberFormat="1" applyFont="1" applyAlignment="1">
      <alignment horizontal="center"/>
    </xf>
    <xf numFmtId="6" fontId="15" fillId="0" borderId="6" xfId="2" applyNumberFormat="1" applyFont="1" applyBorder="1" applyAlignment="1">
      <alignment horizontal="center"/>
    </xf>
    <xf numFmtId="0" fontId="23" fillId="0" borderId="74" xfId="0" applyFont="1" applyBorder="1"/>
    <xf numFmtId="6" fontId="23" fillId="0" borderId="75" xfId="0" applyNumberFormat="1" applyFont="1" applyBorder="1" applyAlignment="1">
      <alignment horizontal="center"/>
    </xf>
    <xf numFmtId="0" fontId="23" fillId="0" borderId="15" xfId="0" applyFont="1" applyBorder="1"/>
    <xf numFmtId="6" fontId="23" fillId="0" borderId="0" xfId="0" applyNumberFormat="1" applyFont="1" applyAlignment="1">
      <alignment horizontal="center"/>
    </xf>
    <xf numFmtId="6" fontId="23" fillId="0" borderId="6" xfId="0" applyNumberFormat="1" applyFont="1" applyBorder="1" applyAlignment="1">
      <alignment horizontal="center"/>
    </xf>
    <xf numFmtId="0" fontId="15" fillId="0" borderId="62" xfId="0" applyFont="1" applyBorder="1"/>
    <xf numFmtId="0" fontId="175" fillId="4" borderId="0" xfId="0" applyFont="1" applyFill="1" applyAlignment="1">
      <alignment horizontal="center" wrapText="1"/>
    </xf>
    <xf numFmtId="0" fontId="171" fillId="9" borderId="0" xfId="0" applyFont="1" applyFill="1"/>
    <xf numFmtId="0" fontId="171" fillId="10" borderId="0" xfId="0" applyFont="1" applyFill="1"/>
    <xf numFmtId="0" fontId="171" fillId="7" borderId="0" xfId="0" applyFont="1" applyFill="1"/>
    <xf numFmtId="0" fontId="171" fillId="0" borderId="0" xfId="0" applyFont="1" applyAlignment="1">
      <alignment horizontal="center"/>
    </xf>
    <xf numFmtId="0" fontId="171" fillId="0" borderId="66" xfId="0" applyFont="1" applyBorder="1" applyAlignment="1">
      <alignment horizontal="center"/>
    </xf>
    <xf numFmtId="5" fontId="175" fillId="0" borderId="63" xfId="0" applyNumberFormat="1" applyFont="1" applyBorder="1"/>
    <xf numFmtId="5" fontId="175" fillId="0" borderId="79" xfId="0" applyNumberFormat="1" applyFont="1" applyBorder="1"/>
    <xf numFmtId="5" fontId="175" fillId="0" borderId="95" xfId="0" applyNumberFormat="1" applyFont="1" applyBorder="1"/>
    <xf numFmtId="5" fontId="175" fillId="0" borderId="8" xfId="0" applyNumberFormat="1" applyFont="1" applyBorder="1"/>
    <xf numFmtId="6" fontId="175" fillId="0" borderId="8" xfId="0" applyNumberFormat="1" applyFont="1" applyBorder="1"/>
    <xf numFmtId="0" fontId="171" fillId="0" borderId="87" xfId="0" applyFont="1" applyBorder="1"/>
    <xf numFmtId="6" fontId="171" fillId="0" borderId="98" xfId="0" applyNumberFormat="1" applyFont="1" applyBorder="1"/>
    <xf numFmtId="5" fontId="175" fillId="0" borderId="65" xfId="0" applyNumberFormat="1" applyFont="1" applyBorder="1"/>
    <xf numFmtId="5" fontId="175" fillId="0" borderId="14" xfId="0" applyNumberFormat="1" applyFont="1" applyBorder="1"/>
    <xf numFmtId="0" fontId="171" fillId="0" borderId="93" xfId="0" applyFont="1" applyBorder="1"/>
    <xf numFmtId="169" fontId="171" fillId="0" borderId="94" xfId="18" applyNumberFormat="1" applyFont="1" applyBorder="1"/>
    <xf numFmtId="0" fontId="171" fillId="0" borderId="63" xfId="0" applyFont="1" applyBorder="1"/>
    <xf numFmtId="6" fontId="171" fillId="0" borderId="66" xfId="0" applyNumberFormat="1" applyFont="1" applyBorder="1"/>
    <xf numFmtId="0" fontId="171" fillId="4" borderId="0" xfId="0" applyFont="1" applyFill="1"/>
    <xf numFmtId="5" fontId="171" fillId="0" borderId="69" xfId="0" applyNumberFormat="1" applyFont="1" applyBorder="1"/>
    <xf numFmtId="37" fontId="175" fillId="0" borderId="2" xfId="0" applyNumberFormat="1" applyFont="1" applyBorder="1"/>
    <xf numFmtId="5" fontId="175" fillId="4" borderId="0" xfId="0" applyNumberFormat="1" applyFont="1" applyFill="1"/>
    <xf numFmtId="0" fontId="175" fillId="4" borderId="0" xfId="0" applyFont="1" applyFill="1" applyAlignment="1">
      <alignment wrapText="1"/>
    </xf>
    <xf numFmtId="0" fontId="175" fillId="0" borderId="0" xfId="0" applyFont="1" applyAlignment="1">
      <alignment horizontal="center" wrapText="1"/>
    </xf>
    <xf numFmtId="0" fontId="15" fillId="0" borderId="0" xfId="0" applyFont="1" applyAlignment="1">
      <alignment horizontal="left"/>
    </xf>
    <xf numFmtId="0" fontId="171" fillId="0" borderId="65" xfId="0" applyFont="1" applyBorder="1"/>
    <xf numFmtId="38" fontId="175" fillId="0" borderId="65" xfId="0" applyNumberFormat="1" applyFont="1" applyBorder="1"/>
    <xf numFmtId="5" fontId="175" fillId="0" borderId="57" xfId="0" applyNumberFormat="1" applyFont="1" applyBorder="1"/>
    <xf numFmtId="5" fontId="175" fillId="0" borderId="99" xfId="0" applyNumberFormat="1" applyFont="1" applyBorder="1"/>
    <xf numFmtId="5" fontId="175" fillId="0" borderId="100" xfId="0" applyNumberFormat="1" applyFont="1" applyBorder="1"/>
    <xf numFmtId="6" fontId="175" fillId="0" borderId="14" xfId="0" applyNumberFormat="1" applyFont="1" applyBorder="1"/>
    <xf numFmtId="0" fontId="171" fillId="0" borderId="57" xfId="0" applyFont="1" applyBorder="1"/>
    <xf numFmtId="38" fontId="175" fillId="0" borderId="15" xfId="0" applyNumberFormat="1" applyFont="1" applyBorder="1"/>
    <xf numFmtId="6" fontId="171" fillId="0" borderId="89" xfId="0" applyNumberFormat="1" applyFont="1" applyBorder="1"/>
    <xf numFmtId="5" fontId="175" fillId="4" borderId="8" xfId="0" applyNumberFormat="1" applyFont="1" applyFill="1" applyBorder="1"/>
    <xf numFmtId="5" fontId="175" fillId="4" borderId="65" xfId="0" applyNumberFormat="1" applyFont="1" applyFill="1" applyBorder="1"/>
    <xf numFmtId="6" fontId="175" fillId="4" borderId="8" xfId="0" applyNumberFormat="1" applyFont="1" applyFill="1" applyBorder="1"/>
    <xf numFmtId="0" fontId="175" fillId="0" borderId="65" xfId="0" applyFont="1" applyBorder="1" applyAlignment="1">
      <alignment horizontal="center"/>
    </xf>
    <xf numFmtId="0" fontId="175" fillId="0" borderId="63" xfId="0" applyFont="1" applyBorder="1" applyAlignment="1">
      <alignment horizontal="center"/>
    </xf>
    <xf numFmtId="0" fontId="15" fillId="0" borderId="76" xfId="0" applyFont="1" applyBorder="1"/>
    <xf numFmtId="37" fontId="15" fillId="0" borderId="55" xfId="22" applyNumberFormat="1" applyFont="1" applyBorder="1"/>
    <xf numFmtId="37" fontId="15" fillId="0" borderId="6" xfId="22" applyNumberFormat="1" applyFont="1" applyBorder="1"/>
    <xf numFmtId="0" fontId="15" fillId="0" borderId="63" xfId="0" applyFont="1" applyBorder="1"/>
    <xf numFmtId="37" fontId="15" fillId="0" borderId="97" xfId="22" applyNumberFormat="1" applyFont="1" applyBorder="1"/>
    <xf numFmtId="166" fontId="23" fillId="0" borderId="75" xfId="22" applyNumberFormat="1" applyFont="1" applyBorder="1"/>
    <xf numFmtId="0" fontId="171" fillId="0" borderId="66" xfId="0" applyFont="1" applyBorder="1"/>
    <xf numFmtId="0" fontId="171" fillId="4" borderId="65" xfId="0" applyFont="1" applyFill="1" applyBorder="1"/>
    <xf numFmtId="0" fontId="171" fillId="4" borderId="8" xfId="0" applyFont="1" applyFill="1" applyBorder="1"/>
    <xf numFmtId="0" fontId="171" fillId="4" borderId="2" xfId="0" applyFont="1" applyFill="1" applyBorder="1"/>
    <xf numFmtId="0" fontId="171" fillId="4" borderId="14" xfId="0" applyFont="1" applyFill="1" applyBorder="1"/>
    <xf numFmtId="6" fontId="171" fillId="0" borderId="93" xfId="0" applyNumberFormat="1" applyFont="1" applyBorder="1"/>
    <xf numFmtId="5" fontId="171" fillId="0" borderId="88" xfId="0" applyNumberFormat="1" applyFont="1" applyBorder="1"/>
    <xf numFmtId="169" fontId="171" fillId="0" borderId="97" xfId="18" applyNumberFormat="1" applyFont="1" applyBorder="1"/>
    <xf numFmtId="5" fontId="171" fillId="4" borderId="8" xfId="0" applyNumberFormat="1" applyFont="1" applyFill="1" applyBorder="1"/>
    <xf numFmtId="5" fontId="171" fillId="4" borderId="65" xfId="0" applyNumberFormat="1" applyFont="1" applyFill="1" applyBorder="1"/>
    <xf numFmtId="37" fontId="171" fillId="0" borderId="0" xfId="0" applyNumberFormat="1" applyFont="1"/>
    <xf numFmtId="177" fontId="23" fillId="0" borderId="0" xfId="22" applyNumberFormat="1" applyFont="1" applyFill="1" applyBorder="1" applyAlignment="1">
      <alignment horizontal="left" vertical="center"/>
    </xf>
    <xf numFmtId="264" fontId="185" fillId="0" borderId="0" xfId="0" applyNumberFormat="1" applyFont="1" applyAlignment="1">
      <alignment horizontal="center"/>
    </xf>
    <xf numFmtId="0" fontId="170" fillId="0" borderId="91" xfId="0" applyFont="1" applyBorder="1" applyAlignment="1">
      <alignment horizontal="center" vertical="center"/>
    </xf>
    <xf numFmtId="6" fontId="185" fillId="36" borderId="6" xfId="1347" applyNumberFormat="1" applyFont="1" applyFill="1" applyBorder="1" applyAlignment="1">
      <alignment horizontal="center"/>
    </xf>
    <xf numFmtId="6" fontId="185" fillId="36" borderId="75" xfId="1347" applyNumberFormat="1" applyFont="1" applyFill="1" applyBorder="1" applyAlignment="1">
      <alignment horizontal="center"/>
    </xf>
    <xf numFmtId="0" fontId="23" fillId="36" borderId="92" xfId="1347" applyFont="1" applyFill="1" applyBorder="1" applyAlignment="1">
      <alignment horizontal="center" vertical="center"/>
    </xf>
    <xf numFmtId="0" fontId="185" fillId="36" borderId="6" xfId="1347" applyFont="1" applyFill="1" applyBorder="1" applyAlignment="1">
      <alignment horizontal="center" vertical="center"/>
    </xf>
    <xf numFmtId="38" fontId="175" fillId="36" borderId="6" xfId="1347" applyNumberFormat="1" applyFont="1" applyFill="1" applyBorder="1" applyAlignment="1">
      <alignment horizontal="center"/>
    </xf>
    <xf numFmtId="8" fontId="185" fillId="36" borderId="6" xfId="1347" applyNumberFormat="1" applyFont="1" applyFill="1" applyBorder="1" applyAlignment="1">
      <alignment horizontal="center" vertical="center"/>
    </xf>
    <xf numFmtId="8" fontId="175" fillId="36" borderId="6" xfId="1347" applyNumberFormat="1" applyFont="1" applyFill="1" applyBorder="1" applyAlignment="1">
      <alignment horizontal="center"/>
    </xf>
    <xf numFmtId="166" fontId="185" fillId="36" borderId="6" xfId="1347" applyNumberFormat="1" applyFont="1" applyFill="1" applyBorder="1" applyAlignment="1">
      <alignment horizontal="center"/>
    </xf>
    <xf numFmtId="8" fontId="185" fillId="36" borderId="75" xfId="1347" applyNumberFormat="1" applyFont="1" applyFill="1" applyBorder="1" applyAlignment="1">
      <alignment horizontal="center" vertical="center"/>
    </xf>
    <xf numFmtId="0" fontId="23" fillId="9" borderId="88" xfId="1347" applyFont="1" applyFill="1" applyBorder="1" applyAlignment="1">
      <alignment horizontal="center"/>
    </xf>
    <xf numFmtId="0" fontId="23" fillId="9" borderId="89" xfId="1347" applyFont="1" applyFill="1" applyBorder="1" applyAlignment="1">
      <alignment horizontal="center"/>
    </xf>
    <xf numFmtId="172" fontId="175" fillId="0" borderId="65" xfId="0" applyNumberFormat="1" applyFont="1" applyBorder="1" applyAlignment="1">
      <alignment horizontal="center"/>
    </xf>
    <xf numFmtId="172" fontId="175" fillId="0" borderId="65" xfId="0" applyNumberFormat="1" applyFont="1" applyBorder="1"/>
    <xf numFmtId="0" fontId="175" fillId="0" borderId="0" xfId="0" applyFont="1"/>
    <xf numFmtId="0" fontId="175" fillId="0" borderId="15" xfId="0" applyFont="1" applyBorder="1" applyAlignment="1">
      <alignment horizontal="center"/>
    </xf>
    <xf numFmtId="0" fontId="171" fillId="9" borderId="95" xfId="0" applyFont="1" applyFill="1" applyBorder="1"/>
    <xf numFmtId="10" fontId="171" fillId="9" borderId="95" xfId="0" applyNumberFormat="1" applyFont="1" applyFill="1" applyBorder="1"/>
    <xf numFmtId="6" fontId="171" fillId="0" borderId="88" xfId="0" applyNumberFormat="1" applyFont="1" applyBorder="1"/>
    <xf numFmtId="0" fontId="170" fillId="0" borderId="87" xfId="0" applyFont="1" applyBorder="1" applyAlignment="1">
      <alignment horizontal="center" vertical="center" wrapText="1"/>
    </xf>
    <xf numFmtId="0" fontId="170" fillId="0" borderId="88" xfId="0" applyFont="1" applyBorder="1" applyAlignment="1">
      <alignment horizontal="center" vertical="center" wrapText="1"/>
    </xf>
    <xf numFmtId="0" fontId="170" fillId="0" borderId="88" xfId="0" applyFont="1" applyBorder="1" applyAlignment="1">
      <alignment horizontal="center" vertical="center"/>
    </xf>
    <xf numFmtId="0" fontId="170" fillId="0" borderId="98" xfId="0" applyFont="1" applyBorder="1" applyAlignment="1">
      <alignment horizontal="center" vertical="center" wrapText="1"/>
    </xf>
    <xf numFmtId="0" fontId="170" fillId="0" borderId="101" xfId="0" applyFont="1" applyBorder="1" applyAlignment="1">
      <alignment horizontal="center" vertical="center"/>
    </xf>
    <xf numFmtId="0" fontId="170" fillId="0" borderId="98" xfId="0" applyFont="1" applyBorder="1" applyAlignment="1">
      <alignment horizontal="center" vertical="center"/>
    </xf>
    <xf numFmtId="14" fontId="23" fillId="9" borderId="87" xfId="0" applyNumberFormat="1" applyFont="1" applyFill="1" applyBorder="1" applyAlignment="1">
      <alignment horizontal="right" vertical="center"/>
    </xf>
    <xf numFmtId="5" fontId="171" fillId="0" borderId="65" xfId="0" applyNumberFormat="1" applyFont="1" applyBorder="1"/>
    <xf numFmtId="5" fontId="175" fillId="0" borderId="0" xfId="0" applyNumberFormat="1" applyFont="1"/>
    <xf numFmtId="166" fontId="171" fillId="4" borderId="0" xfId="0" applyNumberFormat="1" applyFont="1" applyFill="1"/>
    <xf numFmtId="0" fontId="175" fillId="0" borderId="64" xfId="0" applyFont="1" applyBorder="1"/>
    <xf numFmtId="6" fontId="171" fillId="0" borderId="92" xfId="0" applyNumberFormat="1" applyFont="1" applyBorder="1"/>
    <xf numFmtId="175" fontId="175" fillId="35" borderId="92" xfId="0" applyNumberFormat="1" applyFont="1" applyFill="1" applyBorder="1"/>
    <xf numFmtId="6" fontId="175" fillId="0" borderId="65" xfId="0" applyNumberFormat="1" applyFont="1" applyBorder="1" applyAlignment="1">
      <alignment horizontal="center" vertical="center"/>
    </xf>
    <xf numFmtId="5" fontId="15" fillId="0" borderId="65" xfId="22" applyNumberFormat="1" applyFont="1" applyBorder="1" applyAlignment="1">
      <alignment horizontal="center" vertical="center"/>
    </xf>
    <xf numFmtId="5" fontId="15" fillId="0" borderId="3" xfId="22" applyNumberFormat="1" applyFont="1" applyBorder="1" applyAlignment="1">
      <alignment horizontal="center" vertical="center"/>
    </xf>
    <xf numFmtId="5" fontId="23" fillId="0" borderId="3" xfId="0" applyNumberFormat="1" applyFont="1" applyBorder="1" applyAlignment="1">
      <alignment horizontal="center" vertical="center"/>
    </xf>
    <xf numFmtId="37" fontId="15" fillId="0" borderId="60" xfId="22" applyNumberFormat="1" applyFont="1" applyBorder="1" applyAlignment="1">
      <alignment horizontal="center"/>
    </xf>
    <xf numFmtId="166" fontId="23" fillId="0" borderId="60" xfId="22" applyNumberFormat="1" applyFont="1" applyBorder="1" applyAlignment="1">
      <alignment horizontal="center"/>
    </xf>
    <xf numFmtId="167" fontId="185" fillId="9" borderId="59" xfId="0" applyNumberFormat="1" applyFont="1" applyFill="1" applyBorder="1"/>
    <xf numFmtId="167" fontId="185" fillId="9" borderId="95" xfId="0" applyNumberFormat="1" applyFont="1" applyFill="1" applyBorder="1"/>
    <xf numFmtId="0" fontId="181" fillId="0" borderId="0" xfId="0" applyFont="1"/>
    <xf numFmtId="0" fontId="185" fillId="0" borderId="0" xfId="0" applyFont="1"/>
    <xf numFmtId="0" fontId="186" fillId="0" borderId="0" xfId="0" applyFont="1"/>
    <xf numFmtId="172" fontId="175" fillId="0" borderId="63" xfId="0" applyNumberFormat="1" applyFont="1" applyBorder="1"/>
    <xf numFmtId="0" fontId="186" fillId="0" borderId="96" xfId="0" applyFont="1" applyBorder="1" applyAlignment="1">
      <alignment horizontal="center"/>
    </xf>
    <xf numFmtId="0" fontId="186" fillId="0" borderId="96" xfId="0" applyFont="1" applyBorder="1"/>
    <xf numFmtId="166" fontId="181" fillId="0" borderId="0" xfId="0" applyNumberFormat="1" applyFont="1"/>
    <xf numFmtId="6" fontId="181" fillId="0" borderId="0" xfId="0" applyNumberFormat="1" applyFont="1"/>
    <xf numFmtId="0" fontId="181" fillId="0" borderId="2" xfId="0" applyFont="1" applyBorder="1"/>
    <xf numFmtId="0" fontId="175" fillId="0" borderId="96" xfId="0" applyFont="1" applyBorder="1"/>
    <xf numFmtId="167" fontId="23" fillId="9" borderId="95" xfId="0" applyNumberFormat="1" applyFont="1" applyFill="1" applyBorder="1"/>
    <xf numFmtId="5" fontId="181" fillId="0" borderId="0" xfId="0" applyNumberFormat="1" applyFont="1"/>
    <xf numFmtId="0" fontId="183" fillId="36" borderId="15" xfId="1347" applyFont="1" applyFill="1" applyBorder="1" applyAlignment="1">
      <alignment horizontal="left" vertical="center" indent="1"/>
    </xf>
    <xf numFmtId="166" fontId="23" fillId="36" borderId="0" xfId="1347" applyNumberFormat="1" applyFont="1" applyFill="1" applyAlignment="1">
      <alignment horizontal="center" vertical="center"/>
    </xf>
    <xf numFmtId="3" fontId="180" fillId="0" borderId="0" xfId="0" applyNumberFormat="1" applyFont="1" applyAlignment="1">
      <alignment horizontal="center" vertical="center"/>
    </xf>
    <xf numFmtId="6" fontId="171" fillId="36" borderId="0" xfId="1347" applyNumberFormat="1" applyFont="1" applyFill="1"/>
    <xf numFmtId="165" fontId="0" fillId="0" borderId="0" xfId="0" applyNumberFormat="1"/>
    <xf numFmtId="0" fontId="194" fillId="0" borderId="0" xfId="0" applyFont="1"/>
    <xf numFmtId="178" fontId="15" fillId="0" borderId="62" xfId="0" applyNumberFormat="1" applyFont="1" applyBorder="1" applyAlignment="1">
      <alignment horizontal="left"/>
    </xf>
    <xf numFmtId="10" fontId="189" fillId="4" borderId="86" xfId="0" applyNumberFormat="1" applyFont="1" applyFill="1" applyBorder="1" applyAlignment="1">
      <alignment horizontal="center" vertical="center"/>
    </xf>
    <xf numFmtId="0" fontId="187" fillId="0" borderId="0" xfId="0" applyFont="1"/>
    <xf numFmtId="0" fontId="170" fillId="0" borderId="0" xfId="0" applyFont="1" applyAlignment="1">
      <alignment horizontal="center" wrapText="1"/>
    </xf>
    <xf numFmtId="166" fontId="169" fillId="0" borderId="0" xfId="0" applyNumberFormat="1" applyFont="1" applyAlignment="1">
      <alignment horizontal="center"/>
    </xf>
    <xf numFmtId="166" fontId="169" fillId="0" borderId="0" xfId="0" applyNumberFormat="1" applyFont="1"/>
    <xf numFmtId="165" fontId="185" fillId="36" borderId="0" xfId="1358" applyNumberFormat="1" applyFont="1" applyFill="1" applyBorder="1" applyAlignment="1">
      <alignment horizontal="center" vertical="center"/>
    </xf>
    <xf numFmtId="0" fontId="171" fillId="36" borderId="74" xfId="1347" applyFont="1" applyFill="1" applyBorder="1" applyAlignment="1">
      <alignment horizontal="left" vertical="center" indent="1"/>
    </xf>
    <xf numFmtId="0" fontId="23" fillId="36" borderId="86" xfId="1347" applyFont="1" applyFill="1" applyBorder="1" applyAlignment="1">
      <alignment vertical="center"/>
    </xf>
    <xf numFmtId="0" fontId="15" fillId="36" borderId="0" xfId="1347" applyFont="1" applyFill="1" applyAlignment="1">
      <alignment horizontal="left" vertical="center"/>
    </xf>
    <xf numFmtId="0" fontId="15" fillId="36" borderId="86" xfId="1347" applyFont="1" applyFill="1" applyBorder="1" applyAlignment="1">
      <alignment horizontal="left" vertical="center"/>
    </xf>
    <xf numFmtId="0" fontId="23" fillId="36" borderId="91" xfId="1347" applyFont="1" applyFill="1" applyBorder="1" applyAlignment="1">
      <alignment vertical="center"/>
    </xf>
    <xf numFmtId="0" fontId="15" fillId="36" borderId="91" xfId="1347" applyFont="1" applyFill="1" applyBorder="1" applyAlignment="1">
      <alignment horizontal="left" vertical="center"/>
    </xf>
    <xf numFmtId="14" fontId="171" fillId="36" borderId="86" xfId="1347" applyNumberFormat="1" applyFont="1" applyFill="1" applyBorder="1" applyAlignment="1">
      <alignment horizontal="left"/>
    </xf>
    <xf numFmtId="0" fontId="15" fillId="36" borderId="0" xfId="1347" applyFont="1" applyFill="1" applyAlignment="1">
      <alignment horizontal="center" vertical="center"/>
    </xf>
    <xf numFmtId="37" fontId="185" fillId="36" borderId="0" xfId="1347" applyNumberFormat="1" applyFont="1" applyFill="1" applyAlignment="1">
      <alignment horizontal="center" vertical="center"/>
    </xf>
    <xf numFmtId="37" fontId="171" fillId="4" borderId="0" xfId="1347" applyNumberFormat="1" applyFont="1" applyFill="1" applyAlignment="1">
      <alignment horizontal="center" vertical="center"/>
    </xf>
    <xf numFmtId="0" fontId="175" fillId="36" borderId="90" xfId="1347" applyFont="1" applyFill="1" applyBorder="1" applyAlignment="1">
      <alignment horizontal="left" vertical="center"/>
    </xf>
    <xf numFmtId="0" fontId="171" fillId="36" borderId="92" xfId="1347" applyFont="1" applyFill="1" applyBorder="1" applyAlignment="1">
      <alignment vertical="center"/>
    </xf>
    <xf numFmtId="0" fontId="23" fillId="36" borderId="90" xfId="1347" applyFont="1" applyFill="1" applyBorder="1" applyAlignment="1">
      <alignment vertical="center"/>
    </xf>
    <xf numFmtId="0" fontId="23" fillId="36" borderId="91" xfId="1347" applyFont="1" applyFill="1" applyBorder="1" applyAlignment="1">
      <alignment horizontal="center" vertical="center"/>
    </xf>
    <xf numFmtId="0" fontId="182" fillId="36" borderId="15" xfId="1347" applyFont="1" applyFill="1" applyBorder="1" applyAlignment="1">
      <alignment horizontal="left" vertical="center"/>
    </xf>
    <xf numFmtId="37" fontId="23" fillId="36" borderId="6" xfId="1347" applyNumberFormat="1" applyFont="1" applyFill="1" applyBorder="1" applyAlignment="1">
      <alignment horizontal="center" vertical="center"/>
    </xf>
    <xf numFmtId="0" fontId="171" fillId="4" borderId="6" xfId="1347" applyFont="1" applyFill="1" applyBorder="1"/>
    <xf numFmtId="0" fontId="185" fillId="36" borderId="6" xfId="1347" applyFont="1" applyFill="1" applyBorder="1" applyAlignment="1">
      <alignment horizontal="center"/>
    </xf>
    <xf numFmtId="0" fontId="171" fillId="4" borderId="6" xfId="1347" applyFont="1" applyFill="1" applyBorder="1" applyAlignment="1">
      <alignment horizontal="center"/>
    </xf>
    <xf numFmtId="3" fontId="185" fillId="36" borderId="6" xfId="1347" applyNumberFormat="1" applyFont="1" applyFill="1" applyBorder="1" applyAlignment="1">
      <alignment horizontal="center"/>
    </xf>
    <xf numFmtId="165" fontId="185" fillId="36" borderId="86" xfId="1358" applyNumberFormat="1" applyFont="1" applyFill="1" applyBorder="1" applyAlignment="1">
      <alignment horizontal="center" vertical="center"/>
    </xf>
    <xf numFmtId="6" fontId="185" fillId="36" borderId="6" xfId="1347" applyNumberFormat="1" applyFont="1" applyFill="1" applyBorder="1" applyAlignment="1">
      <alignment horizontal="center" vertical="center"/>
    </xf>
    <xf numFmtId="6" fontId="169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center"/>
    </xf>
    <xf numFmtId="0" fontId="186" fillId="0" borderId="0" xfId="0" applyFont="1" applyAlignment="1">
      <alignment horizontal="center"/>
    </xf>
    <xf numFmtId="0" fontId="186" fillId="0" borderId="55" xfId="0" applyFont="1" applyBorder="1" applyAlignment="1">
      <alignment horizontal="center"/>
    </xf>
    <xf numFmtId="0" fontId="186" fillId="0" borderId="55" xfId="0" applyFont="1" applyBorder="1"/>
    <xf numFmtId="0" fontId="175" fillId="0" borderId="55" xfId="0" applyFont="1" applyBorder="1"/>
    <xf numFmtId="172" fontId="175" fillId="0" borderId="8" xfId="0" applyNumberFormat="1" applyFont="1" applyBorder="1"/>
    <xf numFmtId="224" fontId="181" fillId="0" borderId="0" xfId="0" applyNumberFormat="1" applyFont="1"/>
    <xf numFmtId="0" fontId="171" fillId="5" borderId="57" xfId="0" applyFont="1" applyFill="1" applyBorder="1"/>
    <xf numFmtId="0" fontId="171" fillId="5" borderId="0" xfId="0" applyFont="1" applyFill="1"/>
    <xf numFmtId="0" fontId="175" fillId="36" borderId="15" xfId="1347" applyFont="1" applyFill="1" applyBorder="1" applyAlignment="1">
      <alignment vertical="center"/>
    </xf>
    <xf numFmtId="0" fontId="175" fillId="36" borderId="6" xfId="1347" applyFont="1" applyFill="1" applyBorder="1" applyAlignment="1">
      <alignment horizontal="center" vertical="center"/>
    </xf>
    <xf numFmtId="0" fontId="175" fillId="36" borderId="92" xfId="1347" applyFont="1" applyFill="1" applyBorder="1"/>
    <xf numFmtId="0" fontId="175" fillId="36" borderId="91" xfId="1347" applyFont="1" applyFill="1" applyBorder="1" applyAlignment="1">
      <alignment vertical="center"/>
    </xf>
    <xf numFmtId="299" fontId="176" fillId="0" borderId="67" xfId="0" applyNumberFormat="1" applyFont="1" applyBorder="1" applyAlignment="1">
      <alignment horizontal="left"/>
    </xf>
    <xf numFmtId="167" fontId="181" fillId="36" borderId="6" xfId="1347" applyNumberFormat="1" applyFont="1" applyFill="1" applyBorder="1"/>
    <xf numFmtId="167" fontId="181" fillId="0" borderId="6" xfId="0" applyNumberFormat="1" applyFont="1" applyBorder="1"/>
    <xf numFmtId="167" fontId="181" fillId="36" borderId="6" xfId="1" applyNumberFormat="1" applyFont="1" applyFill="1" applyBorder="1" applyAlignment="1">
      <alignment horizontal="right"/>
    </xf>
    <xf numFmtId="167" fontId="181" fillId="36" borderId="86" xfId="1347" applyNumberFormat="1" applyFont="1" applyFill="1" applyBorder="1" applyAlignment="1">
      <alignment horizontal="center" vertical="center"/>
    </xf>
    <xf numFmtId="167" fontId="181" fillId="36" borderId="75" xfId="1347" applyNumberFormat="1" applyFont="1" applyFill="1" applyBorder="1"/>
    <xf numFmtId="167" fontId="178" fillId="8" borderId="59" xfId="2" applyNumberFormat="1" applyFont="1" applyFill="1" applyBorder="1" applyAlignment="1">
      <alignment horizontal="center"/>
    </xf>
    <xf numFmtId="9" fontId="169" fillId="0" borderId="0" xfId="1" applyFont="1"/>
    <xf numFmtId="43" fontId="15" fillId="0" borderId="0" xfId="1360" applyFont="1"/>
    <xf numFmtId="8" fontId="171" fillId="0" borderId="0" xfId="0" applyNumberFormat="1" applyFont="1"/>
    <xf numFmtId="0" fontId="172" fillId="36" borderId="0" xfId="0" applyFont="1" applyFill="1"/>
    <xf numFmtId="0" fontId="172" fillId="36" borderId="0" xfId="0" applyFont="1" applyFill="1" applyAlignment="1">
      <alignment horizontal="center" wrapText="1"/>
    </xf>
    <xf numFmtId="0" fontId="15" fillId="36" borderId="0" xfId="0" applyFont="1" applyFill="1" applyAlignment="1">
      <alignment wrapText="1"/>
    </xf>
    <xf numFmtId="284" fontId="185" fillId="36" borderId="0" xfId="0" applyNumberFormat="1" applyFont="1" applyFill="1" applyAlignment="1">
      <alignment horizontal="center"/>
    </xf>
    <xf numFmtId="0" fontId="171" fillId="36" borderId="0" xfId="1347" applyFont="1" applyFill="1" applyAlignment="1">
      <alignment wrapText="1"/>
    </xf>
    <xf numFmtId="267" fontId="185" fillId="36" borderId="0" xfId="0" applyNumberFormat="1" applyFont="1" applyFill="1" applyAlignment="1">
      <alignment horizontal="center"/>
    </xf>
    <xf numFmtId="0" fontId="171" fillId="36" borderId="0" xfId="0" applyFont="1" applyFill="1" applyAlignment="1">
      <alignment horizontal="center" wrapText="1"/>
    </xf>
    <xf numFmtId="262" fontId="185" fillId="36" borderId="0" xfId="0" applyNumberFormat="1" applyFont="1" applyFill="1" applyAlignment="1">
      <alignment horizontal="center"/>
    </xf>
    <xf numFmtId="0" fontId="15" fillId="36" borderId="0" xfId="0" applyFont="1" applyFill="1"/>
    <xf numFmtId="0" fontId="185" fillId="36" borderId="0" xfId="0" applyFont="1" applyFill="1" applyAlignment="1">
      <alignment horizontal="center"/>
    </xf>
    <xf numFmtId="263" fontId="185" fillId="36" borderId="0" xfId="0" applyNumberFormat="1" applyFont="1" applyFill="1" applyAlignment="1">
      <alignment horizontal="center"/>
    </xf>
    <xf numFmtId="271" fontId="185" fillId="36" borderId="0" xfId="0" applyNumberFormat="1" applyFont="1" applyFill="1" applyAlignment="1">
      <alignment horizontal="center"/>
    </xf>
    <xf numFmtId="10" fontId="185" fillId="36" borderId="0" xfId="1" applyNumberFormat="1" applyFont="1" applyFill="1" applyBorder="1" applyAlignment="1">
      <alignment horizontal="center"/>
    </xf>
    <xf numFmtId="268" fontId="185" fillId="36" borderId="0" xfId="0" applyNumberFormat="1" applyFont="1" applyFill="1" applyAlignment="1">
      <alignment horizontal="center"/>
    </xf>
    <xf numFmtId="264" fontId="185" fillId="36" borderId="0" xfId="0" applyNumberFormat="1" applyFont="1" applyFill="1" applyAlignment="1">
      <alignment horizontal="center"/>
    </xf>
    <xf numFmtId="270" fontId="185" fillId="36" borderId="0" xfId="0" applyNumberFormat="1" applyFont="1" applyFill="1" applyAlignment="1">
      <alignment horizontal="center"/>
    </xf>
    <xf numFmtId="265" fontId="185" fillId="36" borderId="0" xfId="0" applyNumberFormat="1" applyFont="1" applyFill="1" applyAlignment="1">
      <alignment horizontal="center"/>
    </xf>
    <xf numFmtId="182" fontId="15" fillId="36" borderId="0" xfId="0" applyNumberFormat="1" applyFont="1" applyFill="1"/>
    <xf numFmtId="275" fontId="185" fillId="36" borderId="0" xfId="0" applyNumberFormat="1" applyFont="1" applyFill="1" applyAlignment="1">
      <alignment horizontal="center"/>
    </xf>
    <xf numFmtId="0" fontId="171" fillId="36" borderId="0" xfId="1347" applyFont="1" applyFill="1" applyAlignment="1">
      <alignment horizontal="center"/>
    </xf>
    <xf numFmtId="0" fontId="196" fillId="36" borderId="0" xfId="0" applyFont="1" applyFill="1"/>
    <xf numFmtId="0" fontId="195" fillId="8" borderId="0" xfId="0" applyFont="1" applyFill="1" applyAlignment="1">
      <alignment horizontal="centerContinuous"/>
    </xf>
    <xf numFmtId="0" fontId="196" fillId="8" borderId="0" xfId="0" applyFont="1" applyFill="1" applyAlignment="1">
      <alignment horizontal="centerContinuous"/>
    </xf>
    <xf numFmtId="0" fontId="196" fillId="8" borderId="0" xfId="0" applyFont="1" applyFill="1"/>
    <xf numFmtId="0" fontId="175" fillId="36" borderId="0" xfId="1347" applyFont="1" applyFill="1" applyAlignment="1">
      <alignment horizontal="center"/>
    </xf>
    <xf numFmtId="8" fontId="23" fillId="0" borderId="0" xfId="0" applyNumberFormat="1" applyFont="1"/>
    <xf numFmtId="44" fontId="171" fillId="0" borderId="0" xfId="18" applyFont="1"/>
    <xf numFmtId="43" fontId="171" fillId="0" borderId="0" xfId="1360" applyFont="1"/>
    <xf numFmtId="0" fontId="171" fillId="0" borderId="0" xfId="0" applyFont="1" applyAlignment="1">
      <alignment horizontal="left"/>
    </xf>
    <xf numFmtId="44" fontId="171" fillId="0" borderId="0" xfId="18" applyFont="1" applyAlignment="1">
      <alignment horizontal="left"/>
    </xf>
    <xf numFmtId="0" fontId="171" fillId="0" borderId="0" xfId="18" applyNumberFormat="1" applyFont="1"/>
    <xf numFmtId="10" fontId="171" fillId="0" borderId="0" xfId="0" applyNumberFormat="1" applyFont="1"/>
    <xf numFmtId="43" fontId="171" fillId="0" borderId="0" xfId="0" applyNumberFormat="1" applyFont="1"/>
    <xf numFmtId="8" fontId="185" fillId="36" borderId="0" xfId="1347" applyNumberFormat="1" applyFont="1" applyFill="1" applyAlignment="1">
      <alignment horizontal="center" vertical="center"/>
    </xf>
    <xf numFmtId="0" fontId="183" fillId="36" borderId="90" xfId="1347" applyFont="1" applyFill="1" applyBorder="1" applyAlignment="1">
      <alignment vertical="center"/>
    </xf>
    <xf numFmtId="302" fontId="185" fillId="36" borderId="6" xfId="1347" applyNumberFormat="1" applyFont="1" applyFill="1" applyBorder="1" applyAlignment="1">
      <alignment horizontal="center" vertical="center"/>
    </xf>
    <xf numFmtId="303" fontId="185" fillId="36" borderId="6" xfId="1347" applyNumberFormat="1" applyFont="1" applyFill="1" applyBorder="1" applyAlignment="1">
      <alignment horizontal="center" vertical="center"/>
    </xf>
    <xf numFmtId="0" fontId="15" fillId="36" borderId="74" xfId="1347" applyFont="1" applyFill="1" applyBorder="1" applyAlignment="1">
      <alignment horizontal="left" vertical="center"/>
    </xf>
    <xf numFmtId="0" fontId="183" fillId="36" borderId="15" xfId="1347" applyFont="1" applyFill="1" applyBorder="1" applyAlignment="1">
      <alignment horizontal="left" vertical="center"/>
    </xf>
    <xf numFmtId="0" fontId="15" fillId="0" borderId="0" xfId="0" applyFont="1" applyAlignment="1">
      <alignment wrapText="1"/>
    </xf>
    <xf numFmtId="182" fontId="15" fillId="0" borderId="0" xfId="0" applyNumberFormat="1" applyFont="1"/>
    <xf numFmtId="5" fontId="174" fillId="0" borderId="65" xfId="22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305" fontId="185" fillId="36" borderId="6" xfId="1347" applyNumberFormat="1" applyFont="1" applyFill="1" applyBorder="1" applyAlignment="1">
      <alignment horizontal="center"/>
    </xf>
    <xf numFmtId="264" fontId="15" fillId="0" borderId="0" xfId="0" applyNumberFormat="1" applyFont="1" applyAlignment="1">
      <alignment horizontal="center"/>
    </xf>
    <xf numFmtId="0" fontId="170" fillId="0" borderId="84" xfId="0" applyFont="1" applyBorder="1"/>
    <xf numFmtId="166" fontId="170" fillId="0" borderId="59" xfId="0" applyNumberFormat="1" applyFont="1" applyBorder="1" applyAlignment="1">
      <alignment horizontal="center"/>
    </xf>
    <xf numFmtId="0" fontId="175" fillId="36" borderId="0" xfId="1347" applyFont="1" applyFill="1"/>
    <xf numFmtId="166" fontId="181" fillId="0" borderId="0" xfId="18" applyNumberFormat="1" applyFont="1"/>
    <xf numFmtId="9" fontId="171" fillId="0" borderId="0" xfId="1" applyFont="1"/>
    <xf numFmtId="179" fontId="169" fillId="0" borderId="6" xfId="0" applyNumberFormat="1" applyFont="1" applyBorder="1"/>
    <xf numFmtId="0" fontId="170" fillId="0" borderId="89" xfId="0" applyFont="1" applyBorder="1" applyAlignment="1">
      <alignment vertical="center" wrapText="1"/>
    </xf>
    <xf numFmtId="167" fontId="171" fillId="0" borderId="0" xfId="1" applyNumberFormat="1" applyFont="1"/>
    <xf numFmtId="167" fontId="171" fillId="0" borderId="0" xfId="0" applyNumberFormat="1" applyFont="1"/>
    <xf numFmtId="6" fontId="185" fillId="36" borderId="0" xfId="1347" applyNumberFormat="1" applyFont="1" applyFill="1" applyAlignment="1">
      <alignment horizontal="center"/>
    </xf>
    <xf numFmtId="6" fontId="185" fillId="36" borderId="86" xfId="1347" applyNumberFormat="1" applyFont="1" applyFill="1" applyBorder="1" applyAlignment="1">
      <alignment horizontal="center"/>
    </xf>
    <xf numFmtId="166" fontId="185" fillId="36" borderId="91" xfId="1347" applyNumberFormat="1" applyFont="1" applyFill="1" applyBorder="1" applyAlignment="1">
      <alignment horizontal="center" vertical="center"/>
    </xf>
    <xf numFmtId="166" fontId="185" fillId="36" borderId="86" xfId="1347" applyNumberFormat="1" applyFont="1" applyFill="1" applyBorder="1" applyAlignment="1">
      <alignment horizontal="center" vertical="center"/>
    </xf>
    <xf numFmtId="167" fontId="181" fillId="36" borderId="0" xfId="1347" applyNumberFormat="1" applyFont="1" applyFill="1" applyAlignment="1">
      <alignment horizontal="center" vertical="center"/>
    </xf>
    <xf numFmtId="0" fontId="171" fillId="36" borderId="74" xfId="1347" applyFont="1" applyFill="1" applyBorder="1" applyAlignment="1">
      <alignment horizontal="left" indent="1"/>
    </xf>
    <xf numFmtId="0" fontId="195" fillId="8" borderId="0" xfId="0" applyFont="1" applyFill="1"/>
    <xf numFmtId="0" fontId="198" fillId="8" borderId="0" xfId="0" applyFont="1" applyFill="1" applyAlignment="1">
      <alignment horizontal="centerContinuous"/>
    </xf>
    <xf numFmtId="0" fontId="169" fillId="0" borderId="15" xfId="0" applyFont="1" applyBorder="1"/>
    <xf numFmtId="0" fontId="170" fillId="0" borderId="15" xfId="0" applyFont="1" applyBorder="1"/>
    <xf numFmtId="0" fontId="170" fillId="0" borderId="74" xfId="0" applyFont="1" applyBorder="1"/>
    <xf numFmtId="9" fontId="169" fillId="0" borderId="0" xfId="1" applyFont="1" applyBorder="1"/>
    <xf numFmtId="9" fontId="170" fillId="0" borderId="0" xfId="1" applyFont="1" applyBorder="1"/>
    <xf numFmtId="0" fontId="170" fillId="35" borderId="90" xfId="0" applyFont="1" applyFill="1" applyBorder="1"/>
    <xf numFmtId="0" fontId="170" fillId="35" borderId="91" xfId="0" applyFont="1" applyFill="1" applyBorder="1" applyAlignment="1">
      <alignment horizontal="center"/>
    </xf>
    <xf numFmtId="0" fontId="170" fillId="35" borderId="92" xfId="0" applyFont="1" applyFill="1" applyBorder="1" applyAlignment="1">
      <alignment horizontal="center"/>
    </xf>
    <xf numFmtId="179" fontId="170" fillId="0" borderId="6" xfId="0" applyNumberFormat="1" applyFont="1" applyBorder="1"/>
    <xf numFmtId="9" fontId="170" fillId="0" borderId="86" xfId="0" applyNumberFormat="1" applyFont="1" applyBorder="1"/>
    <xf numFmtId="179" fontId="170" fillId="0" borderId="75" xfId="0" applyNumberFormat="1" applyFont="1" applyBorder="1"/>
    <xf numFmtId="0" fontId="169" fillId="0" borderId="104" xfId="0" applyFont="1" applyBorder="1"/>
    <xf numFmtId="9" fontId="169" fillId="0" borderId="105" xfId="1" applyFont="1" applyBorder="1"/>
    <xf numFmtId="179" fontId="169" fillId="0" borderId="106" xfId="0" applyNumberFormat="1" applyFont="1" applyBorder="1"/>
    <xf numFmtId="176" fontId="171" fillId="0" borderId="0" xfId="0" applyNumberFormat="1" applyFont="1"/>
    <xf numFmtId="0" fontId="171" fillId="36" borderId="0" xfId="0" applyFont="1" applyFill="1"/>
    <xf numFmtId="0" fontId="171" fillId="36" borderId="90" xfId="0" applyFont="1" applyFill="1" applyBorder="1"/>
    <xf numFmtId="0" fontId="171" fillId="36" borderId="91" xfId="0" applyFont="1" applyFill="1" applyBorder="1"/>
    <xf numFmtId="0" fontId="175" fillId="36" borderId="91" xfId="0" applyFont="1" applyFill="1" applyBorder="1"/>
    <xf numFmtId="0" fontId="196" fillId="36" borderId="91" xfId="0" applyFont="1" applyFill="1" applyBorder="1"/>
    <xf numFmtId="0" fontId="171" fillId="36" borderId="92" xfId="0" applyFont="1" applyFill="1" applyBorder="1"/>
    <xf numFmtId="0" fontId="171" fillId="36" borderId="15" xfId="0" applyFont="1" applyFill="1" applyBorder="1"/>
    <xf numFmtId="0" fontId="175" fillId="36" borderId="0" xfId="0" applyFont="1" applyFill="1"/>
    <xf numFmtId="10" fontId="171" fillId="36" borderId="0" xfId="0" applyNumberFormat="1" applyFont="1" applyFill="1"/>
    <xf numFmtId="0" fontId="171" fillId="36" borderId="6" xfId="0" applyFont="1" applyFill="1" applyBorder="1"/>
    <xf numFmtId="0" fontId="175" fillId="36" borderId="15" xfId="0" applyFont="1" applyFill="1" applyBorder="1"/>
    <xf numFmtId="0" fontId="175" fillId="36" borderId="6" xfId="0" applyFont="1" applyFill="1" applyBorder="1"/>
    <xf numFmtId="0" fontId="171" fillId="36" borderId="15" xfId="0" applyFont="1" applyFill="1" applyBorder="1" applyAlignment="1">
      <alignment horizontal="left"/>
    </xf>
    <xf numFmtId="43" fontId="171" fillId="36" borderId="0" xfId="1360" applyFont="1" applyFill="1" applyBorder="1"/>
    <xf numFmtId="44" fontId="171" fillId="36" borderId="0" xfId="18" applyFont="1" applyFill="1" applyBorder="1"/>
    <xf numFmtId="43" fontId="171" fillId="36" borderId="0" xfId="0" applyNumberFormat="1" applyFont="1" applyFill="1"/>
    <xf numFmtId="43" fontId="171" fillId="36" borderId="6" xfId="0" applyNumberFormat="1" applyFont="1" applyFill="1" applyBorder="1"/>
    <xf numFmtId="44" fontId="171" fillId="36" borderId="15" xfId="18" applyFont="1" applyFill="1" applyBorder="1" applyAlignment="1">
      <alignment horizontal="left"/>
    </xf>
    <xf numFmtId="0" fontId="171" fillId="36" borderId="0" xfId="18" applyNumberFormat="1" applyFont="1" applyFill="1" applyBorder="1"/>
    <xf numFmtId="0" fontId="171" fillId="36" borderId="74" xfId="0" applyFont="1" applyFill="1" applyBorder="1"/>
    <xf numFmtId="0" fontId="171" fillId="36" borderId="86" xfId="0" applyFont="1" applyFill="1" applyBorder="1"/>
    <xf numFmtId="44" fontId="175" fillId="36" borderId="86" xfId="18" applyFont="1" applyFill="1" applyBorder="1"/>
    <xf numFmtId="43" fontId="171" fillId="36" borderId="75" xfId="0" applyNumberFormat="1" applyFont="1" applyFill="1" applyBorder="1"/>
    <xf numFmtId="166" fontId="170" fillId="0" borderId="85" xfId="0" applyNumberFormat="1" applyFont="1" applyBorder="1" applyAlignment="1">
      <alignment horizontal="center"/>
    </xf>
    <xf numFmtId="6" fontId="187" fillId="0" borderId="0" xfId="0" applyNumberFormat="1" applyFont="1"/>
    <xf numFmtId="166" fontId="199" fillId="0" borderId="0" xfId="0" applyNumberFormat="1" applyFont="1"/>
    <xf numFmtId="0" fontId="175" fillId="36" borderId="0" xfId="1347" applyFont="1" applyFill="1" applyAlignment="1">
      <alignment horizontal="center"/>
    </xf>
    <xf numFmtId="0" fontId="23" fillId="36" borderId="76" xfId="1347" applyFont="1" applyFill="1" applyBorder="1" applyAlignment="1">
      <alignment horizontal="center" vertical="center"/>
    </xf>
    <xf numFmtId="0" fontId="23" fillId="36" borderId="77" xfId="1347" applyFont="1" applyFill="1" applyBorder="1" applyAlignment="1">
      <alignment horizontal="center" vertical="center"/>
    </xf>
    <xf numFmtId="0" fontId="23" fillId="36" borderId="78" xfId="1347" applyFont="1" applyFill="1" applyBorder="1" applyAlignment="1">
      <alignment horizontal="center" vertical="center"/>
    </xf>
    <xf numFmtId="0" fontId="175" fillId="36" borderId="99" xfId="1347" applyFont="1" applyFill="1" applyBorder="1" applyAlignment="1">
      <alignment horizontal="center"/>
    </xf>
    <xf numFmtId="0" fontId="175" fillId="36" borderId="100" xfId="1347" applyFont="1" applyFill="1" applyBorder="1" applyAlignment="1">
      <alignment horizontal="center"/>
    </xf>
    <xf numFmtId="0" fontId="175" fillId="36" borderId="80" xfId="1347" applyFont="1" applyFill="1" applyBorder="1" applyAlignment="1">
      <alignment horizontal="center"/>
    </xf>
    <xf numFmtId="0" fontId="175" fillId="36" borderId="76" xfId="1347" applyFont="1" applyFill="1" applyBorder="1" applyAlignment="1">
      <alignment horizontal="center" vertical="center"/>
    </xf>
    <xf numFmtId="0" fontId="175" fillId="36" borderId="78" xfId="1347" applyFont="1" applyFill="1" applyBorder="1" applyAlignment="1">
      <alignment horizontal="center" vertical="center"/>
    </xf>
    <xf numFmtId="0" fontId="172" fillId="36" borderId="0" xfId="0" applyFont="1" applyFill="1" applyAlignment="1">
      <alignment horizontal="center" vertical="center" wrapText="1"/>
    </xf>
    <xf numFmtId="0" fontId="187" fillId="38" borderId="90" xfId="0" applyFont="1" applyFill="1" applyBorder="1" applyAlignment="1">
      <alignment horizontal="center"/>
    </xf>
    <xf numFmtId="0" fontId="187" fillId="38" borderId="91" xfId="0" applyFont="1" applyFill="1" applyBorder="1" applyAlignment="1">
      <alignment horizontal="center"/>
    </xf>
    <xf numFmtId="0" fontId="187" fillId="38" borderId="92" xfId="0" applyFont="1" applyFill="1" applyBorder="1" applyAlignment="1">
      <alignment horizontal="center"/>
    </xf>
    <xf numFmtId="0" fontId="188" fillId="4" borderId="90" xfId="0" applyFont="1" applyFill="1" applyBorder="1" applyAlignment="1">
      <alignment horizontal="center" vertical="center"/>
    </xf>
    <xf numFmtId="0" fontId="188" fillId="4" borderId="91" xfId="0" applyFont="1" applyFill="1" applyBorder="1" applyAlignment="1">
      <alignment horizontal="center" vertical="center"/>
    </xf>
    <xf numFmtId="0" fontId="188" fillId="4" borderId="92" xfId="0" applyFont="1" applyFill="1" applyBorder="1" applyAlignment="1">
      <alignment horizontal="center" vertical="center"/>
    </xf>
    <xf numFmtId="0" fontId="188" fillId="4" borderId="15" xfId="0" applyFont="1" applyFill="1" applyBorder="1" applyAlignment="1">
      <alignment horizontal="center" vertical="center"/>
    </xf>
    <xf numFmtId="0" fontId="188" fillId="4" borderId="0" xfId="0" applyFont="1" applyFill="1" applyAlignment="1">
      <alignment horizontal="center" vertical="center"/>
    </xf>
    <xf numFmtId="0" fontId="188" fillId="4" borderId="6" xfId="0" applyFont="1" applyFill="1" applyBorder="1" applyAlignment="1">
      <alignment horizontal="center" vertical="center"/>
    </xf>
    <xf numFmtId="9" fontId="169" fillId="0" borderId="3" xfId="0" applyNumberFormat="1" applyFont="1" applyBorder="1" applyAlignment="1">
      <alignment horizontal="center" vertical="center"/>
    </xf>
    <xf numFmtId="9" fontId="169" fillId="0" borderId="102" xfId="0" applyNumberFormat="1" applyFont="1" applyBorder="1" applyAlignment="1">
      <alignment horizontal="center" vertical="center"/>
    </xf>
    <xf numFmtId="166" fontId="169" fillId="0" borderId="65" xfId="0" applyNumberFormat="1" applyFont="1" applyBorder="1" applyAlignment="1">
      <alignment horizontal="center" vertical="center"/>
    </xf>
    <xf numFmtId="6" fontId="169" fillId="0" borderId="65" xfId="0" applyNumberFormat="1" applyFont="1" applyBorder="1" applyAlignment="1">
      <alignment horizontal="center" vertical="center"/>
    </xf>
    <xf numFmtId="291" fontId="169" fillId="0" borderId="65" xfId="0" applyNumberFormat="1" applyFont="1" applyBorder="1" applyAlignment="1">
      <alignment horizontal="center" vertical="center" wrapText="1"/>
    </xf>
    <xf numFmtId="6" fontId="169" fillId="0" borderId="103" xfId="0" applyNumberFormat="1" applyFont="1" applyBorder="1" applyAlignment="1">
      <alignment horizontal="center" vertical="center"/>
    </xf>
    <xf numFmtId="3" fontId="191" fillId="0" borderId="65" xfId="0" applyNumberFormat="1" applyFont="1" applyBorder="1" applyAlignment="1">
      <alignment horizontal="center" vertical="center"/>
    </xf>
    <xf numFmtId="3" fontId="191" fillId="0" borderId="62" xfId="0" applyNumberFormat="1" applyFont="1" applyBorder="1" applyAlignment="1">
      <alignment horizontal="center" vertical="center"/>
    </xf>
    <xf numFmtId="3" fontId="191" fillId="0" borderId="103" xfId="0" applyNumberFormat="1" applyFont="1" applyBorder="1" applyAlignment="1">
      <alignment horizontal="center" vertical="center" wrapText="1"/>
    </xf>
    <xf numFmtId="3" fontId="191" fillId="0" borderId="65" xfId="0" applyNumberFormat="1" applyFont="1" applyBorder="1" applyAlignment="1">
      <alignment horizontal="center" vertical="center" wrapText="1"/>
    </xf>
    <xf numFmtId="3" fontId="191" fillId="0" borderId="83" xfId="0" applyNumberFormat="1" applyFont="1" applyBorder="1" applyAlignment="1">
      <alignment horizontal="center" vertical="center" wrapText="1"/>
    </xf>
    <xf numFmtId="3" fontId="191" fillId="0" borderId="62" xfId="0" applyNumberFormat="1" applyFont="1" applyBorder="1" applyAlignment="1">
      <alignment horizontal="center" vertical="center" wrapText="1"/>
    </xf>
    <xf numFmtId="286" fontId="169" fillId="0" borderId="103" xfId="0" applyNumberFormat="1" applyFont="1" applyBorder="1" applyAlignment="1">
      <alignment horizontal="center" vertical="center"/>
    </xf>
    <xf numFmtId="286" fontId="169" fillId="0" borderId="65" xfId="0" applyNumberFormat="1" applyFont="1" applyBorder="1" applyAlignment="1">
      <alignment horizontal="center" vertical="center"/>
    </xf>
    <xf numFmtId="278" fontId="169" fillId="0" borderId="103" xfId="0" applyNumberFormat="1" applyFont="1" applyBorder="1" applyAlignment="1">
      <alignment horizontal="center" vertical="center"/>
    </xf>
    <xf numFmtId="278" fontId="169" fillId="0" borderId="65" xfId="0" applyNumberFormat="1" applyFont="1" applyBorder="1" applyAlignment="1">
      <alignment horizontal="center" vertical="center"/>
    </xf>
    <xf numFmtId="0" fontId="187" fillId="37" borderId="90" xfId="0" applyFont="1" applyFill="1" applyBorder="1" applyAlignment="1">
      <alignment horizontal="center" vertical="center"/>
    </xf>
    <xf numFmtId="0" fontId="187" fillId="37" borderId="91" xfId="0" applyFont="1" applyFill="1" applyBorder="1" applyAlignment="1">
      <alignment horizontal="center" vertical="center"/>
    </xf>
    <xf numFmtId="0" fontId="187" fillId="37" borderId="92" xfId="0" applyFont="1" applyFill="1" applyBorder="1" applyAlignment="1">
      <alignment horizontal="center" vertical="center"/>
    </xf>
    <xf numFmtId="3" fontId="180" fillId="0" borderId="65" xfId="0" applyNumberFormat="1" applyFont="1" applyBorder="1" applyAlignment="1">
      <alignment horizontal="center" vertical="center"/>
    </xf>
    <xf numFmtId="175" fontId="172" fillId="34" borderId="54" xfId="0" applyNumberFormat="1" applyFont="1" applyFill="1" applyBorder="1" applyAlignment="1">
      <alignment horizontal="center"/>
    </xf>
    <xf numFmtId="175" fontId="192" fillId="34" borderId="76" xfId="0" applyNumberFormat="1" applyFont="1" applyFill="1" applyBorder="1" applyAlignment="1">
      <alignment horizontal="center"/>
    </xf>
    <xf numFmtId="175" fontId="192" fillId="34" borderId="77" xfId="0" applyNumberFormat="1" applyFont="1" applyFill="1" applyBorder="1" applyAlignment="1">
      <alignment horizontal="center"/>
    </xf>
    <xf numFmtId="175" fontId="172" fillId="33" borderId="91" xfId="0" applyNumberFormat="1" applyFont="1" applyFill="1" applyBorder="1" applyAlignment="1">
      <alignment horizontal="center"/>
    </xf>
    <xf numFmtId="0" fontId="172" fillId="6" borderId="76" xfId="0" applyFont="1" applyFill="1" applyBorder="1" applyAlignment="1">
      <alignment horizontal="right"/>
    </xf>
    <xf numFmtId="0" fontId="172" fillId="6" borderId="77" xfId="0" applyFont="1" applyFill="1" applyBorder="1" applyAlignment="1">
      <alignment horizontal="right"/>
    </xf>
    <xf numFmtId="0" fontId="171" fillId="5" borderId="57" xfId="0" applyFont="1" applyFill="1" applyBorder="1" applyAlignment="1">
      <alignment horizontal="left" wrapText="1"/>
    </xf>
    <xf numFmtId="0" fontId="171" fillId="5" borderId="0" xfId="0" applyFont="1" applyFill="1" applyAlignment="1">
      <alignment horizontal="left" wrapText="1"/>
    </xf>
    <xf numFmtId="5" fontId="15" fillId="0" borderId="69" xfId="22" applyNumberFormat="1" applyFont="1" applyBorder="1" applyAlignment="1">
      <alignment horizontal="center"/>
    </xf>
    <xf numFmtId="0" fontId="172" fillId="32" borderId="76" xfId="0" applyFont="1" applyFill="1" applyBorder="1" applyAlignment="1">
      <alignment horizontal="right"/>
    </xf>
    <xf numFmtId="0" fontId="172" fillId="32" borderId="77" xfId="0" applyFont="1" applyFill="1" applyBorder="1" applyAlignment="1">
      <alignment horizontal="right"/>
    </xf>
    <xf numFmtId="0" fontId="172" fillId="33" borderId="90" xfId="0" applyFont="1" applyFill="1" applyBorder="1" applyAlignment="1">
      <alignment horizontal="right"/>
    </xf>
    <xf numFmtId="0" fontId="172" fillId="33" borderId="91" xfId="0" applyFont="1" applyFill="1" applyBorder="1" applyAlignment="1">
      <alignment horizontal="right"/>
    </xf>
    <xf numFmtId="3" fontId="175" fillId="0" borderId="0" xfId="0" applyNumberFormat="1" applyFont="1" applyAlignment="1">
      <alignment horizontal="center" vertical="center"/>
    </xf>
    <xf numFmtId="0" fontId="175" fillId="0" borderId="0" xfId="0" applyFont="1" applyAlignment="1">
      <alignment horizontal="center" vertical="center"/>
    </xf>
    <xf numFmtId="0" fontId="175" fillId="0" borderId="75" xfId="0" applyFont="1" applyBorder="1" applyAlignment="1">
      <alignment horizontal="center" vertical="center"/>
    </xf>
    <xf numFmtId="0" fontId="175" fillId="0" borderId="64" xfId="0" applyFont="1" applyBorder="1" applyAlignment="1">
      <alignment horizontal="left"/>
    </xf>
    <xf numFmtId="5" fontId="23" fillId="0" borderId="13" xfId="22" applyNumberFormat="1" applyFont="1" applyBorder="1" applyAlignment="1">
      <alignment horizontal="center"/>
    </xf>
    <xf numFmtId="5" fontId="15" fillId="0" borderId="70" xfId="22" applyNumberFormat="1" applyFont="1" applyBorder="1" applyAlignment="1">
      <alignment horizontal="center"/>
    </xf>
    <xf numFmtId="5" fontId="15" fillId="0" borderId="71" xfId="22" applyNumberFormat="1" applyFont="1" applyBorder="1" applyAlignment="1">
      <alignment horizontal="center"/>
    </xf>
    <xf numFmtId="0" fontId="175" fillId="35" borderId="76" xfId="0" applyFont="1" applyFill="1" applyBorder="1" applyAlignment="1">
      <alignment horizontal="right"/>
    </xf>
    <xf numFmtId="0" fontId="175" fillId="35" borderId="77" xfId="0" applyFont="1" applyFill="1" applyBorder="1" applyAlignment="1">
      <alignment horizontal="right"/>
    </xf>
    <xf numFmtId="0" fontId="171" fillId="5" borderId="57" xfId="0" applyFont="1" applyFill="1" applyBorder="1" applyAlignment="1">
      <alignment horizontal="left"/>
    </xf>
    <xf numFmtId="0" fontId="171" fillId="5" borderId="0" xfId="0" applyFont="1" applyFill="1" applyAlignment="1">
      <alignment horizontal="left"/>
    </xf>
    <xf numFmtId="3" fontId="172" fillId="32" borderId="77" xfId="0" applyNumberFormat="1" applyFont="1" applyFill="1" applyBorder="1" applyAlignment="1">
      <alignment horizontal="center"/>
    </xf>
    <xf numFmtId="0" fontId="172" fillId="32" borderId="78" xfId="0" applyFont="1" applyFill="1" applyBorder="1" applyAlignment="1">
      <alignment horizontal="center"/>
    </xf>
    <xf numFmtId="3" fontId="172" fillId="33" borderId="91" xfId="0" applyNumberFormat="1" applyFont="1" applyFill="1" applyBorder="1" applyAlignment="1">
      <alignment horizontal="center"/>
    </xf>
    <xf numFmtId="0" fontId="172" fillId="33" borderId="91" xfId="0" applyFont="1" applyFill="1" applyBorder="1" applyAlignment="1">
      <alignment horizontal="center"/>
    </xf>
    <xf numFmtId="0" fontId="175" fillId="0" borderId="6" xfId="0" applyFont="1" applyBorder="1" applyAlignment="1">
      <alignment horizontal="center" vertical="center"/>
    </xf>
    <xf numFmtId="175" fontId="172" fillId="32" borderId="77" xfId="0" applyNumberFormat="1" applyFont="1" applyFill="1" applyBorder="1" applyAlignment="1">
      <alignment horizontal="center"/>
    </xf>
    <xf numFmtId="0" fontId="175" fillId="35" borderId="93" xfId="0" applyFont="1" applyFill="1" applyBorder="1" applyAlignment="1">
      <alignment horizontal="right"/>
    </xf>
    <xf numFmtId="0" fontId="175" fillId="35" borderId="54" xfId="0" applyFont="1" applyFill="1" applyBorder="1" applyAlignment="1">
      <alignment horizontal="right"/>
    </xf>
    <xf numFmtId="0" fontId="175" fillId="0" borderId="64" xfId="0" applyFont="1" applyBorder="1" applyAlignment="1">
      <alignment horizontal="center"/>
    </xf>
    <xf numFmtId="0" fontId="175" fillId="0" borderId="86" xfId="0" applyFont="1" applyBorder="1" applyAlignment="1">
      <alignment horizontal="center" vertical="center"/>
    </xf>
    <xf numFmtId="0" fontId="175" fillId="36" borderId="95" xfId="1347" applyFont="1" applyFill="1" applyBorder="1" applyAlignment="1">
      <alignment horizontal="center"/>
    </xf>
    <xf numFmtId="0" fontId="175" fillId="36" borderId="109" xfId="1347" applyFont="1" applyFill="1" applyBorder="1"/>
    <xf numFmtId="0" fontId="23" fillId="36" borderId="109" xfId="1347" applyFont="1" applyFill="1" applyBorder="1" applyAlignment="1">
      <alignment horizontal="center" vertical="center"/>
    </xf>
    <xf numFmtId="14" fontId="15" fillId="36" borderId="110" xfId="1347" applyNumberFormat="1" applyFont="1" applyFill="1" applyBorder="1" applyAlignment="1">
      <alignment horizontal="center" wrapText="1"/>
    </xf>
    <xf numFmtId="274" fontId="185" fillId="36" borderId="111" xfId="1" applyNumberFormat="1" applyFont="1" applyFill="1" applyBorder="1" applyAlignment="1">
      <alignment horizontal="center" vertical="center"/>
    </xf>
    <xf numFmtId="14" fontId="171" fillId="36" borderId="110" xfId="1347" applyNumberFormat="1" applyFont="1" applyFill="1" applyBorder="1" applyAlignment="1">
      <alignment horizontal="center" wrapText="1"/>
    </xf>
    <xf numFmtId="0" fontId="172" fillId="8" borderId="112" xfId="0" applyFont="1" applyFill="1" applyBorder="1" applyAlignment="1">
      <alignment horizontal="center" vertical="center" wrapText="1"/>
    </xf>
    <xf numFmtId="0" fontId="172" fillId="8" borderId="112" xfId="0" applyFont="1" applyFill="1" applyBorder="1"/>
    <xf numFmtId="0" fontId="172" fillId="8" borderId="112" xfId="0" applyFont="1" applyFill="1" applyBorder="1" applyAlignment="1">
      <alignment horizontal="center" wrapText="1"/>
    </xf>
    <xf numFmtId="0" fontId="15" fillId="0" borderId="112" xfId="0" applyFont="1" applyBorder="1" applyAlignment="1">
      <alignment wrapText="1"/>
    </xf>
    <xf numFmtId="284" fontId="185" fillId="0" borderId="112" xfId="0" applyNumberFormat="1" applyFont="1" applyBorder="1" applyAlignment="1">
      <alignment horizontal="center"/>
    </xf>
    <xf numFmtId="0" fontId="171" fillId="36" borderId="112" xfId="1347" applyFont="1" applyFill="1" applyBorder="1" applyAlignment="1">
      <alignment wrapText="1"/>
    </xf>
    <xf numFmtId="295" fontId="185" fillId="0" borderId="112" xfId="18" applyNumberFormat="1" applyFont="1" applyBorder="1" applyAlignment="1">
      <alignment horizontal="center"/>
    </xf>
    <xf numFmtId="267" fontId="185" fillId="0" borderId="112" xfId="0" applyNumberFormat="1" applyFont="1" applyBorder="1" applyAlignment="1">
      <alignment horizontal="center"/>
    </xf>
    <xf numFmtId="301" fontId="185" fillId="0" borderId="112" xfId="0" applyNumberFormat="1" applyFont="1" applyBorder="1" applyAlignment="1">
      <alignment horizontal="center"/>
    </xf>
    <xf numFmtId="10" fontId="185" fillId="0" borderId="112" xfId="0" applyNumberFormat="1" applyFont="1" applyBorder="1" applyAlignment="1">
      <alignment horizontal="center" wrapText="1"/>
    </xf>
    <xf numFmtId="263" fontId="185" fillId="0" borderId="112" xfId="0" applyNumberFormat="1" applyFont="1" applyBorder="1" applyAlignment="1">
      <alignment horizontal="center"/>
    </xf>
    <xf numFmtId="0" fontId="171" fillId="36" borderId="112" xfId="1347" applyFont="1" applyFill="1" applyBorder="1"/>
    <xf numFmtId="271" fontId="185" fillId="0" borderId="112" xfId="0" applyNumberFormat="1" applyFont="1" applyBorder="1" applyAlignment="1">
      <alignment horizontal="center"/>
    </xf>
    <xf numFmtId="0" fontId="15" fillId="0" borderId="112" xfId="0" applyFont="1" applyBorder="1"/>
    <xf numFmtId="294" fontId="185" fillId="0" borderId="112" xfId="0" applyNumberFormat="1" applyFont="1" applyBorder="1" applyAlignment="1">
      <alignment horizontal="center"/>
    </xf>
    <xf numFmtId="9" fontId="185" fillId="0" borderId="112" xfId="0" applyNumberFormat="1" applyFont="1" applyBorder="1" applyAlignment="1">
      <alignment horizontal="center"/>
    </xf>
    <xf numFmtId="268" fontId="185" fillId="0" borderId="112" xfId="0" applyNumberFormat="1" applyFont="1" applyBorder="1" applyAlignment="1">
      <alignment horizontal="center"/>
    </xf>
    <xf numFmtId="264" fontId="185" fillId="0" borderId="112" xfId="1" applyNumberFormat="1" applyFont="1" applyBorder="1" applyAlignment="1">
      <alignment horizontal="center"/>
    </xf>
    <xf numFmtId="270" fontId="185" fillId="0" borderId="112" xfId="0" applyNumberFormat="1" applyFont="1" applyBorder="1" applyAlignment="1">
      <alignment horizontal="center"/>
    </xf>
    <xf numFmtId="265" fontId="185" fillId="0" borderId="112" xfId="0" applyNumberFormat="1" applyFont="1" applyBorder="1" applyAlignment="1">
      <alignment horizontal="center"/>
    </xf>
    <xf numFmtId="275" fontId="185" fillId="0" borderId="112" xfId="0" applyNumberFormat="1" applyFont="1" applyBorder="1" applyAlignment="1">
      <alignment horizontal="center"/>
    </xf>
    <xf numFmtId="165" fontId="185" fillId="0" borderId="112" xfId="18" applyNumberFormat="1" applyFont="1" applyBorder="1" applyAlignment="1">
      <alignment horizontal="center"/>
    </xf>
    <xf numFmtId="10" fontId="185" fillId="0" borderId="112" xfId="1" applyNumberFormat="1" applyFont="1" applyBorder="1" applyAlignment="1">
      <alignment horizontal="center"/>
    </xf>
    <xf numFmtId="166" fontId="185" fillId="0" borderId="112" xfId="18" applyNumberFormat="1" applyFont="1" applyBorder="1" applyAlignment="1">
      <alignment horizontal="center"/>
    </xf>
    <xf numFmtId="166" fontId="185" fillId="0" borderId="112" xfId="0" applyNumberFormat="1" applyFont="1" applyBorder="1" applyAlignment="1">
      <alignment horizontal="center"/>
    </xf>
    <xf numFmtId="182" fontId="15" fillId="0" borderId="112" xfId="0" applyNumberFormat="1" applyFont="1" applyBorder="1"/>
    <xf numFmtId="6" fontId="185" fillId="36" borderId="112" xfId="1347" applyNumberFormat="1" applyFont="1" applyFill="1" applyBorder="1" applyAlignment="1">
      <alignment horizontal="center"/>
    </xf>
    <xf numFmtId="166" fontId="185" fillId="36" borderId="112" xfId="18" applyNumberFormat="1" applyFont="1" applyFill="1" applyBorder="1" applyAlignment="1">
      <alignment horizontal="center"/>
    </xf>
    <xf numFmtId="0" fontId="175" fillId="0" borderId="87" xfId="0" applyFont="1" applyBorder="1" applyAlignment="1">
      <alignment horizontal="center"/>
    </xf>
    <xf numFmtId="0" fontId="175" fillId="0" borderId="88" xfId="0" applyFont="1" applyBorder="1" applyAlignment="1">
      <alignment horizontal="center"/>
    </xf>
    <xf numFmtId="0" fontId="175" fillId="0" borderId="89" xfId="0" applyFont="1" applyBorder="1" applyAlignment="1">
      <alignment horizontal="center"/>
    </xf>
    <xf numFmtId="0" fontId="175" fillId="36" borderId="87" xfId="1347" applyFont="1" applyFill="1" applyBorder="1" applyAlignment="1">
      <alignment horizontal="center"/>
    </xf>
    <xf numFmtId="0" fontId="175" fillId="36" borderId="88" xfId="1347" applyFont="1" applyFill="1" applyBorder="1" applyAlignment="1">
      <alignment horizontal="center"/>
    </xf>
    <xf numFmtId="0" fontId="175" fillId="36" borderId="89" xfId="1347" applyFont="1" applyFill="1" applyBorder="1" applyAlignment="1">
      <alignment horizontal="center"/>
    </xf>
    <xf numFmtId="0" fontId="23" fillId="0" borderId="113" xfId="0" applyFont="1" applyBorder="1" applyAlignment="1">
      <alignment horizontal="right"/>
    </xf>
    <xf numFmtId="0" fontId="175" fillId="0" borderId="112" xfId="0" applyFont="1" applyBorder="1" applyAlignment="1">
      <alignment horizontal="center"/>
    </xf>
    <xf numFmtId="0" fontId="175" fillId="0" borderId="114" xfId="0" applyFont="1" applyBorder="1" applyAlignment="1">
      <alignment horizontal="center"/>
    </xf>
    <xf numFmtId="6" fontId="185" fillId="0" borderId="112" xfId="0" applyNumberFormat="1" applyFont="1" applyBorder="1"/>
    <xf numFmtId="6" fontId="185" fillId="0" borderId="114" xfId="0" applyNumberFormat="1" applyFont="1" applyBorder="1"/>
    <xf numFmtId="6" fontId="185" fillId="0" borderId="112" xfId="0" applyNumberFormat="1" applyFont="1" applyBorder="1" applyAlignment="1">
      <alignment horizontal="center"/>
    </xf>
    <xf numFmtId="6" fontId="185" fillId="0" borderId="114" xfId="0" applyNumberFormat="1" applyFont="1" applyBorder="1" applyAlignment="1">
      <alignment horizontal="center"/>
    </xf>
    <xf numFmtId="0" fontId="23" fillId="0" borderId="113" xfId="0" applyFont="1" applyBorder="1"/>
    <xf numFmtId="6" fontId="171" fillId="0" borderId="112" xfId="0" applyNumberFormat="1" applyFont="1" applyBorder="1"/>
    <xf numFmtId="6" fontId="171" fillId="0" borderId="114" xfId="0" applyNumberFormat="1" applyFont="1" applyBorder="1"/>
    <xf numFmtId="0" fontId="23" fillId="0" borderId="90" xfId="0" applyFont="1" applyBorder="1" applyAlignment="1">
      <alignment wrapText="1"/>
    </xf>
    <xf numFmtId="6" fontId="171" fillId="0" borderId="91" xfId="0" applyNumberFormat="1" applyFont="1" applyBorder="1" applyAlignment="1">
      <alignment horizontal="center"/>
    </xf>
    <xf numFmtId="6" fontId="171" fillId="0" borderId="92" xfId="0" applyNumberFormat="1" applyFont="1" applyBorder="1" applyAlignment="1">
      <alignment horizontal="center"/>
    </xf>
    <xf numFmtId="0" fontId="15" fillId="0" borderId="113" xfId="0" applyFont="1" applyBorder="1"/>
    <xf numFmtId="0" fontId="15" fillId="0" borderId="115" xfId="0" applyFont="1" applyBorder="1"/>
    <xf numFmtId="6" fontId="171" fillId="0" borderId="116" xfId="0" applyNumberFormat="1" applyFont="1" applyBorder="1"/>
    <xf numFmtId="6" fontId="171" fillId="0" borderId="117" xfId="0" applyNumberFormat="1" applyFont="1" applyBorder="1"/>
    <xf numFmtId="6" fontId="23" fillId="0" borderId="112" xfId="0" applyNumberFormat="1" applyFont="1" applyBorder="1"/>
    <xf numFmtId="6" fontId="23" fillId="0" borderId="114" xfId="0" applyNumberFormat="1" applyFont="1" applyBorder="1"/>
    <xf numFmtId="0" fontId="15" fillId="0" borderId="104" xfId="0" applyFont="1" applyBorder="1"/>
    <xf numFmtId="6" fontId="171" fillId="0" borderId="105" xfId="0" applyNumberFormat="1" applyFont="1" applyBorder="1" applyAlignment="1">
      <alignment horizontal="center"/>
    </xf>
    <xf numFmtId="6" fontId="171" fillId="0" borderId="106" xfId="0" applyNumberFormat="1" applyFont="1" applyBorder="1" applyAlignment="1">
      <alignment horizontal="center"/>
    </xf>
    <xf numFmtId="277" fontId="15" fillId="0" borderId="104" xfId="2" applyNumberFormat="1" applyFont="1" applyBorder="1"/>
    <xf numFmtId="6" fontId="15" fillId="0" borderId="105" xfId="2" applyNumberFormat="1" applyFont="1" applyBorder="1" applyAlignment="1">
      <alignment horizontal="center"/>
    </xf>
    <xf numFmtId="6" fontId="15" fillId="0" borderId="106" xfId="2" applyNumberFormat="1" applyFont="1" applyBorder="1" applyAlignment="1">
      <alignment horizontal="center"/>
    </xf>
    <xf numFmtId="6" fontId="23" fillId="0" borderId="86" xfId="0" applyNumberFormat="1" applyFont="1" applyBorder="1" applyAlignment="1">
      <alignment horizontal="center"/>
    </xf>
    <xf numFmtId="0" fontId="183" fillId="0" borderId="90" xfId="0" applyFont="1" applyBorder="1" applyAlignment="1">
      <alignment wrapText="1"/>
    </xf>
    <xf numFmtId="10" fontId="171" fillId="0" borderId="112" xfId="7" applyNumberFormat="1" applyFont="1" applyBorder="1"/>
    <xf numFmtId="10" fontId="171" fillId="0" borderId="114" xfId="7" applyNumberFormat="1" applyFont="1" applyBorder="1"/>
    <xf numFmtId="0" fontId="23" fillId="0" borderId="118" xfId="0" applyFont="1" applyBorder="1"/>
    <xf numFmtId="6" fontId="23" fillId="0" borderId="119" xfId="0" applyNumberFormat="1" applyFont="1" applyBorder="1"/>
    <xf numFmtId="6" fontId="23" fillId="0" borderId="120" xfId="0" applyNumberFormat="1" applyFont="1" applyBorder="1"/>
    <xf numFmtId="3" fontId="191" fillId="0" borderId="121" xfId="0" applyNumberFormat="1" applyFont="1" applyBorder="1" applyAlignment="1">
      <alignment horizontal="center" vertical="center"/>
    </xf>
    <xf numFmtId="3" fontId="191" fillId="0" borderId="122" xfId="0" applyNumberFormat="1" applyFont="1" applyBorder="1" applyAlignment="1">
      <alignment horizontal="center" vertical="center"/>
    </xf>
    <xf numFmtId="3" fontId="191" fillId="0" borderId="112" xfId="0" applyNumberFormat="1" applyFont="1" applyBorder="1" applyAlignment="1">
      <alignment horizontal="center" vertical="center"/>
    </xf>
    <xf numFmtId="0" fontId="180" fillId="0" borderId="123" xfId="0" applyFont="1" applyBorder="1" applyAlignment="1">
      <alignment horizontal="center" vertical="center" wrapText="1"/>
    </xf>
    <xf numFmtId="179" fontId="169" fillId="0" borderId="123" xfId="0" applyNumberFormat="1" applyFont="1" applyBorder="1" applyAlignment="1">
      <alignment vertical="center"/>
    </xf>
    <xf numFmtId="291" fontId="169" fillId="0" borderId="123" xfId="0" applyNumberFormat="1" applyFont="1" applyBorder="1" applyAlignment="1">
      <alignment horizontal="center" vertical="center" wrapText="1"/>
    </xf>
    <xf numFmtId="278" fontId="169" fillId="0" borderId="123" xfId="0" applyNumberFormat="1" applyFont="1" applyBorder="1" applyAlignment="1">
      <alignment horizontal="center" vertical="center"/>
    </xf>
    <xf numFmtId="166" fontId="169" fillId="0" borderId="123" xfId="0" applyNumberFormat="1" applyFont="1" applyBorder="1" applyAlignment="1">
      <alignment horizontal="center" vertical="center"/>
    </xf>
    <xf numFmtId="6" fontId="169" fillId="0" borderId="123" xfId="0" applyNumberFormat="1" applyFont="1" applyBorder="1" applyAlignment="1">
      <alignment horizontal="center" vertical="center"/>
    </xf>
    <xf numFmtId="6" fontId="169" fillId="0" borderId="124" xfId="0" applyNumberFormat="1" applyFont="1" applyBorder="1" applyAlignment="1">
      <alignment horizontal="center" vertical="center"/>
    </xf>
    <xf numFmtId="9" fontId="169" fillId="0" borderId="112" xfId="0" applyNumberFormat="1" applyFont="1" applyBorder="1" applyAlignment="1">
      <alignment horizontal="center" vertical="center"/>
    </xf>
    <xf numFmtId="9" fontId="169" fillId="0" borderId="114" xfId="0" applyNumberFormat="1" applyFont="1" applyBorder="1" applyAlignment="1">
      <alignment horizontal="center" vertical="center"/>
    </xf>
    <xf numFmtId="3" fontId="191" fillId="0" borderId="121" xfId="0" applyNumberFormat="1" applyFont="1" applyBorder="1" applyAlignment="1">
      <alignment horizontal="center" vertical="center"/>
    </xf>
    <xf numFmtId="3" fontId="191" fillId="0" borderId="123" xfId="0" applyNumberFormat="1" applyFont="1" applyBorder="1" applyAlignment="1">
      <alignment horizontal="center" vertical="center"/>
    </xf>
    <xf numFmtId="179" fontId="169" fillId="0" borderId="112" xfId="0" applyNumberFormat="1" applyFont="1" applyBorder="1" applyAlignment="1">
      <alignment vertical="center"/>
    </xf>
    <xf numFmtId="291" fontId="169" fillId="0" borderId="123" xfId="0" applyNumberFormat="1" applyFont="1" applyBorder="1" applyAlignment="1">
      <alignment horizontal="center" vertical="center" wrapText="1"/>
    </xf>
    <xf numFmtId="278" fontId="169" fillId="0" borderId="112" xfId="0" applyNumberFormat="1" applyFont="1" applyBorder="1" applyAlignment="1">
      <alignment horizontal="center" vertical="center"/>
    </xf>
    <xf numFmtId="166" fontId="169" fillId="0" borderId="112" xfId="0" applyNumberFormat="1" applyFont="1" applyBorder="1" applyAlignment="1">
      <alignment horizontal="center" vertical="center"/>
    </xf>
    <xf numFmtId="6" fontId="169" fillId="0" borderId="123" xfId="0" applyNumberFormat="1" applyFont="1" applyBorder="1" applyAlignment="1">
      <alignment horizontal="center" vertical="center"/>
    </xf>
    <xf numFmtId="9" fontId="169" fillId="0" borderId="112" xfId="0" applyNumberFormat="1" applyFont="1" applyBorder="1" applyAlignment="1">
      <alignment horizontal="center" vertical="center"/>
    </xf>
    <xf numFmtId="9" fontId="169" fillId="0" borderId="125" xfId="0" applyNumberFormat="1" applyFont="1" applyBorder="1" applyAlignment="1">
      <alignment horizontal="center" vertical="center"/>
    </xf>
    <xf numFmtId="0" fontId="180" fillId="0" borderId="112" xfId="0" applyFont="1" applyBorder="1" applyAlignment="1">
      <alignment horizontal="center" vertical="center" wrapText="1"/>
    </xf>
    <xf numFmtId="3" fontId="191" fillId="0" borderId="122" xfId="0" applyNumberFormat="1" applyFont="1" applyBorder="1" applyAlignment="1">
      <alignment horizontal="center" vertical="center" wrapText="1"/>
    </xf>
    <xf numFmtId="3" fontId="191" fillId="0" borderId="123" xfId="0" applyNumberFormat="1" applyFont="1" applyBorder="1" applyAlignment="1">
      <alignment horizontal="center" vertical="center"/>
    </xf>
    <xf numFmtId="3" fontId="180" fillId="0" borderId="123" xfId="0" applyNumberFormat="1" applyFont="1" applyBorder="1" applyAlignment="1">
      <alignment horizontal="center" vertical="center" wrapText="1"/>
    </xf>
    <xf numFmtId="179" fontId="169" fillId="0" borderId="124" xfId="0" applyNumberFormat="1" applyFont="1" applyBorder="1" applyAlignment="1">
      <alignment vertical="center"/>
    </xf>
    <xf numFmtId="286" fontId="169" fillId="0" borderId="112" xfId="0" applyNumberFormat="1" applyFont="1" applyBorder="1" applyAlignment="1">
      <alignment horizontal="center" vertical="center"/>
    </xf>
    <xf numFmtId="6" fontId="169" fillId="0" borderId="122" xfId="0" applyNumberFormat="1" applyFont="1" applyBorder="1" applyAlignment="1">
      <alignment horizontal="center" vertical="center"/>
    </xf>
    <xf numFmtId="0" fontId="191" fillId="0" borderId="113" xfId="0" applyFont="1" applyBorder="1" applyAlignment="1">
      <alignment horizontal="center" vertical="center"/>
    </xf>
    <xf numFmtId="0" fontId="191" fillId="0" borderId="109" xfId="0" applyFont="1" applyBorder="1" applyAlignment="1">
      <alignment horizontal="center" vertical="center"/>
    </xf>
    <xf numFmtId="3" fontId="191" fillId="0" borderId="112" xfId="0" applyNumberFormat="1" applyFont="1" applyBorder="1" applyAlignment="1">
      <alignment horizontal="center" vertical="center" wrapText="1"/>
    </xf>
    <xf numFmtId="285" fontId="169" fillId="0" borderId="112" xfId="0" applyNumberFormat="1" applyFont="1" applyBorder="1" applyAlignment="1">
      <alignment horizontal="right" vertical="center"/>
    </xf>
    <xf numFmtId="286" fontId="169" fillId="0" borderId="109" xfId="0" applyNumberFormat="1" applyFont="1" applyBorder="1" applyAlignment="1">
      <alignment horizontal="center" vertical="center"/>
    </xf>
    <xf numFmtId="278" fontId="169" fillId="0" borderId="112" xfId="0" applyNumberFormat="1" applyFont="1" applyBorder="1" applyAlignment="1">
      <alignment horizontal="center" vertical="center"/>
    </xf>
    <xf numFmtId="166" fontId="169" fillId="0" borderId="112" xfId="0" applyNumberFormat="1" applyFont="1" applyBorder="1" applyAlignment="1">
      <alignment horizontal="center" vertical="center"/>
    </xf>
    <xf numFmtId="6" fontId="169" fillId="0" borderId="112" xfId="0" applyNumberFormat="1" applyFont="1" applyBorder="1" applyAlignment="1">
      <alignment horizontal="center" vertical="center"/>
    </xf>
    <xf numFmtId="6" fontId="169" fillId="0" borderId="111" xfId="0" applyNumberFormat="1" applyFont="1" applyBorder="1" applyAlignment="1">
      <alignment horizontal="center" vertical="center"/>
    </xf>
    <xf numFmtId="3" fontId="191" fillId="0" borderId="113" xfId="0" applyNumberFormat="1" applyFont="1" applyBorder="1" applyAlignment="1">
      <alignment horizontal="center" vertical="center"/>
    </xf>
    <xf numFmtId="3" fontId="191" fillId="0" borderId="109" xfId="0" applyNumberFormat="1" applyFont="1" applyBorder="1" applyAlignment="1">
      <alignment horizontal="center" vertical="center"/>
    </xf>
    <xf numFmtId="3" fontId="191" fillId="0" borderId="121" xfId="0" applyNumberFormat="1" applyFont="1" applyBorder="1" applyAlignment="1">
      <alignment horizontal="center" vertical="center" wrapText="1"/>
    </xf>
    <xf numFmtId="3" fontId="191" fillId="0" borderId="123" xfId="0" applyNumberFormat="1" applyFont="1" applyBorder="1" applyAlignment="1">
      <alignment horizontal="center" vertical="center" wrapText="1"/>
    </xf>
    <xf numFmtId="286" fontId="169" fillId="0" borderId="123" xfId="0" applyNumberFormat="1" applyFont="1" applyBorder="1" applyAlignment="1">
      <alignment horizontal="center" vertical="center"/>
    </xf>
    <xf numFmtId="278" fontId="169" fillId="0" borderId="123" xfId="0" applyNumberFormat="1" applyFont="1" applyBorder="1" applyAlignment="1">
      <alignment horizontal="center" vertical="center"/>
    </xf>
    <xf numFmtId="9" fontId="169" fillId="0" borderId="112" xfId="1" applyFont="1" applyBorder="1" applyAlignment="1">
      <alignment horizontal="center" vertical="center"/>
    </xf>
    <xf numFmtId="3" fontId="180" fillId="0" borderId="123" xfId="0" applyNumberFormat="1" applyFont="1" applyBorder="1" applyAlignment="1">
      <alignment horizontal="center" vertical="center"/>
    </xf>
    <xf numFmtId="166" fontId="169" fillId="0" borderId="123" xfId="0" applyNumberFormat="1" applyFont="1" applyBorder="1" applyAlignment="1">
      <alignment horizontal="center" vertical="center"/>
    </xf>
    <xf numFmtId="0" fontId="189" fillId="0" borderId="118" xfId="0" applyFont="1" applyBorder="1" applyAlignment="1">
      <alignment horizontal="center" vertical="center"/>
    </xf>
    <xf numFmtId="3" fontId="189" fillId="0" borderId="119" xfId="0" applyNumberFormat="1" applyFont="1" applyBorder="1" applyAlignment="1">
      <alignment horizontal="center" vertical="center"/>
    </xf>
    <xf numFmtId="179" fontId="190" fillId="4" borderId="119" xfId="0" applyNumberFormat="1" applyFont="1" applyFill="1" applyBorder="1" applyAlignment="1">
      <alignment horizontal="center" vertical="center"/>
    </xf>
    <xf numFmtId="287" fontId="189" fillId="0" borderId="119" xfId="0" applyNumberFormat="1" applyFont="1" applyBorder="1" applyAlignment="1">
      <alignment horizontal="center" vertical="center"/>
    </xf>
    <xf numFmtId="282" fontId="189" fillId="0" borderId="119" xfId="0" applyNumberFormat="1" applyFont="1" applyBorder="1" applyAlignment="1">
      <alignment horizontal="center" vertical="center"/>
    </xf>
    <xf numFmtId="0" fontId="190" fillId="4" borderId="119" xfId="0" applyFont="1" applyFill="1" applyBorder="1" applyAlignment="1">
      <alignment horizontal="center" vertical="center"/>
    </xf>
    <xf numFmtId="166" fontId="189" fillId="0" borderId="119" xfId="0" applyNumberFormat="1" applyFont="1" applyBorder="1" applyAlignment="1">
      <alignment horizontal="center" vertical="center"/>
    </xf>
    <xf numFmtId="6" fontId="190" fillId="0" borderId="126" xfId="0" applyNumberFormat="1" applyFont="1" applyBorder="1" applyAlignment="1">
      <alignment horizontal="center" vertical="center"/>
    </xf>
    <xf numFmtId="9" fontId="189" fillId="0" borderId="119" xfId="0" applyNumberFormat="1" applyFont="1" applyBorder="1" applyAlignment="1">
      <alignment horizontal="center" vertical="center"/>
    </xf>
    <xf numFmtId="9" fontId="170" fillId="0" borderId="120" xfId="0" applyNumberFormat="1" applyFont="1" applyBorder="1" applyAlignment="1">
      <alignment horizontal="center" vertical="center"/>
    </xf>
    <xf numFmtId="0" fontId="170" fillId="0" borderId="113" xfId="0" applyFont="1" applyBorder="1" applyAlignment="1">
      <alignment vertical="center"/>
    </xf>
    <xf numFmtId="0" fontId="170" fillId="0" borderId="112" xfId="0" applyFont="1" applyBorder="1" applyAlignment="1">
      <alignment vertical="center"/>
    </xf>
    <xf numFmtId="0" fontId="170" fillId="0" borderId="112" xfId="0" applyFont="1" applyBorder="1" applyAlignment="1">
      <alignment horizontal="center" wrapText="1"/>
    </xf>
    <xf numFmtId="0" fontId="170" fillId="0" borderId="112" xfId="0" applyFont="1" applyBorder="1" applyAlignment="1">
      <alignment horizontal="center"/>
    </xf>
    <xf numFmtId="0" fontId="170" fillId="0" borderId="114" xfId="0" applyFont="1" applyBorder="1" applyAlignment="1">
      <alignment horizontal="center" wrapText="1"/>
    </xf>
    <xf numFmtId="0" fontId="169" fillId="0" borderId="113" xfId="0" applyFont="1" applyBorder="1" applyAlignment="1">
      <alignment wrapText="1"/>
    </xf>
    <xf numFmtId="166" fontId="169" fillId="0" borderId="112" xfId="0" applyNumberFormat="1" applyFont="1" applyBorder="1" applyAlignment="1">
      <alignment horizontal="center"/>
    </xf>
    <xf numFmtId="166" fontId="169" fillId="0" borderId="114" xfId="0" applyNumberFormat="1" applyFont="1" applyBorder="1" applyAlignment="1">
      <alignment horizontal="center"/>
    </xf>
    <xf numFmtId="0" fontId="169" fillId="0" borderId="115" xfId="0" applyFont="1" applyBorder="1" applyAlignment="1">
      <alignment wrapText="1"/>
    </xf>
    <xf numFmtId="166" fontId="169" fillId="0" borderId="116" xfId="0" applyNumberFormat="1" applyFont="1" applyBorder="1" applyAlignment="1">
      <alignment horizontal="center"/>
    </xf>
    <xf numFmtId="166" fontId="169" fillId="0" borderId="117" xfId="0" applyNumberFormat="1" applyFont="1" applyBorder="1" applyAlignment="1">
      <alignment horizontal="center"/>
    </xf>
    <xf numFmtId="0" fontId="170" fillId="0" borderId="113" xfId="0" applyFont="1" applyBorder="1" applyAlignment="1">
      <alignment horizontal="center" vertical="center" wrapText="1"/>
    </xf>
    <xf numFmtId="0" fontId="170" fillId="0" borderId="112" xfId="0" applyFont="1" applyBorder="1" applyAlignment="1">
      <alignment horizontal="center" vertical="center" wrapText="1"/>
    </xf>
    <xf numFmtId="0" fontId="170" fillId="0" borderId="114" xfId="0" applyFont="1" applyBorder="1" applyAlignment="1">
      <alignment horizontal="center"/>
    </xf>
    <xf numFmtId="3" fontId="180" fillId="0" borderId="113" xfId="0" applyNumberFormat="1" applyFont="1" applyBorder="1" applyAlignment="1">
      <alignment horizontal="center" vertical="center"/>
    </xf>
    <xf numFmtId="288" fontId="169" fillId="0" borderId="112" xfId="0" applyNumberFormat="1" applyFont="1" applyBorder="1" applyAlignment="1">
      <alignment horizontal="center" vertical="center" wrapText="1"/>
    </xf>
    <xf numFmtId="14" fontId="169" fillId="0" borderId="112" xfId="0" applyNumberFormat="1" applyFont="1" applyBorder="1" applyAlignment="1">
      <alignment horizontal="center" vertical="center"/>
    </xf>
    <xf numFmtId="14" fontId="169" fillId="0" borderId="112" xfId="0" applyNumberFormat="1" applyFont="1" applyBorder="1" applyAlignment="1">
      <alignment vertical="center" wrapText="1"/>
    </xf>
    <xf numFmtId="1" fontId="169" fillId="0" borderId="114" xfId="0" applyNumberFormat="1" applyFont="1" applyBorder="1"/>
    <xf numFmtId="14" fontId="169" fillId="0" borderId="112" xfId="0" applyNumberFormat="1" applyFont="1" applyBorder="1" applyAlignment="1">
      <alignment horizontal="center" vertical="center" wrapText="1"/>
    </xf>
    <xf numFmtId="3" fontId="180" fillId="0" borderId="118" xfId="0" applyNumberFormat="1" applyFont="1" applyBorder="1" applyAlignment="1">
      <alignment horizontal="center" vertical="center"/>
    </xf>
    <xf numFmtId="288" fontId="169" fillId="0" borderId="119" xfId="0" applyNumberFormat="1" applyFont="1" applyBorder="1" applyAlignment="1">
      <alignment horizontal="center" vertical="center" wrapText="1"/>
    </xf>
    <xf numFmtId="14" fontId="169" fillId="0" borderId="119" xfId="0" applyNumberFormat="1" applyFont="1" applyBorder="1" applyAlignment="1">
      <alignment horizontal="center" vertical="center" wrapText="1"/>
    </xf>
    <xf numFmtId="14" fontId="169" fillId="0" borderId="119" xfId="0" applyNumberFormat="1" applyFont="1" applyBorder="1" applyAlignment="1">
      <alignment horizontal="center" vertical="center"/>
    </xf>
    <xf numFmtId="1" fontId="169" fillId="0" borderId="120" xfId="0" applyNumberFormat="1" applyFont="1" applyBorder="1"/>
    <xf numFmtId="0" fontId="197" fillId="0" borderId="123" xfId="0" applyFont="1" applyBorder="1" applyAlignment="1">
      <alignment horizontal="center"/>
    </xf>
    <xf numFmtId="0" fontId="194" fillId="0" borderId="112" xfId="0" applyFont="1" applyBorder="1"/>
    <xf numFmtId="0" fontId="194" fillId="0" borderId="112" xfId="0" applyFont="1" applyBorder="1" applyAlignment="1">
      <alignment horizontal="center"/>
    </xf>
    <xf numFmtId="0" fontId="0" fillId="0" borderId="112" xfId="0" applyBorder="1"/>
    <xf numFmtId="1" fontId="0" fillId="0" borderId="112" xfId="0" applyNumberFormat="1" applyBorder="1"/>
    <xf numFmtId="2" fontId="0" fillId="0" borderId="112" xfId="0" applyNumberFormat="1" applyBorder="1"/>
    <xf numFmtId="0" fontId="197" fillId="0" borderId="112" xfId="0" applyFont="1" applyBorder="1" applyAlignment="1">
      <alignment horizontal="center"/>
    </xf>
    <xf numFmtId="165" fontId="0" fillId="0" borderId="112" xfId="0" applyNumberFormat="1" applyBorder="1"/>
    <xf numFmtId="10" fontId="0" fillId="0" borderId="112" xfId="0" applyNumberFormat="1" applyBorder="1"/>
    <xf numFmtId="0" fontId="0" fillId="0" borderId="112" xfId="0" applyBorder="1" applyAlignment="1"/>
    <xf numFmtId="0" fontId="194" fillId="0" borderId="112" xfId="0" applyFont="1" applyBorder="1" applyAlignment="1">
      <alignment horizontal="center" wrapText="1"/>
    </xf>
    <xf numFmtId="0" fontId="0" fillId="0" borderId="112" xfId="0" applyBorder="1" applyAlignment="1">
      <alignment horizontal="right"/>
    </xf>
    <xf numFmtId="0" fontId="0" fillId="0" borderId="112" xfId="0" applyBorder="1" applyAlignment="1">
      <alignment horizontal="center"/>
    </xf>
    <xf numFmtId="165" fontId="0" fillId="5" borderId="112" xfId="0" applyNumberFormat="1" applyFill="1" applyBorder="1"/>
    <xf numFmtId="167" fontId="185" fillId="0" borderId="112" xfId="1" applyNumberFormat="1" applyFont="1" applyBorder="1" applyAlignment="1">
      <alignment horizontal="center"/>
    </xf>
    <xf numFmtId="0" fontId="23" fillId="0" borderId="112" xfId="2" applyFont="1" applyBorder="1"/>
    <xf numFmtId="178" fontId="15" fillId="0" borderId="113" xfId="0" applyNumberFormat="1" applyFont="1" applyBorder="1" applyAlignment="1">
      <alignment horizontal="left"/>
    </xf>
    <xf numFmtId="38" fontId="185" fillId="0" borderId="112" xfId="22" applyNumberFormat="1" applyFont="1" applyBorder="1" applyAlignment="1">
      <alignment horizontal="center"/>
    </xf>
    <xf numFmtId="8" fontId="15" fillId="0" borderId="112" xfId="0" applyNumberFormat="1" applyFont="1" applyBorder="1" applyAlignment="1">
      <alignment horizontal="center"/>
    </xf>
    <xf numFmtId="164" fontId="15" fillId="0" borderId="112" xfId="22" applyNumberFormat="1" applyFont="1" applyBorder="1" applyAlignment="1">
      <alignment horizontal="center"/>
    </xf>
    <xf numFmtId="38" fontId="15" fillId="0" borderId="112" xfId="22" applyNumberFormat="1" applyFont="1" applyBorder="1" applyAlignment="1">
      <alignment horizontal="center"/>
    </xf>
    <xf numFmtId="38" fontId="185" fillId="0" borderId="65" xfId="22" applyNumberFormat="1" applyFont="1" applyBorder="1" applyAlignment="1">
      <alignment horizontal="center"/>
    </xf>
    <xf numFmtId="38" fontId="15" fillId="0" borderId="65" xfId="22" applyNumberFormat="1" applyFont="1" applyBorder="1" applyAlignment="1">
      <alignment horizontal="center"/>
    </xf>
    <xf numFmtId="8" fontId="171" fillId="0" borderId="112" xfId="0" applyNumberFormat="1" applyFont="1" applyBorder="1" applyAlignment="1">
      <alignment horizontal="center"/>
    </xf>
    <xf numFmtId="164" fontId="15" fillId="0" borderId="123" xfId="22" applyNumberFormat="1" applyFont="1" applyBorder="1" applyAlignment="1">
      <alignment horizontal="center"/>
    </xf>
    <xf numFmtId="6" fontId="175" fillId="0" borderId="112" xfId="0" applyNumberFormat="1" applyFont="1" applyBorder="1" applyAlignment="1">
      <alignment horizontal="center"/>
    </xf>
    <xf numFmtId="0" fontId="24" fillId="0" borderId="113" xfId="14" applyFont="1" applyBorder="1"/>
    <xf numFmtId="3" fontId="185" fillId="0" borderId="112" xfId="14" applyNumberFormat="1" applyFont="1" applyBorder="1" applyAlignment="1">
      <alignment horizontal="center"/>
    </xf>
    <xf numFmtId="8" fontId="185" fillId="0" borderId="112" xfId="0" applyNumberFormat="1" applyFont="1" applyBorder="1"/>
    <xf numFmtId="6" fontId="15" fillId="0" borderId="112" xfId="0" applyNumberFormat="1" applyFont="1" applyBorder="1"/>
    <xf numFmtId="0" fontId="24" fillId="0" borderId="115" xfId="14" applyFont="1" applyBorder="1"/>
    <xf numFmtId="3" fontId="185" fillId="0" borderId="116" xfId="14" applyNumberFormat="1" applyFont="1" applyBorder="1" applyAlignment="1">
      <alignment horizontal="center"/>
    </xf>
    <xf numFmtId="8" fontId="15" fillId="0" borderId="116" xfId="0" applyNumberFormat="1" applyFont="1" applyBorder="1"/>
    <xf numFmtId="6" fontId="15" fillId="0" borderId="116" xfId="0" applyNumberFormat="1" applyFont="1" applyBorder="1"/>
    <xf numFmtId="3" fontId="15" fillId="0" borderId="103" xfId="0" applyNumberFormat="1" applyFont="1" applyBorder="1" applyAlignment="1">
      <alignment horizontal="center"/>
    </xf>
    <xf numFmtId="0" fontId="172" fillId="8" borderId="90" xfId="0" applyFont="1" applyFill="1" applyBorder="1" applyAlignment="1">
      <alignment horizontal="left"/>
    </xf>
    <xf numFmtId="3" fontId="172" fillId="8" borderId="92" xfId="0" applyNumberFormat="1" applyFont="1" applyFill="1" applyBorder="1"/>
    <xf numFmtId="3" fontId="185" fillId="0" borderId="114" xfId="0" applyNumberFormat="1" applyFont="1" applyBorder="1"/>
    <xf numFmtId="0" fontId="172" fillId="8" borderId="90" xfId="0" applyFont="1" applyFill="1" applyBorder="1"/>
    <xf numFmtId="175" fontId="172" fillId="8" borderId="90" xfId="0" applyNumberFormat="1" applyFont="1" applyFill="1" applyBorder="1"/>
    <xf numFmtId="0" fontId="15" fillId="0" borderId="113" xfId="0" applyFont="1" applyBorder="1" applyAlignment="1">
      <alignment horizontal="right"/>
    </xf>
    <xf numFmtId="168" fontId="15" fillId="0" borderId="114" xfId="22" applyNumberFormat="1" applyFont="1" applyFill="1" applyBorder="1" applyAlignment="1">
      <alignment horizontal="center"/>
    </xf>
    <xf numFmtId="281" fontId="15" fillId="0" borderId="113" xfId="0" applyNumberFormat="1" applyFont="1" applyBorder="1" applyAlignment="1">
      <alignment horizontal="right"/>
    </xf>
    <xf numFmtId="280" fontId="185" fillId="0" borderId="113" xfId="0" applyNumberFormat="1" applyFont="1" applyBorder="1" applyAlignment="1">
      <alignment horizontal="right"/>
    </xf>
    <xf numFmtId="279" fontId="185" fillId="0" borderId="118" xfId="0" applyNumberFormat="1" applyFont="1" applyBorder="1"/>
    <xf numFmtId="168" fontId="15" fillId="0" borderId="120" xfId="22" applyNumberFormat="1" applyFont="1" applyFill="1" applyBorder="1" applyAlignment="1">
      <alignment horizontal="center"/>
    </xf>
    <xf numFmtId="175" fontId="172" fillId="32" borderId="77" xfId="0" applyNumberFormat="1" applyFont="1" applyFill="1" applyBorder="1"/>
    <xf numFmtId="0" fontId="172" fillId="32" borderId="78" xfId="0" applyFont="1" applyFill="1" applyBorder="1"/>
    <xf numFmtId="0" fontId="172" fillId="8" borderId="76" xfId="0" applyFont="1" applyFill="1" applyBorder="1" applyAlignment="1">
      <alignment horizontal="left"/>
    </xf>
    <xf numFmtId="0" fontId="172" fillId="8" borderId="77" xfId="0" applyFont="1" applyFill="1" applyBorder="1" applyAlignment="1">
      <alignment horizontal="center"/>
    </xf>
    <xf numFmtId="0" fontId="172" fillId="8" borderId="78" xfId="0" applyFont="1" applyFill="1" applyBorder="1" applyAlignment="1">
      <alignment horizontal="center"/>
    </xf>
    <xf numFmtId="0" fontId="15" fillId="11" borderId="62" xfId="0" applyFont="1" applyFill="1" applyBorder="1"/>
    <xf numFmtId="5" fontId="15" fillId="11" borderId="65" xfId="22" applyNumberFormat="1" applyFont="1" applyFill="1" applyBorder="1" applyAlignment="1">
      <alignment horizontal="center"/>
    </xf>
    <xf numFmtId="165" fontId="15" fillId="11" borderId="65" xfId="22" applyNumberFormat="1" applyFont="1" applyFill="1" applyBorder="1" applyAlignment="1">
      <alignment horizontal="center"/>
    </xf>
    <xf numFmtId="293" fontId="15" fillId="0" borderId="127" xfId="0" applyNumberFormat="1" applyFont="1" applyBorder="1" applyAlignment="1" applyProtection="1">
      <alignment horizontal="left"/>
      <protection locked="0"/>
    </xf>
    <xf numFmtId="5" fontId="15" fillId="0" borderId="108" xfId="22" applyNumberFormat="1" applyFont="1" applyBorder="1" applyAlignment="1">
      <alignment horizontal="center"/>
    </xf>
    <xf numFmtId="5" fontId="15" fillId="0" borderId="128" xfId="22" applyNumberFormat="1" applyFont="1" applyBorder="1" applyAlignment="1">
      <alignment horizontal="center"/>
    </xf>
    <xf numFmtId="260" fontId="15" fillId="0" borderId="112" xfId="0" applyNumberFormat="1" applyFont="1" applyBorder="1" applyAlignment="1">
      <alignment horizontal="left"/>
    </xf>
    <xf numFmtId="5" fontId="15" fillId="0" borderId="112" xfId="22" applyNumberFormat="1" applyFont="1" applyBorder="1" applyAlignment="1">
      <alignment horizontal="center"/>
    </xf>
    <xf numFmtId="5" fontId="23" fillId="0" borderId="112" xfId="22" applyNumberFormat="1" applyFont="1" applyBorder="1" applyAlignment="1">
      <alignment horizontal="center"/>
    </xf>
    <xf numFmtId="0" fontId="15" fillId="0" borderId="87" xfId="0" applyFont="1" applyBorder="1" applyAlignment="1">
      <alignment wrapText="1"/>
    </xf>
    <xf numFmtId="267" fontId="15" fillId="0" borderId="112" xfId="0" applyNumberFormat="1" applyFont="1" applyBorder="1" applyAlignment="1">
      <alignment horizontal="center"/>
    </xf>
    <xf numFmtId="166" fontId="15" fillId="0" borderId="88" xfId="22" applyNumberFormat="1" applyFont="1" applyFill="1" applyBorder="1" applyAlignment="1">
      <alignment horizontal="center"/>
    </xf>
    <xf numFmtId="5" fontId="15" fillId="0" borderId="112" xfId="22" applyNumberFormat="1" applyFont="1" applyBorder="1" applyAlignment="1">
      <alignment horizontal="center"/>
    </xf>
    <xf numFmtId="272" fontId="15" fillId="0" borderId="112" xfId="0" applyNumberFormat="1" applyFont="1" applyBorder="1" applyAlignment="1">
      <alignment horizontal="center"/>
    </xf>
    <xf numFmtId="261" fontId="185" fillId="0" borderId="112" xfId="0" applyNumberFormat="1" applyFont="1" applyBorder="1" applyAlignment="1">
      <alignment horizontal="center"/>
    </xf>
    <xf numFmtId="300" fontId="171" fillId="0" borderId="112" xfId="0" applyNumberFormat="1" applyFont="1" applyBorder="1" applyAlignment="1">
      <alignment horizontal="center" wrapText="1"/>
    </xf>
    <xf numFmtId="0" fontId="171" fillId="0" borderId="112" xfId="0" applyFont="1" applyBorder="1" applyAlignment="1">
      <alignment horizontal="center" wrapText="1"/>
    </xf>
    <xf numFmtId="283" fontId="185" fillId="0" borderId="112" xfId="0" applyNumberFormat="1" applyFont="1" applyBorder="1" applyAlignment="1">
      <alignment horizontal="center"/>
    </xf>
    <xf numFmtId="5" fontId="15" fillId="0" borderId="65" xfId="22" applyNumberFormat="1" applyFont="1" applyBorder="1" applyAlignment="1">
      <alignment horizontal="center"/>
    </xf>
    <xf numFmtId="262" fontId="15" fillId="0" borderId="112" xfId="0" applyNumberFormat="1" applyFont="1" applyBorder="1" applyAlignment="1">
      <alignment horizontal="center"/>
    </xf>
    <xf numFmtId="296" fontId="15" fillId="0" borderId="112" xfId="0" applyNumberFormat="1" applyFont="1" applyBorder="1" applyAlignment="1">
      <alignment horizontal="center"/>
    </xf>
    <xf numFmtId="5" fontId="15" fillId="0" borderId="112" xfId="22" applyNumberFormat="1" applyFont="1" applyFill="1" applyBorder="1" applyAlignment="1">
      <alignment horizontal="center"/>
    </xf>
    <xf numFmtId="167" fontId="171" fillId="0" borderId="112" xfId="0" applyNumberFormat="1" applyFont="1" applyBorder="1" applyAlignment="1">
      <alignment horizontal="center"/>
    </xf>
    <xf numFmtId="263" fontId="15" fillId="0" borderId="112" xfId="0" applyNumberFormat="1" applyFont="1" applyBorder="1" applyAlignment="1">
      <alignment horizontal="center"/>
    </xf>
    <xf numFmtId="271" fontId="15" fillId="0" borderId="112" xfId="0" applyNumberFormat="1" applyFont="1" applyBorder="1" applyAlignment="1">
      <alignment horizontal="center"/>
    </xf>
    <xf numFmtId="5" fontId="171" fillId="0" borderId="112" xfId="22" applyNumberFormat="1" applyFont="1" applyFill="1" applyBorder="1" applyAlignment="1">
      <alignment horizontal="center"/>
    </xf>
    <xf numFmtId="10" fontId="171" fillId="0" borderId="112" xfId="1" applyNumberFormat="1" applyFont="1" applyBorder="1" applyAlignment="1">
      <alignment horizontal="center"/>
    </xf>
    <xf numFmtId="0" fontId="171" fillId="0" borderId="112" xfId="0" applyFont="1" applyBorder="1" applyAlignment="1">
      <alignment horizontal="center"/>
    </xf>
    <xf numFmtId="5" fontId="185" fillId="0" borderId="112" xfId="22" applyNumberFormat="1" applyFont="1" applyFill="1" applyBorder="1" applyAlignment="1">
      <alignment horizontal="center"/>
    </xf>
    <xf numFmtId="182" fontId="15" fillId="0" borderId="113" xfId="0" applyNumberFormat="1" applyFont="1" applyBorder="1"/>
    <xf numFmtId="269" fontId="171" fillId="0" borderId="116" xfId="1" applyNumberFormat="1" applyFont="1" applyBorder="1" applyAlignment="1">
      <alignment horizontal="center"/>
    </xf>
    <xf numFmtId="5" fontId="185" fillId="0" borderId="116" xfId="22" applyNumberFormat="1" applyFont="1" applyFill="1" applyBorder="1" applyAlignment="1">
      <alignment horizontal="center"/>
    </xf>
    <xf numFmtId="5" fontId="15" fillId="0" borderId="116" xfId="22" applyNumberFormat="1" applyFont="1" applyBorder="1" applyAlignment="1">
      <alignment horizontal="center"/>
    </xf>
    <xf numFmtId="0" fontId="23" fillId="3" borderId="103" xfId="0" applyFont="1" applyFill="1" applyBorder="1"/>
    <xf numFmtId="0" fontId="171" fillId="3" borderId="103" xfId="0" applyFont="1" applyFill="1" applyBorder="1"/>
    <xf numFmtId="0" fontId="23" fillId="3" borderId="87" xfId="0" applyFont="1" applyFill="1" applyBorder="1"/>
    <xf numFmtId="167" fontId="23" fillId="3" borderId="89" xfId="1" applyNumberFormat="1" applyFont="1" applyFill="1" applyBorder="1" applyAlignment="1">
      <alignment horizontal="center"/>
    </xf>
    <xf numFmtId="0" fontId="23" fillId="3" borderId="113" xfId="0" applyFont="1" applyFill="1" applyBorder="1"/>
    <xf numFmtId="167" fontId="23" fillId="3" borderId="114" xfId="1" applyNumberFormat="1" applyFont="1" applyFill="1" applyBorder="1" applyAlignment="1">
      <alignment horizontal="center"/>
    </xf>
    <xf numFmtId="292" fontId="185" fillId="3" borderId="118" xfId="0" applyNumberFormat="1" applyFont="1" applyFill="1" applyBorder="1" applyAlignment="1">
      <alignment horizontal="left"/>
    </xf>
    <xf numFmtId="6" fontId="23" fillId="3" borderId="120" xfId="1" applyNumberFormat="1" applyFont="1" applyFill="1" applyBorder="1" applyAlignment="1">
      <alignment horizontal="center"/>
    </xf>
    <xf numFmtId="273" fontId="185" fillId="3" borderId="113" xfId="0" applyNumberFormat="1" applyFont="1" applyFill="1" applyBorder="1" applyAlignment="1">
      <alignment horizontal="left"/>
    </xf>
    <xf numFmtId="175" fontId="172" fillId="6" borderId="78" xfId="0" applyNumberFormat="1" applyFont="1" applyFill="1" applyBorder="1"/>
    <xf numFmtId="0" fontId="175" fillId="0" borderId="74" xfId="0" applyFont="1" applyBorder="1" applyAlignment="1">
      <alignment horizontal="left"/>
    </xf>
    <xf numFmtId="0" fontId="175" fillId="0" borderId="86" xfId="0" applyFont="1" applyBorder="1" applyAlignment="1">
      <alignment horizontal="center"/>
    </xf>
    <xf numFmtId="0" fontId="175" fillId="0" borderId="75" xfId="0" applyFont="1" applyBorder="1" applyAlignment="1">
      <alignment horizontal="center"/>
    </xf>
    <xf numFmtId="6" fontId="175" fillId="0" borderId="112" xfId="0" applyNumberFormat="1" applyFont="1" applyBorder="1" applyAlignment="1">
      <alignment horizontal="center" vertical="center"/>
    </xf>
    <xf numFmtId="180" fontId="23" fillId="0" borderId="62" xfId="0" applyNumberFormat="1" applyFont="1" applyBorder="1" applyAlignment="1">
      <alignment horizontal="right"/>
    </xf>
    <xf numFmtId="181" fontId="15" fillId="0" borderId="115" xfId="0" applyNumberFormat="1" applyFont="1" applyBorder="1" applyAlignment="1">
      <alignment horizontal="right"/>
    </xf>
    <xf numFmtId="5" fontId="15" fillId="0" borderId="117" xfId="22" applyNumberFormat="1" applyFont="1" applyBorder="1" applyAlignment="1">
      <alignment horizontal="center" vertical="center"/>
    </xf>
    <xf numFmtId="5" fontId="23" fillId="0" borderId="65" xfId="0" applyNumberFormat="1" applyFont="1" applyBorder="1" applyAlignment="1">
      <alignment horizontal="center" vertical="center"/>
    </xf>
    <xf numFmtId="0" fontId="172" fillId="0" borderId="74" xfId="0" applyFont="1" applyBorder="1" applyAlignment="1">
      <alignment horizontal="center"/>
    </xf>
    <xf numFmtId="0" fontId="172" fillId="0" borderId="86" xfId="0" applyFont="1" applyBorder="1" applyAlignment="1">
      <alignment horizontal="center"/>
    </xf>
    <xf numFmtId="0" fontId="172" fillId="0" borderId="75" xfId="0" applyFont="1" applyBorder="1" applyAlignment="1">
      <alignment horizontal="center"/>
    </xf>
    <xf numFmtId="0" fontId="175" fillId="0" borderId="96" xfId="0" applyFont="1" applyBorder="1" applyAlignment="1">
      <alignment horizontal="center"/>
    </xf>
    <xf numFmtId="0" fontId="15" fillId="0" borderId="93" xfId="0" applyFont="1" applyBorder="1"/>
    <xf numFmtId="37" fontId="15" fillId="0" borderId="94" xfId="22" applyNumberFormat="1" applyFont="1" applyBorder="1" applyAlignment="1">
      <alignment horizontal="center"/>
    </xf>
    <xf numFmtId="37" fontId="15" fillId="0" borderId="94" xfId="22" applyNumberFormat="1" applyFont="1" applyBorder="1"/>
    <xf numFmtId="173" fontId="185" fillId="0" borderId="127" xfId="0" applyNumberFormat="1" applyFont="1" applyBorder="1" applyAlignment="1" applyProtection="1">
      <alignment horizontal="left"/>
      <protection locked="0"/>
    </xf>
    <xf numFmtId="5" fontId="15" fillId="0" borderId="129" xfId="22" applyNumberFormat="1" applyFont="1" applyBorder="1" applyAlignment="1">
      <alignment horizontal="center"/>
    </xf>
    <xf numFmtId="37" fontId="15" fillId="0" borderId="129" xfId="22" applyNumberFormat="1" applyFont="1" applyBorder="1"/>
    <xf numFmtId="0" fontId="15" fillId="0" borderId="74" xfId="0" applyFont="1" applyBorder="1"/>
    <xf numFmtId="0" fontId="15" fillId="0" borderId="127" xfId="0" applyFont="1" applyBorder="1"/>
    <xf numFmtId="37" fontId="15" fillId="0" borderId="129" xfId="22" applyNumberFormat="1" applyFont="1" applyBorder="1" applyAlignment="1">
      <alignment horizontal="center"/>
    </xf>
    <xf numFmtId="0" fontId="172" fillId="6" borderId="74" xfId="0" applyFont="1" applyFill="1" applyBorder="1" applyAlignment="1">
      <alignment horizontal="center"/>
    </xf>
    <xf numFmtId="0" fontId="172" fillId="6" borderId="86" xfId="0" applyFont="1" applyFill="1" applyBorder="1" applyAlignment="1">
      <alignment horizontal="center"/>
    </xf>
    <xf numFmtId="0" fontId="172" fillId="6" borderId="75" xfId="0" applyFont="1" applyFill="1" applyBorder="1" applyAlignment="1">
      <alignment horizontal="center"/>
    </xf>
    <xf numFmtId="0" fontId="15" fillId="0" borderId="130" xfId="0" applyFont="1" applyBorder="1" applyAlignment="1">
      <alignment horizontal="right"/>
    </xf>
    <xf numFmtId="166" fontId="171" fillId="0" borderId="131" xfId="18" applyNumberFormat="1" applyFont="1" applyBorder="1" applyAlignment="1">
      <alignment horizontal="center"/>
    </xf>
    <xf numFmtId="166" fontId="171" fillId="0" borderId="132" xfId="0" applyNumberFormat="1" applyFont="1" applyBorder="1" applyAlignment="1">
      <alignment horizontal="right"/>
    </xf>
    <xf numFmtId="166" fontId="171" fillId="0" borderId="133" xfId="0" applyNumberFormat="1" applyFont="1" applyBorder="1" applyAlignment="1">
      <alignment horizontal="center"/>
    </xf>
    <xf numFmtId="0" fontId="172" fillId="6" borderId="90" xfId="0" applyFont="1" applyFill="1" applyBorder="1" applyAlignment="1">
      <alignment horizontal="center"/>
    </xf>
    <xf numFmtId="0" fontId="172" fillId="6" borderId="91" xfId="0" applyFont="1" applyFill="1" applyBorder="1" applyAlignment="1">
      <alignment horizontal="center"/>
    </xf>
    <xf numFmtId="0" fontId="172" fillId="6" borderId="92" xfId="0" applyFont="1" applyFill="1" applyBorder="1" applyAlignment="1">
      <alignment horizontal="center"/>
    </xf>
    <xf numFmtId="0" fontId="15" fillId="0" borderId="130" xfId="0" applyFont="1" applyBorder="1"/>
    <xf numFmtId="171" fontId="15" fillId="0" borderId="131" xfId="1" applyNumberFormat="1" applyFont="1" applyFill="1" applyBorder="1" applyAlignment="1">
      <alignment horizontal="center"/>
    </xf>
    <xf numFmtId="0" fontId="23" fillId="0" borderId="130" xfId="0" applyFont="1" applyBorder="1"/>
    <xf numFmtId="9" fontId="23" fillId="0" borderId="131" xfId="0" applyNumberFormat="1" applyFont="1" applyBorder="1" applyAlignment="1">
      <alignment horizontal="center"/>
    </xf>
    <xf numFmtId="9" fontId="15" fillId="0" borderId="131" xfId="0" applyNumberFormat="1" applyFont="1" applyBorder="1" applyAlignment="1">
      <alignment horizontal="center"/>
    </xf>
    <xf numFmtId="10" fontId="15" fillId="0" borderId="131" xfId="0" applyNumberFormat="1" applyFont="1" applyBorder="1" applyAlignment="1">
      <alignment horizontal="center"/>
    </xf>
    <xf numFmtId="14" fontId="23" fillId="9" borderId="118" xfId="0" applyNumberFormat="1" applyFont="1" applyFill="1" applyBorder="1" applyAlignment="1">
      <alignment horizontal="right" vertical="center"/>
    </xf>
    <xf numFmtId="14" fontId="23" fillId="9" borderId="119" xfId="1347" applyNumberFormat="1" applyFont="1" applyFill="1" applyBorder="1"/>
    <xf numFmtId="14" fontId="23" fillId="9" borderId="119" xfId="1347" applyNumberFormat="1" applyFont="1" applyFill="1" applyBorder="1" applyAlignment="1">
      <alignment horizontal="center"/>
    </xf>
    <xf numFmtId="14" fontId="23" fillId="9" borderId="120" xfId="1347" applyNumberFormat="1" applyFont="1" applyFill="1" applyBorder="1"/>
    <xf numFmtId="172" fontId="175" fillId="0" borderId="112" xfId="0" applyNumberFormat="1" applyFont="1" applyBorder="1"/>
    <xf numFmtId="172" fontId="175" fillId="0" borderId="113" xfId="0" applyNumberFormat="1" applyFont="1" applyBorder="1"/>
    <xf numFmtId="172" fontId="175" fillId="0" borderId="114" xfId="0" applyNumberFormat="1" applyFont="1" applyBorder="1"/>
    <xf numFmtId="172" fontId="175" fillId="0" borderId="110" xfId="0" applyNumberFormat="1" applyFont="1" applyBorder="1"/>
    <xf numFmtId="172" fontId="175" fillId="0" borderId="119" xfId="0" applyNumberFormat="1" applyFont="1" applyBorder="1"/>
    <xf numFmtId="172" fontId="171" fillId="0" borderId="112" xfId="0" applyNumberFormat="1" applyFont="1" applyBorder="1"/>
    <xf numFmtId="172" fontId="171" fillId="0" borderId="112" xfId="0" applyNumberFormat="1" applyFont="1" applyBorder="1" applyAlignment="1">
      <alignment horizontal="center"/>
    </xf>
    <xf numFmtId="0" fontId="171" fillId="9" borderId="76" xfId="0" applyFont="1" applyFill="1" applyBorder="1"/>
    <xf numFmtId="10" fontId="171" fillId="9" borderId="90" xfId="0" applyNumberFormat="1" applyFont="1" applyFill="1" applyBorder="1"/>
    <xf numFmtId="167" fontId="23" fillId="9" borderId="103" xfId="0" applyNumberFormat="1" applyFont="1" applyFill="1" applyBorder="1"/>
    <xf numFmtId="167" fontId="174" fillId="9" borderId="103" xfId="0" applyNumberFormat="1" applyFont="1" applyFill="1" applyBorder="1"/>
    <xf numFmtId="9" fontId="23" fillId="0" borderId="103" xfId="0" applyNumberFormat="1" applyFont="1" applyBorder="1" applyAlignment="1">
      <alignment horizontal="center"/>
    </xf>
    <xf numFmtId="0" fontId="171" fillId="0" borderId="108" xfId="0" applyFont="1" applyBorder="1"/>
    <xf numFmtId="38" fontId="171" fillId="0" borderId="112" xfId="0" applyNumberFormat="1" applyFont="1" applyBorder="1"/>
    <xf numFmtId="5" fontId="181" fillId="0" borderId="112" xfId="0" applyNumberFormat="1" applyFont="1" applyBorder="1"/>
    <xf numFmtId="5" fontId="171" fillId="0" borderId="112" xfId="0" applyNumberFormat="1" applyFont="1" applyBorder="1"/>
    <xf numFmtId="5" fontId="185" fillId="0" borderId="112" xfId="0" applyNumberFormat="1" applyFont="1" applyBorder="1"/>
    <xf numFmtId="0" fontId="181" fillId="0" borderId="112" xfId="0" applyFont="1" applyBorder="1"/>
    <xf numFmtId="38" fontId="181" fillId="0" borderId="112" xfId="0" applyNumberFormat="1" applyFont="1" applyBorder="1"/>
    <xf numFmtId="38" fontId="185" fillId="0" borderId="112" xfId="0" applyNumberFormat="1" applyFont="1" applyBorder="1"/>
    <xf numFmtId="5" fontId="174" fillId="0" borderId="112" xfId="0" applyNumberFormat="1" applyFont="1" applyBorder="1"/>
    <xf numFmtId="38" fontId="174" fillId="0" borderId="112" xfId="0" applyNumberFormat="1" applyFont="1" applyBorder="1"/>
    <xf numFmtId="5" fontId="15" fillId="0" borderId="112" xfId="0" applyNumberFormat="1" applyFont="1" applyBorder="1"/>
    <xf numFmtId="0" fontId="171" fillId="0" borderId="112" xfId="0" applyFont="1" applyBorder="1"/>
    <xf numFmtId="5" fontId="181" fillId="0" borderId="112" xfId="0" applyNumberFormat="1" applyFont="1" applyBorder="1" applyAlignment="1">
      <alignment horizontal="center" wrapText="1"/>
    </xf>
    <xf numFmtId="38" fontId="171" fillId="0" borderId="116" xfId="0" applyNumberFormat="1" applyFont="1" applyBorder="1"/>
    <xf numFmtId="5" fontId="181" fillId="0" borderId="116" xfId="0" applyNumberFormat="1" applyFont="1" applyBorder="1"/>
    <xf numFmtId="5" fontId="171" fillId="0" borderId="116" xfId="0" applyNumberFormat="1" applyFont="1" applyBorder="1"/>
    <xf numFmtId="38" fontId="175" fillId="0" borderId="104" xfId="0" applyNumberFormat="1" applyFont="1" applyBorder="1"/>
    <xf numFmtId="0" fontId="171" fillId="0" borderId="118" xfId="0" applyFont="1" applyBorder="1"/>
    <xf numFmtId="6" fontId="171" fillId="0" borderId="126" xfId="0" applyNumberFormat="1" applyFont="1" applyBorder="1"/>
    <xf numFmtId="0" fontId="171" fillId="0" borderId="110" xfId="0" applyFont="1" applyBorder="1"/>
    <xf numFmtId="0" fontId="171" fillId="0" borderId="111" xfId="0" applyFont="1" applyBorder="1"/>
    <xf numFmtId="6" fontId="171" fillId="0" borderId="130" xfId="0" applyNumberFormat="1" applyFont="1" applyBorder="1"/>
    <xf numFmtId="5" fontId="171" fillId="0" borderId="110" xfId="0" applyNumberFormat="1" applyFont="1" applyBorder="1"/>
    <xf numFmtId="5" fontId="171" fillId="0" borderId="134" xfId="0" applyNumberFormat="1" applyFont="1" applyBorder="1"/>
    <xf numFmtId="5" fontId="171" fillId="4" borderId="110" xfId="0" applyNumberFormat="1" applyFont="1" applyFill="1" applyBorder="1"/>
    <xf numFmtId="5" fontId="171" fillId="4" borderId="112" xfId="0" applyNumberFormat="1" applyFont="1" applyFill="1" applyBorder="1"/>
    <xf numFmtId="0" fontId="171" fillId="0" borderId="132" xfId="0" applyFont="1" applyBorder="1"/>
    <xf numFmtId="6" fontId="171" fillId="0" borderId="133" xfId="0" applyNumberFormat="1" applyFont="1" applyBorder="1"/>
    <xf numFmtId="0" fontId="175" fillId="4" borderId="111" xfId="0" applyFont="1" applyFill="1" applyBorder="1" applyAlignment="1">
      <alignment horizontal="center"/>
    </xf>
    <xf numFmtId="0" fontId="175" fillId="4" borderId="110" xfId="0" applyFont="1" applyFill="1" applyBorder="1" applyAlignment="1">
      <alignment horizontal="center"/>
    </xf>
    <xf numFmtId="6" fontId="171" fillId="4" borderId="112" xfId="0" applyNumberFormat="1" applyFont="1" applyFill="1" applyBorder="1"/>
    <xf numFmtId="166" fontId="171" fillId="4" borderId="112" xfId="0" applyNumberFormat="1" applyFont="1" applyFill="1" applyBorder="1"/>
    <xf numFmtId="0" fontId="171" fillId="4" borderId="112" xfId="0" applyFont="1" applyFill="1" applyBorder="1"/>
    <xf numFmtId="37" fontId="175" fillId="4" borderId="112" xfId="0" applyNumberFormat="1" applyFont="1" applyFill="1" applyBorder="1"/>
    <xf numFmtId="37" fontId="175" fillId="0" borderId="110" xfId="0" applyNumberFormat="1" applyFont="1" applyBorder="1"/>
    <xf numFmtId="5" fontId="171" fillId="0" borderId="130" xfId="0" applyNumberFormat="1" applyFont="1" applyBorder="1"/>
    <xf numFmtId="5" fontId="171" fillId="0" borderId="123" xfId="0" applyNumberFormat="1" applyFont="1" applyBorder="1"/>
    <xf numFmtId="37" fontId="175" fillId="0" borderId="112" xfId="0" applyNumberFormat="1" applyFont="1" applyBorder="1"/>
    <xf numFmtId="10" fontId="171" fillId="0" borderId="130" xfId="0" applyNumberFormat="1" applyFont="1" applyBorder="1"/>
    <xf numFmtId="5" fontId="175" fillId="4" borderId="112" xfId="0" applyNumberFormat="1" applyFont="1" applyFill="1" applyBorder="1"/>
    <xf numFmtId="5" fontId="175" fillId="0" borderId="112" xfId="0" applyNumberFormat="1" applyFont="1" applyBorder="1"/>
    <xf numFmtId="10" fontId="175" fillId="0" borderId="111" xfId="0" applyNumberFormat="1" applyFont="1" applyBorder="1"/>
    <xf numFmtId="0" fontId="175" fillId="4" borderId="112" xfId="0" applyFont="1" applyFill="1" applyBorder="1" applyAlignment="1">
      <alignment horizontal="center" wrapText="1"/>
    </xf>
    <xf numFmtId="0" fontId="175" fillId="4" borderId="112" xfId="0" applyFont="1" applyFill="1" applyBorder="1" applyAlignment="1">
      <alignment horizontal="center" vertical="center" wrapText="1"/>
    </xf>
    <xf numFmtId="0" fontId="175" fillId="0" borderId="112" xfId="0" applyFont="1" applyBorder="1" applyAlignment="1">
      <alignment horizontal="center" wrapText="1"/>
    </xf>
    <xf numFmtId="0" fontId="175" fillId="4" borderId="108" xfId="0" applyFont="1" applyFill="1" applyBorder="1" applyAlignment="1">
      <alignment horizontal="center"/>
    </xf>
    <xf numFmtId="0" fontId="175" fillId="4" borderId="107" xfId="0" applyFont="1" applyFill="1" applyBorder="1" applyAlignment="1">
      <alignment horizontal="center"/>
    </xf>
    <xf numFmtId="8" fontId="185" fillId="0" borderId="112" xfId="0" applyNumberFormat="1" applyFont="1" applyBorder="1" applyAlignment="1">
      <alignment horizontal="center"/>
    </xf>
    <xf numFmtId="8" fontId="185" fillId="0" borderId="116" xfId="0" applyNumberFormat="1" applyFont="1" applyBorder="1"/>
    <xf numFmtId="280" fontId="15" fillId="0" borderId="113" xfId="0" applyNumberFormat="1" applyFont="1" applyBorder="1" applyAlignment="1">
      <alignment horizontal="right"/>
    </xf>
    <xf numFmtId="279" fontId="15" fillId="0" borderId="118" xfId="0" applyNumberFormat="1" applyFont="1" applyBorder="1"/>
    <xf numFmtId="260" fontId="15" fillId="0" borderId="121" xfId="0" applyNumberFormat="1" applyFont="1" applyBorder="1" applyAlignment="1">
      <alignment horizontal="left"/>
    </xf>
    <xf numFmtId="5" fontId="23" fillId="0" borderId="112" xfId="22" applyNumberFormat="1" applyFont="1" applyBorder="1" applyAlignment="1">
      <alignment horizontal="center"/>
    </xf>
    <xf numFmtId="260" fontId="23" fillId="0" borderId="111" xfId="0" applyNumberFormat="1" applyFont="1" applyBorder="1" applyAlignment="1">
      <alignment horizontal="left"/>
    </xf>
    <xf numFmtId="7" fontId="15" fillId="0" borderId="112" xfId="22" applyNumberFormat="1" applyFont="1" applyBorder="1" applyAlignment="1">
      <alignment horizontal="center"/>
    </xf>
    <xf numFmtId="5" fontId="23" fillId="0" borderId="106" xfId="22" applyNumberFormat="1" applyFont="1" applyBorder="1" applyAlignment="1">
      <alignment horizontal="center"/>
    </xf>
    <xf numFmtId="5" fontId="23" fillId="3" borderId="84" xfId="22" applyNumberFormat="1" applyFont="1" applyFill="1" applyBorder="1" applyAlignment="1">
      <alignment horizontal="left"/>
    </xf>
    <xf numFmtId="165" fontId="23" fillId="3" borderId="85" xfId="22" applyNumberFormat="1" applyFont="1" applyFill="1" applyBorder="1" applyAlignment="1">
      <alignment horizontal="center"/>
    </xf>
    <xf numFmtId="0" fontId="175" fillId="30" borderId="76" xfId="0" applyFont="1" applyFill="1" applyBorder="1"/>
    <xf numFmtId="166" fontId="175" fillId="30" borderId="77" xfId="0" applyNumberFormat="1" applyFont="1" applyFill="1" applyBorder="1" applyAlignment="1">
      <alignment horizontal="center"/>
    </xf>
    <xf numFmtId="165" fontId="175" fillId="30" borderId="77" xfId="0" applyNumberFormat="1" applyFont="1" applyFill="1" applyBorder="1" applyAlignment="1">
      <alignment horizontal="center"/>
    </xf>
    <xf numFmtId="0" fontId="172" fillId="8" borderId="86" xfId="2" applyFont="1" applyFill="1" applyBorder="1"/>
    <xf numFmtId="166" fontId="172" fillId="8" borderId="120" xfId="2" applyNumberFormat="1" applyFont="1" applyFill="1" applyBorder="1"/>
    <xf numFmtId="5" fontId="15" fillId="0" borderId="88" xfId="22" applyNumberFormat="1" applyFont="1" applyFill="1" applyBorder="1" applyAlignment="1">
      <alignment horizontal="center"/>
    </xf>
    <xf numFmtId="261" fontId="174" fillId="0" borderId="112" xfId="0" applyNumberFormat="1" applyFont="1" applyBorder="1" applyAlignment="1">
      <alignment horizontal="center"/>
    </xf>
    <xf numFmtId="261" fontId="15" fillId="0" borderId="112" xfId="0" applyNumberFormat="1" applyFont="1" applyBorder="1" applyAlignment="1">
      <alignment horizontal="center"/>
    </xf>
    <xf numFmtId="304" fontId="15" fillId="0" borderId="112" xfId="0" applyNumberFormat="1" applyFont="1" applyBorder="1" applyAlignment="1">
      <alignment horizontal="center" wrapText="1"/>
    </xf>
    <xf numFmtId="0" fontId="15" fillId="0" borderId="112" xfId="0" applyFont="1" applyBorder="1" applyAlignment="1">
      <alignment horizontal="center" wrapText="1"/>
    </xf>
    <xf numFmtId="283" fontId="174" fillId="0" borderId="112" xfId="0" applyNumberFormat="1" applyFont="1" applyBorder="1" applyAlignment="1">
      <alignment horizontal="center"/>
    </xf>
    <xf numFmtId="296" fontId="15" fillId="0" borderId="112" xfId="1" applyNumberFormat="1" applyFont="1" applyBorder="1" applyAlignment="1">
      <alignment horizontal="center"/>
    </xf>
    <xf numFmtId="167" fontId="15" fillId="0" borderId="112" xfId="0" applyNumberFormat="1" applyFont="1" applyBorder="1" applyAlignment="1">
      <alignment horizontal="center"/>
    </xf>
    <xf numFmtId="10" fontId="15" fillId="0" borderId="112" xfId="1" applyNumberFormat="1" applyFont="1" applyBorder="1" applyAlignment="1">
      <alignment horizontal="center"/>
    </xf>
    <xf numFmtId="0" fontId="15" fillId="0" borderId="112" xfId="0" applyFont="1" applyBorder="1" applyAlignment="1">
      <alignment horizontal="center"/>
    </xf>
    <xf numFmtId="5" fontId="174" fillId="0" borderId="112" xfId="22" applyNumberFormat="1" applyFont="1" applyFill="1" applyBorder="1" applyAlignment="1">
      <alignment horizontal="center"/>
    </xf>
    <xf numFmtId="268" fontId="15" fillId="0" borderId="112" xfId="0" applyNumberFormat="1" applyFont="1" applyBorder="1" applyAlignment="1">
      <alignment horizontal="center"/>
    </xf>
    <xf numFmtId="270" fontId="15" fillId="0" borderId="112" xfId="0" applyNumberFormat="1" applyFont="1" applyBorder="1" applyAlignment="1">
      <alignment horizontal="center"/>
    </xf>
    <xf numFmtId="265" fontId="15" fillId="0" borderId="112" xfId="0" applyNumberFormat="1" applyFont="1" applyBorder="1" applyAlignment="1">
      <alignment horizontal="center"/>
    </xf>
    <xf numFmtId="275" fontId="15" fillId="0" borderId="112" xfId="0" applyNumberFormat="1" applyFont="1" applyBorder="1" applyAlignment="1">
      <alignment horizontal="center"/>
    </xf>
    <xf numFmtId="269" fontId="15" fillId="0" borderId="116" xfId="1" applyNumberFormat="1" applyFont="1" applyBorder="1" applyAlignment="1">
      <alignment horizontal="center"/>
    </xf>
    <xf numFmtId="5" fontId="15" fillId="0" borderId="116" xfId="22" applyNumberFormat="1" applyFont="1" applyFill="1" applyBorder="1" applyAlignment="1">
      <alignment horizontal="center"/>
    </xf>
    <xf numFmtId="273" fontId="23" fillId="3" borderId="113" xfId="0" applyNumberFormat="1" applyFont="1" applyFill="1" applyBorder="1"/>
    <xf numFmtId="3" fontId="175" fillId="35" borderId="78" xfId="0" applyNumberFormat="1" applyFont="1" applyFill="1" applyBorder="1"/>
    <xf numFmtId="180" fontId="174" fillId="0" borderId="62" xfId="0" applyNumberFormat="1" applyFont="1" applyBorder="1" applyAlignment="1">
      <alignment horizontal="right"/>
    </xf>
    <xf numFmtId="5" fontId="15" fillId="0" borderId="117" xfId="22" applyNumberFormat="1" applyFont="1" applyBorder="1"/>
    <xf numFmtId="5" fontId="23" fillId="0" borderId="65" xfId="0" applyNumberFormat="1" applyFont="1" applyBorder="1"/>
    <xf numFmtId="3" fontId="172" fillId="6" borderId="78" xfId="0" applyNumberFormat="1" applyFont="1" applyFill="1" applyBorder="1"/>
    <xf numFmtId="173" fontId="174" fillId="0" borderId="127" xfId="0" applyNumberFormat="1" applyFont="1" applyBorder="1" applyAlignment="1" applyProtection="1">
      <alignment horizontal="left"/>
      <protection locked="0"/>
    </xf>
    <xf numFmtId="5" fontId="15" fillId="0" borderId="129" xfId="22" applyNumberFormat="1" applyFont="1" applyBorder="1"/>
    <xf numFmtId="14" fontId="23" fillId="9" borderId="126" xfId="1347" applyNumberFormat="1" applyFont="1" applyFill="1" applyBorder="1"/>
    <xf numFmtId="172" fontId="175" fillId="0" borderId="112" xfId="0" applyNumberFormat="1" applyFont="1" applyBorder="1" applyAlignment="1">
      <alignment horizontal="center"/>
    </xf>
    <xf numFmtId="167" fontId="185" fillId="9" borderId="103" xfId="0" applyNumberFormat="1" applyFont="1" applyFill="1" applyBorder="1"/>
    <xf numFmtId="5" fontId="171" fillId="0" borderId="103" xfId="0" applyNumberFormat="1" applyFont="1" applyBorder="1"/>
    <xf numFmtId="0" fontId="185" fillId="0" borderId="112" xfId="0" applyFont="1" applyBorder="1"/>
    <xf numFmtId="0" fontId="185" fillId="0" borderId="110" xfId="0" applyFont="1" applyBorder="1"/>
    <xf numFmtId="0" fontId="185" fillId="0" borderId="109" xfId="0" applyFont="1" applyBorder="1"/>
    <xf numFmtId="38" fontId="185" fillId="0" borderId="110" xfId="0" applyNumberFormat="1" applyFont="1" applyBorder="1"/>
    <xf numFmtId="5" fontId="185" fillId="0" borderId="110" xfId="0" applyNumberFormat="1" applyFont="1" applyBorder="1"/>
    <xf numFmtId="5" fontId="185" fillId="0" borderId="109" xfId="0" applyNumberFormat="1" applyFont="1" applyBorder="1"/>
    <xf numFmtId="0" fontId="181" fillId="0" borderId="110" xfId="0" applyFont="1" applyBorder="1"/>
    <xf numFmtId="0" fontId="181" fillId="0" borderId="109" xfId="0" applyFont="1" applyBorder="1"/>
    <xf numFmtId="5" fontId="181" fillId="0" borderId="110" xfId="0" applyNumberFormat="1" applyFont="1" applyBorder="1"/>
    <xf numFmtId="5" fontId="181" fillId="0" borderId="109" xfId="0" applyNumberFormat="1" applyFont="1" applyBorder="1"/>
    <xf numFmtId="6" fontId="181" fillId="0" borderId="112" xfId="0" applyNumberFormat="1" applyFont="1" applyBorder="1"/>
    <xf numFmtId="0" fontId="193" fillId="0" borderId="112" xfId="0" applyFont="1" applyBorder="1"/>
    <xf numFmtId="166" fontId="181" fillId="0" borderId="112" xfId="0" applyNumberFormat="1" applyFont="1" applyBorder="1"/>
    <xf numFmtId="38" fontId="181" fillId="0" borderId="110" xfId="0" applyNumberFormat="1" applyFont="1" applyBorder="1"/>
    <xf numFmtId="0" fontId="171" fillId="0" borderId="135" xfId="0" applyFont="1" applyBorder="1"/>
    <xf numFmtId="0" fontId="181" fillId="0" borderId="136" xfId="0" applyFont="1" applyBorder="1"/>
    <xf numFmtId="0" fontId="181" fillId="0" borderId="116" xfId="0" applyFont="1" applyBorder="1"/>
    <xf numFmtId="5" fontId="175" fillId="0" borderId="103" xfId="0" applyNumberFormat="1" applyFont="1" applyBorder="1"/>
    <xf numFmtId="6" fontId="175" fillId="4" borderId="112" xfId="0" applyNumberFormat="1" applyFont="1" applyFill="1" applyBorder="1"/>
    <xf numFmtId="6" fontId="171" fillId="0" borderId="119" xfId="0" applyNumberFormat="1" applyFont="1" applyBorder="1"/>
    <xf numFmtId="166" fontId="175" fillId="4" borderId="112" xfId="0" applyNumberFormat="1" applyFont="1" applyFill="1" applyBorder="1"/>
    <xf numFmtId="5" fontId="175" fillId="0" borderId="123" xfId="0" applyNumberFormat="1" applyFont="1" applyBorder="1"/>
    <xf numFmtId="5" fontId="171" fillId="0" borderId="128" xfId="0" applyNumberFormat="1" applyFont="1" applyBorder="1"/>
    <xf numFmtId="5" fontId="171" fillId="0" borderId="107" xfId="0" applyNumberFormat="1" applyFont="1" applyBorder="1"/>
    <xf numFmtId="10" fontId="175" fillId="0" borderId="130" xfId="0" applyNumberFormat="1" applyFont="1" applyBorder="1"/>
    <xf numFmtId="0" fontId="175" fillId="4" borderId="112" xfId="0" applyFont="1" applyFill="1" applyBorder="1" applyAlignment="1">
      <alignment wrapText="1"/>
    </xf>
    <xf numFmtId="0" fontId="175" fillId="4" borderId="112" xfId="0" applyFont="1" applyFill="1" applyBorder="1" applyAlignment="1">
      <alignment horizontal="center"/>
    </xf>
    <xf numFmtId="166" fontId="171" fillId="0" borderId="111" xfId="0" applyNumberFormat="1" applyFont="1" applyBorder="1"/>
    <xf numFmtId="166" fontId="175" fillId="0" borderId="112" xfId="0" applyNumberFormat="1" applyFont="1" applyBorder="1"/>
    <xf numFmtId="38" fontId="23" fillId="0" borderId="112" xfId="22" applyNumberFormat="1" applyFont="1" applyBorder="1" applyAlignment="1">
      <alignment horizontal="center"/>
    </xf>
    <xf numFmtId="8" fontId="23" fillId="0" borderId="112" xfId="0" applyNumberFormat="1" applyFont="1" applyBorder="1" applyAlignment="1">
      <alignment horizontal="center"/>
    </xf>
    <xf numFmtId="8" fontId="23" fillId="0" borderId="112" xfId="0" applyNumberFormat="1" applyFont="1" applyBorder="1"/>
    <xf numFmtId="8" fontId="23" fillId="0" borderId="116" xfId="0" applyNumberFormat="1" applyFont="1" applyBorder="1"/>
    <xf numFmtId="3" fontId="174" fillId="0" borderId="114" xfId="0" applyNumberFormat="1" applyFont="1" applyBorder="1"/>
    <xf numFmtId="306" fontId="15" fillId="0" borderId="112" xfId="0" applyNumberFormat="1" applyFont="1" applyBorder="1" applyAlignment="1">
      <alignment horizontal="center"/>
    </xf>
    <xf numFmtId="261" fontId="174" fillId="0" borderId="116" xfId="1" applyNumberFormat="1" applyFont="1" applyBorder="1" applyAlignment="1">
      <alignment horizontal="center"/>
    </xf>
    <xf numFmtId="0" fontId="175" fillId="0" borderId="132" xfId="0" applyFont="1" applyBorder="1" applyAlignment="1">
      <alignment horizontal="left"/>
    </xf>
    <xf numFmtId="0" fontId="175" fillId="0" borderId="137" xfId="0" applyFont="1" applyBorder="1" applyAlignment="1">
      <alignment horizontal="center"/>
    </xf>
    <xf numFmtId="0" fontId="175" fillId="0" borderId="138" xfId="0" applyFont="1" applyBorder="1" applyAlignment="1">
      <alignment horizontal="center"/>
    </xf>
    <xf numFmtId="5" fontId="15" fillId="0" borderId="116" xfId="22" applyNumberFormat="1" applyFont="1" applyBorder="1"/>
    <xf numFmtId="173" fontId="174" fillId="0" borderId="123" xfId="0" applyNumberFormat="1" applyFont="1" applyBorder="1" applyAlignment="1" applyProtection="1">
      <alignment horizontal="left"/>
      <protection locked="0"/>
    </xf>
    <xf numFmtId="5" fontId="15" fillId="0" borderId="123" xfId="22" applyNumberFormat="1" applyFont="1" applyBorder="1"/>
    <xf numFmtId="37" fontId="15" fillId="0" borderId="116" xfId="22" applyNumberFormat="1" applyFont="1" applyBorder="1"/>
    <xf numFmtId="37" fontId="15" fillId="0" borderId="110" xfId="22" applyNumberFormat="1" applyFont="1" applyBorder="1"/>
    <xf numFmtId="37" fontId="15" fillId="0" borderId="139" xfId="22" applyNumberFormat="1" applyFont="1" applyBorder="1"/>
    <xf numFmtId="172" fontId="171" fillId="0" borderId="123" xfId="0" applyNumberFormat="1" applyFont="1" applyBorder="1"/>
    <xf numFmtId="172" fontId="171" fillId="0" borderId="110" xfId="0" applyNumberFormat="1" applyFont="1" applyBorder="1"/>
    <xf numFmtId="9" fontId="184" fillId="0" borderId="103" xfId="0" applyNumberFormat="1" applyFont="1" applyBorder="1"/>
    <xf numFmtId="5" fontId="171" fillId="0" borderId="108" xfId="0" applyNumberFormat="1" applyFont="1" applyBorder="1"/>
    <xf numFmtId="224" fontId="185" fillId="0" borderId="112" xfId="0" applyNumberFormat="1" applyFont="1" applyBorder="1"/>
    <xf numFmtId="0" fontId="174" fillId="0" borderId="112" xfId="0" applyFont="1" applyBorder="1"/>
    <xf numFmtId="0" fontId="174" fillId="0" borderId="110" xfId="0" applyFont="1" applyBorder="1"/>
    <xf numFmtId="7" fontId="185" fillId="0" borderId="112" xfId="0" applyNumberFormat="1" applyFont="1" applyBorder="1"/>
    <xf numFmtId="5" fontId="174" fillId="0" borderId="110" xfId="0" applyNumberFormat="1" applyFont="1" applyBorder="1"/>
    <xf numFmtId="5" fontId="185" fillId="0" borderId="111" xfId="0" applyNumberFormat="1" applyFont="1" applyBorder="1"/>
    <xf numFmtId="0" fontId="171" fillId="0" borderId="116" xfId="0" applyFont="1" applyBorder="1"/>
    <xf numFmtId="0" fontId="181" fillId="0" borderId="123" xfId="0" applyFont="1" applyBorder="1"/>
    <xf numFmtId="0" fontId="171" fillId="0" borderId="136" xfId="0" applyFont="1" applyBorder="1"/>
    <xf numFmtId="0" fontId="171" fillId="0" borderId="103" xfId="0" applyFont="1" applyBorder="1"/>
    <xf numFmtId="38" fontId="175" fillId="0" borderId="103" xfId="0" applyNumberFormat="1" applyFont="1" applyBorder="1"/>
    <xf numFmtId="0" fontId="171" fillId="4" borderId="110" xfId="0" applyFont="1" applyFill="1" applyBorder="1"/>
    <xf numFmtId="0" fontId="171" fillId="4" borderId="109" xfId="0" applyFont="1" applyFill="1" applyBorder="1"/>
    <xf numFmtId="6" fontId="171" fillId="0" borderId="120" xfId="0" applyNumberFormat="1" applyFont="1" applyBorder="1"/>
    <xf numFmtId="0" fontId="171" fillId="4" borderId="123" xfId="0" applyFont="1" applyFill="1" applyBorder="1"/>
    <xf numFmtId="6" fontId="171" fillId="4" borderId="123" xfId="0" applyNumberFormat="1" applyFont="1" applyFill="1" applyBorder="1"/>
    <xf numFmtId="0" fontId="171" fillId="4" borderId="107" xfId="0" applyFont="1" applyFill="1" applyBorder="1"/>
    <xf numFmtId="0" fontId="171" fillId="4" borderId="103" xfId="0" applyFont="1" applyFill="1" applyBorder="1"/>
    <xf numFmtId="5" fontId="171" fillId="0" borderId="132" xfId="0" applyNumberFormat="1" applyFont="1" applyBorder="1"/>
    <xf numFmtId="5" fontId="171" fillId="0" borderId="119" xfId="0" applyNumberFormat="1" applyFont="1" applyBorder="1"/>
    <xf numFmtId="0" fontId="175" fillId="4" borderId="111" xfId="0" applyFont="1" applyFill="1" applyBorder="1" applyAlignment="1">
      <alignment horizontal="center"/>
    </xf>
    <xf numFmtId="6" fontId="171" fillId="0" borderId="128" xfId="0" applyNumberFormat="1" applyFont="1" applyBorder="1"/>
    <xf numFmtId="5" fontId="171" fillId="0" borderId="109" xfId="0" applyNumberFormat="1" applyFont="1" applyBorder="1"/>
    <xf numFmtId="5" fontId="175" fillId="0" borderId="110" xfId="0" applyNumberFormat="1" applyFont="1" applyBorder="1"/>
    <xf numFmtId="0" fontId="175" fillId="4" borderId="108" xfId="0" applyFont="1" applyFill="1" applyBorder="1" applyAlignment="1">
      <alignment horizontal="center"/>
    </xf>
    <xf numFmtId="0" fontId="171" fillId="4" borderId="111" xfId="0" applyFont="1" applyFill="1" applyBorder="1"/>
    <xf numFmtId="6" fontId="171" fillId="0" borderId="111" xfId="0" applyNumberFormat="1" applyFont="1" applyBorder="1"/>
    <xf numFmtId="6" fontId="175" fillId="0" borderId="112" xfId="0" applyNumberFormat="1" applyFont="1" applyBorder="1"/>
    <xf numFmtId="167" fontId="173" fillId="0" borderId="112" xfId="1" applyNumberFormat="1" applyFont="1" applyBorder="1"/>
    <xf numFmtId="38" fontId="174" fillId="0" borderId="112" xfId="22" applyNumberFormat="1" applyFont="1" applyBorder="1" applyAlignment="1">
      <alignment horizontal="center"/>
    </xf>
    <xf numFmtId="8" fontId="174" fillId="0" borderId="112" xfId="0" applyNumberFormat="1" applyFont="1" applyBorder="1" applyAlignment="1">
      <alignment horizontal="center"/>
    </xf>
    <xf numFmtId="38" fontId="174" fillId="0" borderId="65" xfId="22" applyNumberFormat="1" applyFont="1" applyBorder="1" applyAlignment="1">
      <alignment horizontal="center"/>
    </xf>
    <xf numFmtId="175" fontId="172" fillId="8" borderId="90" xfId="0" applyNumberFormat="1" applyFont="1" applyFill="1" applyBorder="1" applyAlignment="1">
      <alignment horizontal="center"/>
    </xf>
    <xf numFmtId="6" fontId="15" fillId="0" borderId="112" xfId="22" applyNumberFormat="1" applyFont="1" applyBorder="1" applyAlignment="1">
      <alignment horizontal="center"/>
    </xf>
    <xf numFmtId="289" fontId="15" fillId="0" borderId="112" xfId="0" applyNumberFormat="1" applyFont="1" applyBorder="1" applyAlignment="1">
      <alignment horizontal="center"/>
    </xf>
    <xf numFmtId="262" fontId="174" fillId="0" borderId="112" xfId="0" applyNumberFormat="1" applyFont="1" applyBorder="1" applyAlignment="1">
      <alignment horizontal="center"/>
    </xf>
    <xf numFmtId="297" fontId="15" fillId="0" borderId="112" xfId="0" applyNumberFormat="1" applyFont="1" applyBorder="1" applyAlignment="1">
      <alignment horizontal="center"/>
    </xf>
    <xf numFmtId="10" fontId="15" fillId="0" borderId="112" xfId="0" applyNumberFormat="1" applyFont="1" applyBorder="1" applyAlignment="1">
      <alignment horizontal="center"/>
    </xf>
    <xf numFmtId="290" fontId="15" fillId="0" borderId="112" xfId="0" applyNumberFormat="1" applyFont="1" applyBorder="1" applyAlignment="1">
      <alignment horizontal="center"/>
    </xf>
    <xf numFmtId="265" fontId="174" fillId="0" borderId="112" xfId="0" applyNumberFormat="1" applyFont="1" applyBorder="1" applyAlignment="1">
      <alignment horizontal="center"/>
    </xf>
    <xf numFmtId="275" fontId="174" fillId="0" borderId="112" xfId="0" applyNumberFormat="1" applyFont="1" applyBorder="1" applyAlignment="1">
      <alignment horizontal="center"/>
    </xf>
    <xf numFmtId="269" fontId="23" fillId="0" borderId="116" xfId="1" applyNumberFormat="1" applyFont="1" applyBorder="1" applyAlignment="1">
      <alignment horizontal="center"/>
    </xf>
    <xf numFmtId="175" fontId="175" fillId="35" borderId="78" xfId="0" applyNumberFormat="1" applyFont="1" applyFill="1" applyBorder="1"/>
    <xf numFmtId="175" fontId="172" fillId="6" borderId="75" xfId="0" applyNumberFormat="1" applyFont="1" applyFill="1" applyBorder="1"/>
    <xf numFmtId="5" fontId="171" fillId="0" borderId="112" xfId="0" applyNumberFormat="1" applyFont="1" applyBorder="1" applyAlignment="1">
      <alignment horizontal="center"/>
    </xf>
    <xf numFmtId="5" fontId="15" fillId="0" borderId="116" xfId="0" applyNumberFormat="1" applyFont="1" applyBorder="1"/>
    <xf numFmtId="5" fontId="175" fillId="4" borderId="110" xfId="0" applyNumberFormat="1" applyFont="1" applyFill="1" applyBorder="1"/>
    <xf numFmtId="3" fontId="174" fillId="0" borderId="112" xfId="14" applyNumberFormat="1" applyFont="1" applyBorder="1" applyAlignment="1">
      <alignment horizontal="center"/>
    </xf>
    <xf numFmtId="8" fontId="174" fillId="0" borderId="112" xfId="0" applyNumberFormat="1" applyFont="1" applyBorder="1"/>
    <xf numFmtId="3" fontId="174" fillId="0" borderId="116" xfId="14" applyNumberFormat="1" applyFont="1" applyBorder="1" applyAlignment="1">
      <alignment horizontal="center"/>
    </xf>
    <xf numFmtId="8" fontId="174" fillId="0" borderId="116" xfId="0" applyNumberFormat="1" applyFont="1" applyBorder="1"/>
    <xf numFmtId="298" fontId="15" fillId="0" borderId="112" xfId="1" applyNumberFormat="1" applyFont="1" applyBorder="1" applyAlignment="1">
      <alignment horizontal="center"/>
    </xf>
    <xf numFmtId="6" fontId="181" fillId="0" borderId="110" xfId="0" applyNumberFormat="1" applyFont="1" applyBorder="1"/>
    <xf numFmtId="166" fontId="171" fillId="4" borderId="123" xfId="0" applyNumberFormat="1" applyFont="1" applyFill="1" applyBorder="1"/>
    <xf numFmtId="178" fontId="15" fillId="0" borderId="112" xfId="0" applyNumberFormat="1" applyFont="1" applyBorder="1" applyAlignment="1">
      <alignment horizontal="left"/>
    </xf>
    <xf numFmtId="3" fontId="15" fillId="0" borderId="114" xfId="0" applyNumberFormat="1" applyFont="1" applyBorder="1"/>
    <xf numFmtId="166" fontId="181" fillId="0" borderId="112" xfId="18" applyNumberFormat="1" applyFont="1" applyBorder="1"/>
    <xf numFmtId="0" fontId="175" fillId="0" borderId="112" xfId="0" applyFont="1" applyBorder="1" applyAlignment="1">
      <alignment horizontal="right"/>
    </xf>
    <xf numFmtId="172" fontId="175" fillId="0" borderId="112" xfId="0" applyNumberFormat="1" applyFont="1" applyBorder="1" applyAlignment="1">
      <alignment horizontal="right"/>
    </xf>
    <xf numFmtId="10" fontId="171" fillId="0" borderId="112" xfId="0" applyNumberFormat="1" applyFont="1" applyBorder="1"/>
    <xf numFmtId="10" fontId="175" fillId="0" borderId="112" xfId="0" applyNumberFormat="1" applyFont="1" applyBorder="1"/>
    <xf numFmtId="10" fontId="171" fillId="4" borderId="112" xfId="0" applyNumberFormat="1" applyFont="1" applyFill="1" applyBorder="1"/>
  </cellXfs>
  <cellStyles count="1361">
    <cellStyle name="$ 0 decimal" xfId="131" xr:uid="{00000000-0005-0000-0000-00009F020000}"/>
    <cellStyle name="$ 1 decimal" xfId="132" xr:uid="{00000000-0005-0000-0000-0000A0020000}"/>
    <cellStyle name="$ 2 decimals" xfId="133" xr:uid="{00000000-0005-0000-0000-0000A1020000}"/>
    <cellStyle name="_%(SignOnly)" xfId="134" xr:uid="{00000000-0005-0000-0000-000000000000}"/>
    <cellStyle name="_%(SignSpaceOnly)" xfId="135" xr:uid="{00000000-0005-0000-0000-000001000000}"/>
    <cellStyle name="_%(SignSpaceOnly)_ControlTables" xfId="136" xr:uid="{00000000-0005-0000-0000-000002000000}"/>
    <cellStyle name="_%(SignSpaceOnly)_ControlTablesI" xfId="137" xr:uid="{00000000-0005-0000-0000-000003000000}"/>
    <cellStyle name="_%(SignSpaceOnly)_Database - Comparables" xfId="138" xr:uid="{00000000-0005-0000-0000-000004000000}"/>
    <cellStyle name="_%(SignSpaceOnly)_DB_Eye" xfId="139" xr:uid="{00000000-0005-0000-0000-000005000000}"/>
    <cellStyle name="_%(SignSpaceOnly)_Exec Summary" xfId="140" xr:uid="{00000000-0005-0000-0000-000006000000}"/>
    <cellStyle name="_%(SignSpaceOnly)_Exec Summary_1" xfId="141" xr:uid="{00000000-0005-0000-0000-000007000000}"/>
    <cellStyle name="_%(SignSpaceOnly)_Sheet1" xfId="142" xr:uid="{00000000-0005-0000-0000-000008000000}"/>
    <cellStyle name="_ARI Base Case July 25 TPS1" xfId="143" xr:uid="{00000000-0005-0000-0000-000009000000}"/>
    <cellStyle name="_Comma" xfId="144" xr:uid="{00000000-0005-0000-0000-00000A000000}"/>
    <cellStyle name="_Comma_3-Yr Eyechart" xfId="145" xr:uid="{00000000-0005-0000-0000-00000B000000}"/>
    <cellStyle name="_Comma_Asset Comparisons" xfId="146" xr:uid="{00000000-0005-0000-0000-00000C000000}"/>
    <cellStyle name="_Comma_Balance Sheet" xfId="147" xr:uid="{00000000-0005-0000-0000-00000D000000}"/>
    <cellStyle name="_Comma_Balance Sheet_ControlTables" xfId="148" xr:uid="{00000000-0005-0000-0000-00000E000000}"/>
    <cellStyle name="_Comma_Balance Sheet_ControlTablesI" xfId="149" xr:uid="{00000000-0005-0000-0000-00000F000000}"/>
    <cellStyle name="_Comma_Balance Sheet_Database - Comparables" xfId="150" xr:uid="{00000000-0005-0000-0000-000010000000}"/>
    <cellStyle name="_Comma_Balance Sheet_DB_Eye" xfId="151" xr:uid="{00000000-0005-0000-0000-000011000000}"/>
    <cellStyle name="_Comma_Balance Sheet_Exec Summary" xfId="152" xr:uid="{00000000-0005-0000-0000-000012000000}"/>
    <cellStyle name="_Comma_Balance Sheet_Existing Debt" xfId="153" xr:uid="{00000000-0005-0000-0000-000013000000}"/>
    <cellStyle name="_Comma_Balance Sheet_Kor-Port_LEQ_6-10-04_CR_Final-Struct_FINAL" xfId="154" xr:uid="{00000000-0005-0000-0000-000014000000}"/>
    <cellStyle name="_Comma_Balance Sheet_Mallard's_Landing_LEQ_8-17-04" xfId="155" xr:uid="{00000000-0005-0000-0000-000015000000}"/>
    <cellStyle name="_Comma_Balance Sheet_Quick Property Input" xfId="156" xr:uid="{00000000-0005-0000-0000-000016000000}"/>
    <cellStyle name="_Comma_Balance Sheet_Sheet1" xfId="157" xr:uid="{00000000-0005-0000-0000-000017000000}"/>
    <cellStyle name="_Comma_Balance Sheet_Sheet1_Data Tape" xfId="158" xr:uid="{00000000-0005-0000-0000-000018000000}"/>
    <cellStyle name="_Comma_Balance Sheet_Sheet1_Deal Assumptions" xfId="159" xr:uid="{00000000-0005-0000-0000-000019000000}"/>
    <cellStyle name="_Comma_Balance Sheet_Sheet1_RE Valuation 2" xfId="160" xr:uid="{00000000-0005-0000-0000-00001A000000}"/>
    <cellStyle name="_Comma_Balance Sheet_Sheet2" xfId="161" xr:uid="{00000000-0005-0000-0000-00001B000000}"/>
    <cellStyle name="_Comma_ControlTables" xfId="162" xr:uid="{00000000-0005-0000-0000-00001C000000}"/>
    <cellStyle name="_Comma_ControlTablesI" xfId="163" xr:uid="{00000000-0005-0000-0000-00001D000000}"/>
    <cellStyle name="_Comma_Cost Of Funds" xfId="164" xr:uid="{00000000-0005-0000-0000-00001E000000}"/>
    <cellStyle name="_Comma_Criteria" xfId="165" xr:uid="{00000000-0005-0000-0000-00001F000000}"/>
    <cellStyle name="_Comma_Criteria Test Export" xfId="166" xr:uid="{00000000-0005-0000-0000-000020000000}"/>
    <cellStyle name="_Comma_Criteria_ControlTables" xfId="167" xr:uid="{00000000-0005-0000-0000-000021000000}"/>
    <cellStyle name="_Comma_Criteria_ControlTablesI" xfId="168" xr:uid="{00000000-0005-0000-0000-000022000000}"/>
    <cellStyle name="_Comma_Criteria_Database - Comparables" xfId="169" xr:uid="{00000000-0005-0000-0000-000023000000}"/>
    <cellStyle name="_Comma_Criteria_DB_Eye" xfId="170" xr:uid="{00000000-0005-0000-0000-000024000000}"/>
    <cellStyle name="_Comma_Criteria_Exec Summary" xfId="171" xr:uid="{00000000-0005-0000-0000-000025000000}"/>
    <cellStyle name="_Comma_Criteria_Existing Debt" xfId="172" xr:uid="{00000000-0005-0000-0000-000026000000}"/>
    <cellStyle name="_Comma_Criteria_Kor-Port_LEQ_6-10-04_CR_Final-Struct_FINAL" xfId="173" xr:uid="{00000000-0005-0000-0000-000027000000}"/>
    <cellStyle name="_Comma_Criteria_Mallard's_Landing_LEQ_8-17-04" xfId="174" xr:uid="{00000000-0005-0000-0000-000028000000}"/>
    <cellStyle name="_Comma_Criteria_Quick Property Input" xfId="175" xr:uid="{00000000-0005-0000-0000-000029000000}"/>
    <cellStyle name="_Comma_Criteria_Sheet1" xfId="176" xr:uid="{00000000-0005-0000-0000-00002A000000}"/>
    <cellStyle name="_Comma_Criteria_Sheet1_Data Tape" xfId="177" xr:uid="{00000000-0005-0000-0000-00002B000000}"/>
    <cellStyle name="_Comma_Criteria_Sheet1_Deal Assumptions" xfId="178" xr:uid="{00000000-0005-0000-0000-00002C000000}"/>
    <cellStyle name="_Comma_Criteria_Sheet1_RE Valuation 2" xfId="179" xr:uid="{00000000-0005-0000-0000-00002D000000}"/>
    <cellStyle name="_Comma_Criteria_Sheet2" xfId="180" xr:uid="{00000000-0005-0000-0000-00002E000000}"/>
    <cellStyle name="_Comma_Data Tape" xfId="181" xr:uid="{00000000-0005-0000-0000-00002F000000}"/>
    <cellStyle name="_Comma_Data Tape_1" xfId="182" xr:uid="{00000000-0005-0000-0000-000030000000}"/>
    <cellStyle name="_Comma_Data Tape_ControlTables" xfId="183" xr:uid="{00000000-0005-0000-0000-000031000000}"/>
    <cellStyle name="_Comma_Data Tape_ControlTablesI" xfId="184" xr:uid="{00000000-0005-0000-0000-000032000000}"/>
    <cellStyle name="_Comma_Data Tape_Database - Comparables" xfId="185" xr:uid="{00000000-0005-0000-0000-000033000000}"/>
    <cellStyle name="_Comma_Data Tape_DB_Eye" xfId="186" xr:uid="{00000000-0005-0000-0000-000034000000}"/>
    <cellStyle name="_Comma_Data Tape_Exec Summary" xfId="187" xr:uid="{00000000-0005-0000-0000-000035000000}"/>
    <cellStyle name="_Comma_Data Tape_Existing Debt" xfId="188" xr:uid="{00000000-0005-0000-0000-000036000000}"/>
    <cellStyle name="_Comma_Data Tape_Kor-Port_LEQ_6-10-04_CR_Final-Struct_FINAL" xfId="189" xr:uid="{00000000-0005-0000-0000-000037000000}"/>
    <cellStyle name="_Comma_Data Tape_Mallard's_Landing_LEQ_8-17-04" xfId="190" xr:uid="{00000000-0005-0000-0000-000038000000}"/>
    <cellStyle name="_Comma_Data Tape_Quick Property Input" xfId="191" xr:uid="{00000000-0005-0000-0000-000039000000}"/>
    <cellStyle name="_Comma_Data Tape_Sheet1" xfId="192" xr:uid="{00000000-0005-0000-0000-00003A000000}"/>
    <cellStyle name="_Comma_Data Tape_Sheet1_Data Tape" xfId="193" xr:uid="{00000000-0005-0000-0000-00003B000000}"/>
    <cellStyle name="_Comma_Data Tape_Sheet1_Deal Assumptions" xfId="194" xr:uid="{00000000-0005-0000-0000-00003C000000}"/>
    <cellStyle name="_Comma_Data Tape_Sheet1_RE Valuation 2" xfId="195" xr:uid="{00000000-0005-0000-0000-00003D000000}"/>
    <cellStyle name="_Comma_Data Tape_Sheet2" xfId="196" xr:uid="{00000000-0005-0000-0000-00003E000000}"/>
    <cellStyle name="_Comma_Data_Tape" xfId="197" xr:uid="{00000000-0005-0000-0000-00003F000000}"/>
    <cellStyle name="_Comma_Database - Comparables" xfId="198" xr:uid="{00000000-0005-0000-0000-000040000000}"/>
    <cellStyle name="_Comma_Database - Economics" xfId="199" xr:uid="{00000000-0005-0000-0000-000041000000}"/>
    <cellStyle name="_Comma_DB Eye" xfId="200" xr:uid="{00000000-0005-0000-0000-000042000000}"/>
    <cellStyle name="_Comma_DB_Eye" xfId="201" xr:uid="{00000000-0005-0000-0000-000043000000}"/>
    <cellStyle name="_Comma_Deal Input" xfId="202" xr:uid="{00000000-0005-0000-0000-000044000000}"/>
    <cellStyle name="_Comma_Direct Cap Eye" xfId="203" xr:uid="{00000000-0005-0000-0000-000045000000}"/>
    <cellStyle name="_Comma_DPEM2005_vBetatest6" xfId="204" xr:uid="{00000000-0005-0000-0000-000046000000}"/>
    <cellStyle name="_Comma_ETR" xfId="205" xr:uid="{00000000-0005-0000-0000-000047000000}"/>
    <cellStyle name="_Comma_Exec Summary" xfId="206" xr:uid="{00000000-0005-0000-0000-000048000000}"/>
    <cellStyle name="_Comma_Existing Debt" xfId="207" xr:uid="{00000000-0005-0000-0000-000049000000}"/>
    <cellStyle name="_Comma_EyeChart" xfId="208" xr:uid="{00000000-0005-0000-0000-00004A000000}"/>
    <cellStyle name="_Comma_EyeChart 090503" xfId="209" xr:uid="{00000000-0005-0000-0000-00004B000000}"/>
    <cellStyle name="_Comma_Input" xfId="210" xr:uid="{00000000-0005-0000-0000-00004C000000}"/>
    <cellStyle name="_Comma_Input_1" xfId="211" xr:uid="{00000000-0005-0000-0000-00004D000000}"/>
    <cellStyle name="_Comma_Input_ControlTables" xfId="212" xr:uid="{00000000-0005-0000-0000-00004E000000}"/>
    <cellStyle name="_Comma_Input_ControlTablesI" xfId="213" xr:uid="{00000000-0005-0000-0000-00004F000000}"/>
    <cellStyle name="_Comma_Input_Data Tape" xfId="214" xr:uid="{00000000-0005-0000-0000-000050000000}"/>
    <cellStyle name="_Comma_Input_Database - Comparables" xfId="215" xr:uid="{00000000-0005-0000-0000-000051000000}"/>
    <cellStyle name="_Comma_Input_Database - Economics" xfId="216" xr:uid="{00000000-0005-0000-0000-000052000000}"/>
    <cellStyle name="_Comma_Input_DB_Eye" xfId="217" xr:uid="{00000000-0005-0000-0000-000053000000}"/>
    <cellStyle name="_Comma_Input_Exec Summary" xfId="218" xr:uid="{00000000-0005-0000-0000-000054000000}"/>
    <cellStyle name="_Comma_Input_Existing Debt" xfId="219" xr:uid="{00000000-0005-0000-0000-000055000000}"/>
    <cellStyle name="_Comma_Input_Kor-Port_LEQ_6-10-04_CR_Final-Struct_FINAL" xfId="220" xr:uid="{00000000-0005-0000-0000-000056000000}"/>
    <cellStyle name="_Comma_Input_Mallard's_Landing_LEQ_8-17-04" xfId="221" xr:uid="{00000000-0005-0000-0000-000057000000}"/>
    <cellStyle name="_Comma_Input_Quick Property Input" xfId="222" xr:uid="{00000000-0005-0000-0000-000058000000}"/>
    <cellStyle name="_Comma_Input_Sheet1" xfId="223" xr:uid="{00000000-0005-0000-0000-000059000000}"/>
    <cellStyle name="_Comma_Input_Sheet1_Data Tape" xfId="224" xr:uid="{00000000-0005-0000-0000-00005A000000}"/>
    <cellStyle name="_Comma_Input_Sheet1_Deal Assumptions" xfId="225" xr:uid="{00000000-0005-0000-0000-00005B000000}"/>
    <cellStyle name="_Comma_Input_Sheet1_RE Valuation 2" xfId="226" xr:uid="{00000000-0005-0000-0000-00005C000000}"/>
    <cellStyle name="_Comma_Input_Sheet2" xfId="227" xr:uid="{00000000-0005-0000-0000-00005D000000}"/>
    <cellStyle name="_Comma_JV Economics" xfId="228" xr:uid="{00000000-0005-0000-0000-00005E000000}"/>
    <cellStyle name="_Comma_M&amp;A Feed" xfId="229" xr:uid="{00000000-0005-0000-0000-00005F000000}"/>
    <cellStyle name="_Comma_NPV Case Eyechart" xfId="230" xr:uid="{00000000-0005-0000-0000-000060000000}"/>
    <cellStyle name="_Comma_Pools" xfId="231" xr:uid="{00000000-0005-0000-0000-000061000000}"/>
    <cellStyle name="_Comma_Pools_1" xfId="232" xr:uid="{00000000-0005-0000-0000-000062000000}"/>
    <cellStyle name="_Comma_Portfolio Valuation" xfId="233" xr:uid="{00000000-0005-0000-0000-000063000000}"/>
    <cellStyle name="_Comma_Pricing" xfId="234" xr:uid="{00000000-0005-0000-0000-000064000000}"/>
    <cellStyle name="_Comma_Prop 13" xfId="235" xr:uid="{00000000-0005-0000-0000-000065000000}"/>
    <cellStyle name="_Comma_Prop 13 Data" xfId="236" xr:uid="{00000000-0005-0000-0000-000066000000}"/>
    <cellStyle name="_Comma_Prop 13 Summary-11-10" xfId="237" xr:uid="{00000000-0005-0000-0000-000067000000}"/>
    <cellStyle name="_Comma_Property Assumptions" xfId="238" xr:uid="{00000000-0005-0000-0000-000068000000}"/>
    <cellStyle name="_Comma_Property Assumptions_1" xfId="239" xr:uid="{00000000-0005-0000-0000-000069000000}"/>
    <cellStyle name="_Comma_Quick Property Input" xfId="240" xr:uid="{00000000-0005-0000-0000-00006A000000}"/>
    <cellStyle name="_Comma_Senario Input Assumptions" xfId="241" xr:uid="{00000000-0005-0000-0000-00006B000000}"/>
    <cellStyle name="_Comma_Senario Input Assumptions_ControlTables" xfId="242" xr:uid="{00000000-0005-0000-0000-00006C000000}"/>
    <cellStyle name="_Comma_Senario Input Assumptions_ControlTablesI" xfId="243" xr:uid="{00000000-0005-0000-0000-00006D000000}"/>
    <cellStyle name="_Comma_Senario Input Assumptions_Database - Comparables" xfId="244" xr:uid="{00000000-0005-0000-0000-00006E000000}"/>
    <cellStyle name="_Comma_Senario Input Assumptions_DB_Eye" xfId="245" xr:uid="{00000000-0005-0000-0000-00006F000000}"/>
    <cellStyle name="_Comma_Senario Input Assumptions_Exec Summary" xfId="246" xr:uid="{00000000-0005-0000-0000-000070000000}"/>
    <cellStyle name="_Comma_Senario Input Assumptions_Existing Debt" xfId="247" xr:uid="{00000000-0005-0000-0000-000071000000}"/>
    <cellStyle name="_Comma_Senario Input Assumptions_Kor-Port_LEQ_6-10-04_CR_Final-Struct_FINAL" xfId="248" xr:uid="{00000000-0005-0000-0000-000072000000}"/>
    <cellStyle name="_Comma_Senario Input Assumptions_Mallard's_Landing_LEQ_8-17-04" xfId="249" xr:uid="{00000000-0005-0000-0000-000073000000}"/>
    <cellStyle name="_Comma_Senario Input Assumptions_Quick Property Input" xfId="250" xr:uid="{00000000-0005-0000-0000-000074000000}"/>
    <cellStyle name="_Comma_Senario Input Assumptions_Sheet1" xfId="251" xr:uid="{00000000-0005-0000-0000-000075000000}"/>
    <cellStyle name="_Comma_Senario Input Assumptions_Sheet1_Data Tape" xfId="252" xr:uid="{00000000-0005-0000-0000-000076000000}"/>
    <cellStyle name="_Comma_Senario Input Assumptions_Sheet1_Deal Assumptions" xfId="253" xr:uid="{00000000-0005-0000-0000-000077000000}"/>
    <cellStyle name="_Comma_Senario Input Assumptions_Sheet1_RE Valuation 2" xfId="254" xr:uid="{00000000-0005-0000-0000-000078000000}"/>
    <cellStyle name="_Comma_Senario Input Assumptions_Sheet2" xfId="255" xr:uid="{00000000-0005-0000-0000-000079000000}"/>
    <cellStyle name="_Comma_Sheet1" xfId="256" xr:uid="{00000000-0005-0000-0000-00007A000000}"/>
    <cellStyle name="_Comma_Sheet1_1" xfId="257" xr:uid="{00000000-0005-0000-0000-00007B000000}"/>
    <cellStyle name="_Comma_Sheet1_3-Yr Eyechart" xfId="258" xr:uid="{00000000-0005-0000-0000-00007C000000}"/>
    <cellStyle name="_Comma_Sheet1_Balance Sheet" xfId="259" xr:uid="{00000000-0005-0000-0000-00007D000000}"/>
    <cellStyle name="_Comma_Sheet1_Cost Of Funds" xfId="260" xr:uid="{00000000-0005-0000-0000-00007E000000}"/>
    <cellStyle name="_Comma_Sheet1_Criteria" xfId="261" xr:uid="{00000000-0005-0000-0000-00007F000000}"/>
    <cellStyle name="_Comma_Sheet1_Criteria Test Export" xfId="262" xr:uid="{00000000-0005-0000-0000-000080000000}"/>
    <cellStyle name="_Comma_Sheet1_Data Tape" xfId="263" xr:uid="{00000000-0005-0000-0000-000081000000}"/>
    <cellStyle name="_Comma_Sheet1_Data Tape_1" xfId="264" xr:uid="{00000000-0005-0000-0000-000082000000}"/>
    <cellStyle name="_Comma_Sheet1_Data_Tape" xfId="265" xr:uid="{00000000-0005-0000-0000-000083000000}"/>
    <cellStyle name="_Comma_Sheet1_Data_Tape_ControlTables" xfId="266" xr:uid="{00000000-0005-0000-0000-000084000000}"/>
    <cellStyle name="_Comma_Sheet1_Data_Tape_ControlTablesI" xfId="267" xr:uid="{00000000-0005-0000-0000-000085000000}"/>
    <cellStyle name="_Comma_Sheet1_Data_Tape_Database - Comparables" xfId="268" xr:uid="{00000000-0005-0000-0000-000086000000}"/>
    <cellStyle name="_Comma_Sheet1_Data_Tape_DB_Eye" xfId="269" xr:uid="{00000000-0005-0000-0000-000087000000}"/>
    <cellStyle name="_Comma_Sheet1_Data_Tape_Exec Summary" xfId="270" xr:uid="{00000000-0005-0000-0000-000088000000}"/>
    <cellStyle name="_Comma_Sheet1_Data_Tape_Existing Debt" xfId="271" xr:uid="{00000000-0005-0000-0000-000089000000}"/>
    <cellStyle name="_Comma_Sheet1_Data_Tape_Kor-Port_LEQ_6-10-04_CR_Final-Struct_FINAL" xfId="272" xr:uid="{00000000-0005-0000-0000-00008A000000}"/>
    <cellStyle name="_Comma_Sheet1_Data_Tape_Mallard's_Landing_LEQ_8-17-04" xfId="273" xr:uid="{00000000-0005-0000-0000-00008B000000}"/>
    <cellStyle name="_Comma_Sheet1_Data_Tape_Quick Property Input" xfId="274" xr:uid="{00000000-0005-0000-0000-00008C000000}"/>
    <cellStyle name="_Comma_Sheet1_Data_Tape_Sheet1" xfId="275" xr:uid="{00000000-0005-0000-0000-00008D000000}"/>
    <cellStyle name="_Comma_Sheet1_Data_Tape_Sheet1_Data Tape" xfId="276" xr:uid="{00000000-0005-0000-0000-00008E000000}"/>
    <cellStyle name="_Comma_Sheet1_Data_Tape_Sheet1_Deal Assumptions" xfId="277" xr:uid="{00000000-0005-0000-0000-00008F000000}"/>
    <cellStyle name="_Comma_Sheet1_Data_Tape_Sheet1_RE Valuation 2" xfId="278" xr:uid="{00000000-0005-0000-0000-000090000000}"/>
    <cellStyle name="_Comma_Sheet1_Data_Tape_Sheet2" xfId="279" xr:uid="{00000000-0005-0000-0000-000091000000}"/>
    <cellStyle name="_Comma_Sheet1_Database - Economics" xfId="280" xr:uid="{00000000-0005-0000-0000-000092000000}"/>
    <cellStyle name="_Comma_Sheet1_Deal Input" xfId="281" xr:uid="{00000000-0005-0000-0000-000093000000}"/>
    <cellStyle name="_Comma_Sheet1_Direct Cap Eye" xfId="282" xr:uid="{00000000-0005-0000-0000-000094000000}"/>
    <cellStyle name="_Comma_Sheet1_DPEM2005_vBetatest6" xfId="283" xr:uid="{00000000-0005-0000-0000-000095000000}"/>
    <cellStyle name="_Comma_Sheet1_ETR" xfId="284" xr:uid="{00000000-0005-0000-0000-000096000000}"/>
    <cellStyle name="_Comma_Sheet1_Existing Debt" xfId="285" xr:uid="{00000000-0005-0000-0000-000097000000}"/>
    <cellStyle name="_Comma_Sheet1_Input" xfId="286" xr:uid="{00000000-0005-0000-0000-000098000000}"/>
    <cellStyle name="_Comma_Sheet1_Input_1" xfId="287" xr:uid="{00000000-0005-0000-0000-000099000000}"/>
    <cellStyle name="_Comma_Sheet1_Input_Data Tape" xfId="288" xr:uid="{00000000-0005-0000-0000-00009A000000}"/>
    <cellStyle name="_Comma_Sheet1_Input_Database - Economics" xfId="289" xr:uid="{00000000-0005-0000-0000-00009B000000}"/>
    <cellStyle name="_Comma_Sheet1_M&amp;A Feed" xfId="290" xr:uid="{00000000-0005-0000-0000-00009C000000}"/>
    <cellStyle name="_Comma_Sheet1_NPV Case Eyechart" xfId="291" xr:uid="{00000000-0005-0000-0000-00009D000000}"/>
    <cellStyle name="_Comma_Sheet1_Pools" xfId="292" xr:uid="{00000000-0005-0000-0000-00009E000000}"/>
    <cellStyle name="_Comma_Sheet1_Pools_1" xfId="293" xr:uid="{00000000-0005-0000-0000-00009F000000}"/>
    <cellStyle name="_Comma_Sheet1_Pools_ControlTables" xfId="294" xr:uid="{00000000-0005-0000-0000-0000A0000000}"/>
    <cellStyle name="_Comma_Sheet1_Pools_ControlTablesI" xfId="295" xr:uid="{00000000-0005-0000-0000-0000A1000000}"/>
    <cellStyle name="_Comma_Sheet1_Pools_Database - Comparables" xfId="296" xr:uid="{00000000-0005-0000-0000-0000A2000000}"/>
    <cellStyle name="_Comma_Sheet1_Pools_DB_Eye" xfId="297" xr:uid="{00000000-0005-0000-0000-0000A3000000}"/>
    <cellStyle name="_Comma_Sheet1_Pools_Exec Summary" xfId="298" xr:uid="{00000000-0005-0000-0000-0000A4000000}"/>
    <cellStyle name="_Comma_Sheet1_Pools_Existing Debt" xfId="299" xr:uid="{00000000-0005-0000-0000-0000A5000000}"/>
    <cellStyle name="_Comma_Sheet1_Pools_Kor-Port_LEQ_6-10-04_CR_Final-Struct_FINAL" xfId="300" xr:uid="{00000000-0005-0000-0000-0000A6000000}"/>
    <cellStyle name="_Comma_Sheet1_Pools_Mallard's_Landing_LEQ_8-17-04" xfId="301" xr:uid="{00000000-0005-0000-0000-0000A7000000}"/>
    <cellStyle name="_Comma_Sheet1_Pools_Quick Property Input" xfId="302" xr:uid="{00000000-0005-0000-0000-0000A8000000}"/>
    <cellStyle name="_Comma_Sheet1_Pools_Sheet1" xfId="303" xr:uid="{00000000-0005-0000-0000-0000A9000000}"/>
    <cellStyle name="_Comma_Sheet1_Pools_Sheet1_Data Tape" xfId="304" xr:uid="{00000000-0005-0000-0000-0000AA000000}"/>
    <cellStyle name="_Comma_Sheet1_Pools_Sheet1_Deal Assumptions" xfId="305" xr:uid="{00000000-0005-0000-0000-0000AB000000}"/>
    <cellStyle name="_Comma_Sheet1_Pools_Sheet1_RE Valuation 2" xfId="306" xr:uid="{00000000-0005-0000-0000-0000AC000000}"/>
    <cellStyle name="_Comma_Sheet1_Pools_Sheet2" xfId="307" xr:uid="{00000000-0005-0000-0000-0000AD000000}"/>
    <cellStyle name="_Comma_Sheet1_Portfolio Valuation" xfId="308" xr:uid="{00000000-0005-0000-0000-0000AE000000}"/>
    <cellStyle name="_Comma_Sheet1_Prop 13" xfId="309" xr:uid="{00000000-0005-0000-0000-0000AF000000}"/>
    <cellStyle name="_Comma_Sheet1_Prop 13 Data" xfId="310" xr:uid="{00000000-0005-0000-0000-0000B0000000}"/>
    <cellStyle name="_Comma_Sheet1_Prop 13 Summary-11-10" xfId="311" xr:uid="{00000000-0005-0000-0000-0000B1000000}"/>
    <cellStyle name="_Comma_Sheet1_Property Assumptions" xfId="312" xr:uid="{00000000-0005-0000-0000-0000B2000000}"/>
    <cellStyle name="_Comma_Sheet1_Property Assumptions_1" xfId="313" xr:uid="{00000000-0005-0000-0000-0000B3000000}"/>
    <cellStyle name="_Comma_Sheet1_Quick Property Input" xfId="314" xr:uid="{00000000-0005-0000-0000-0000B4000000}"/>
    <cellStyle name="_Comma_Sheet1_Senario Input Assumptions" xfId="315" xr:uid="{00000000-0005-0000-0000-0000B5000000}"/>
    <cellStyle name="_Comma_Sheet1_Sheet1" xfId="316" xr:uid="{00000000-0005-0000-0000-0000B6000000}"/>
    <cellStyle name="_Comma_Sheet1_Sheet2" xfId="317" xr:uid="{00000000-0005-0000-0000-0000B7000000}"/>
    <cellStyle name="_Comma_Sheet1_Sheet2_1" xfId="318" xr:uid="{00000000-0005-0000-0000-0000B8000000}"/>
    <cellStyle name="_Comma_Sheet1_Sheet3" xfId="319" xr:uid="{00000000-0005-0000-0000-0000B9000000}"/>
    <cellStyle name="_Comma_Sheet1_Sheet5" xfId="320" xr:uid="{00000000-0005-0000-0000-0000BA000000}"/>
    <cellStyle name="_Comma_Sheet1_Structure Model_2003_test2" xfId="321" xr:uid="{00000000-0005-0000-0000-0000BB000000}"/>
    <cellStyle name="_Comma_Sheet2" xfId="322" xr:uid="{00000000-0005-0000-0000-0000BC000000}"/>
    <cellStyle name="_Comma_Sheet2_1" xfId="323" xr:uid="{00000000-0005-0000-0000-0000BD000000}"/>
    <cellStyle name="_Comma_Sheet3" xfId="324" xr:uid="{00000000-0005-0000-0000-0000BE000000}"/>
    <cellStyle name="_Comma_Sheet3_1" xfId="325" xr:uid="{00000000-0005-0000-0000-0000BF000000}"/>
    <cellStyle name="_Comma_Sheet4" xfId="326" xr:uid="{00000000-0005-0000-0000-0000C0000000}"/>
    <cellStyle name="_Comma_Sheet5" xfId="327" xr:uid="{00000000-0005-0000-0000-0000C1000000}"/>
    <cellStyle name="_Comma_Structure Model_2003_test2" xfId="328" xr:uid="{00000000-0005-0000-0000-0000C2000000}"/>
    <cellStyle name="_Comma_Structure Model_2003_test2_ControlTables" xfId="329" xr:uid="{00000000-0005-0000-0000-0000C3000000}"/>
    <cellStyle name="_Comma_Structure Model_2003_test2_ControlTablesI" xfId="330" xr:uid="{00000000-0005-0000-0000-0000C4000000}"/>
    <cellStyle name="_Comma_Structure Model_2003_test2_Database - Comparables" xfId="331" xr:uid="{00000000-0005-0000-0000-0000C5000000}"/>
    <cellStyle name="_Comma_Structure Model_2003_test2_DB_Eye" xfId="332" xr:uid="{00000000-0005-0000-0000-0000C6000000}"/>
    <cellStyle name="_Comma_Structure Model_2003_test2_Exec Summary" xfId="333" xr:uid="{00000000-0005-0000-0000-0000C7000000}"/>
    <cellStyle name="_Comma_Structure Model_2003_test2_Existing Debt" xfId="334" xr:uid="{00000000-0005-0000-0000-0000C8000000}"/>
    <cellStyle name="_Comma_Structure Model_2003_test2_Kor-Port_LEQ_6-10-04_CR_Final-Struct_FINAL" xfId="335" xr:uid="{00000000-0005-0000-0000-0000C9000000}"/>
    <cellStyle name="_Comma_Structure Model_2003_test2_Mallard's_Landing_LEQ_8-17-04" xfId="336" xr:uid="{00000000-0005-0000-0000-0000CA000000}"/>
    <cellStyle name="_Comma_Structure Model_2003_test2_Quick Property Input" xfId="337" xr:uid="{00000000-0005-0000-0000-0000CB000000}"/>
    <cellStyle name="_Comma_Structure Model_2003_test2_Sheet1" xfId="338" xr:uid="{00000000-0005-0000-0000-0000CC000000}"/>
    <cellStyle name="_Comma_Structure Model_2003_test2_Sheet1_Data Tape" xfId="339" xr:uid="{00000000-0005-0000-0000-0000CD000000}"/>
    <cellStyle name="_Comma_Structure Model_2003_test2_Sheet1_Deal Assumptions" xfId="340" xr:uid="{00000000-0005-0000-0000-0000CE000000}"/>
    <cellStyle name="_Comma_Structure Model_2003_test2_Sheet1_RE Valuation 2" xfId="341" xr:uid="{00000000-0005-0000-0000-0000CF000000}"/>
    <cellStyle name="_Comma_Structure Model_2003_test2_Sheet2" xfId="342" xr:uid="{00000000-0005-0000-0000-0000D0000000}"/>
    <cellStyle name="_Currency" xfId="343" xr:uid="{00000000-0005-0000-0000-0000D1000000}"/>
    <cellStyle name="_Currency_03-05-31 Final OBS Reports" xfId="344" xr:uid="{00000000-0005-0000-0000-0000D2000000}"/>
    <cellStyle name="_Currency_3-Yr Eyechart" xfId="345" xr:uid="{00000000-0005-0000-0000-0000D3000000}"/>
    <cellStyle name="_Currency_Alamosa Standalone6" xfId="346" xr:uid="{00000000-0005-0000-0000-0000D4000000}"/>
    <cellStyle name="_Currency_ARI Base Case July 25 TPS1" xfId="347" xr:uid="{00000000-0005-0000-0000-0000D5000000}"/>
    <cellStyle name="_Currency_Balance Sheet" xfId="348" xr:uid="{00000000-0005-0000-0000-0000D6000000}"/>
    <cellStyle name="_Currency_Balance Sheet_ControlTables" xfId="349" xr:uid="{00000000-0005-0000-0000-0000D7000000}"/>
    <cellStyle name="_Currency_Balance Sheet_ControlTablesI" xfId="350" xr:uid="{00000000-0005-0000-0000-0000D8000000}"/>
    <cellStyle name="_Currency_Balance Sheet_Database - Comparables" xfId="351" xr:uid="{00000000-0005-0000-0000-0000D9000000}"/>
    <cellStyle name="_Currency_Balance Sheet_DB_Eye" xfId="352" xr:uid="{00000000-0005-0000-0000-0000DA000000}"/>
    <cellStyle name="_Currency_Balance Sheet_Exec Summary" xfId="353" xr:uid="{00000000-0005-0000-0000-0000DB000000}"/>
    <cellStyle name="_Currency_Balance Sheet_Exec Summary_1" xfId="354" xr:uid="{00000000-0005-0000-0000-0000DC000000}"/>
    <cellStyle name="_Currency_Balance Sheet_Sheet1" xfId="355" xr:uid="{00000000-0005-0000-0000-0000DD000000}"/>
    <cellStyle name="_Currency_ControlTables" xfId="356" xr:uid="{00000000-0005-0000-0000-0000DE000000}"/>
    <cellStyle name="_Currency_ControlTablesI" xfId="357" xr:uid="{00000000-0005-0000-0000-0000DF000000}"/>
    <cellStyle name="_Currency_Cost Of Funds" xfId="358" xr:uid="{00000000-0005-0000-0000-0000E0000000}"/>
    <cellStyle name="_Currency_Criteria" xfId="359" xr:uid="{00000000-0005-0000-0000-0000E1000000}"/>
    <cellStyle name="_Currency_Criteria Test Export" xfId="360" xr:uid="{00000000-0005-0000-0000-0000E2000000}"/>
    <cellStyle name="_Currency_Criteria_ControlTables" xfId="361" xr:uid="{00000000-0005-0000-0000-0000E3000000}"/>
    <cellStyle name="_Currency_Criteria_ControlTablesI" xfId="362" xr:uid="{00000000-0005-0000-0000-0000E4000000}"/>
    <cellStyle name="_Currency_Criteria_Database - Comparables" xfId="363" xr:uid="{00000000-0005-0000-0000-0000E5000000}"/>
    <cellStyle name="_Currency_Criteria_DB_Eye" xfId="364" xr:uid="{00000000-0005-0000-0000-0000E6000000}"/>
    <cellStyle name="_Currency_Criteria_Exec Summary" xfId="365" xr:uid="{00000000-0005-0000-0000-0000E7000000}"/>
    <cellStyle name="_Currency_Criteria_Exec Summary_1" xfId="366" xr:uid="{00000000-0005-0000-0000-0000E8000000}"/>
    <cellStyle name="_Currency_Criteria_Sheet1" xfId="367" xr:uid="{00000000-0005-0000-0000-0000E9000000}"/>
    <cellStyle name="_Currency_Data Tape" xfId="368" xr:uid="{00000000-0005-0000-0000-0000EA000000}"/>
    <cellStyle name="_Currency_Data Tape_1" xfId="369" xr:uid="{00000000-0005-0000-0000-0000EB000000}"/>
    <cellStyle name="_Currency_Data Tape_ControlTables" xfId="370" xr:uid="{00000000-0005-0000-0000-0000EC000000}"/>
    <cellStyle name="_Currency_Data Tape_ControlTablesI" xfId="371" xr:uid="{00000000-0005-0000-0000-0000ED000000}"/>
    <cellStyle name="_Currency_Data Tape_Database - Comparables" xfId="372" xr:uid="{00000000-0005-0000-0000-0000EE000000}"/>
    <cellStyle name="_Currency_Data Tape_DB_Eye" xfId="373" xr:uid="{00000000-0005-0000-0000-0000EF000000}"/>
    <cellStyle name="_Currency_Data Tape_Exec Summary" xfId="374" xr:uid="{00000000-0005-0000-0000-0000F0000000}"/>
    <cellStyle name="_Currency_Data Tape_Exec Summary_1" xfId="375" xr:uid="{00000000-0005-0000-0000-0000F1000000}"/>
    <cellStyle name="_Currency_Data Tape_Sheet1" xfId="376" xr:uid="{00000000-0005-0000-0000-0000F2000000}"/>
    <cellStyle name="_Currency_Data_Tape" xfId="377" xr:uid="{00000000-0005-0000-0000-0000F3000000}"/>
    <cellStyle name="_Currency_Data_Tape_ControlTables" xfId="378" xr:uid="{00000000-0005-0000-0000-0000F4000000}"/>
    <cellStyle name="_Currency_Data_Tape_ControlTablesI" xfId="379" xr:uid="{00000000-0005-0000-0000-0000F5000000}"/>
    <cellStyle name="_Currency_Data_Tape_Database - Comparables" xfId="380" xr:uid="{00000000-0005-0000-0000-0000F6000000}"/>
    <cellStyle name="_Currency_Data_Tape_DB_Eye" xfId="381" xr:uid="{00000000-0005-0000-0000-0000F7000000}"/>
    <cellStyle name="_Currency_Data_Tape_Exec Summary" xfId="382" xr:uid="{00000000-0005-0000-0000-0000F8000000}"/>
    <cellStyle name="_Currency_Data_Tape_Exec Summary_1" xfId="383" xr:uid="{00000000-0005-0000-0000-0000F9000000}"/>
    <cellStyle name="_Currency_Data_Tape_Sheet1" xfId="384" xr:uid="{00000000-0005-0000-0000-0000FA000000}"/>
    <cellStyle name="_Currency_Database - Comparables" xfId="385" xr:uid="{00000000-0005-0000-0000-0000FB000000}"/>
    <cellStyle name="_Currency_Database - Economics" xfId="386" xr:uid="{00000000-0005-0000-0000-0000FC000000}"/>
    <cellStyle name="_Currency_DB_Eye" xfId="387" xr:uid="{00000000-0005-0000-0000-0000FD000000}"/>
    <cellStyle name="_Currency_Deal Input" xfId="388" xr:uid="{00000000-0005-0000-0000-0000FE000000}"/>
    <cellStyle name="_Currency_Direct Cap Eye" xfId="389" xr:uid="{00000000-0005-0000-0000-0000FF000000}"/>
    <cellStyle name="_Currency_DPEM2005_vBetatest6" xfId="390" xr:uid="{00000000-0005-0000-0000-000000010000}"/>
    <cellStyle name="_Currency_ETR" xfId="391" xr:uid="{00000000-0005-0000-0000-000001010000}"/>
    <cellStyle name="_Currency_Exec Summary" xfId="392" xr:uid="{00000000-0005-0000-0000-000002010000}"/>
    <cellStyle name="_Currency_Exec Summary_1" xfId="393" xr:uid="{00000000-0005-0000-0000-000003010000}"/>
    <cellStyle name="_Currency_Existing Debt" xfId="394" xr:uid="{00000000-0005-0000-0000-000004010000}"/>
    <cellStyle name="_Currency_Existing Debt_1" xfId="395" xr:uid="{00000000-0005-0000-0000-000005010000}"/>
    <cellStyle name="_Currency_EyeChart" xfId="396" xr:uid="{00000000-0005-0000-0000-000006010000}"/>
    <cellStyle name="_Currency_EyeChart 090503" xfId="397" xr:uid="{00000000-0005-0000-0000-000007010000}"/>
    <cellStyle name="_Currency_GMACCH_Loans_OBS_033103_Final_v2" xfId="398" xr:uid="{00000000-0005-0000-0000-000008010000}"/>
    <cellStyle name="_Currency_Input" xfId="399" xr:uid="{00000000-0005-0000-0000-000009010000}"/>
    <cellStyle name="_Currency_Input_1" xfId="400" xr:uid="{00000000-0005-0000-0000-00000A010000}"/>
    <cellStyle name="_Currency_Input_2" xfId="401" xr:uid="{00000000-0005-0000-0000-00000B010000}"/>
    <cellStyle name="_Currency_Input_ControlTables" xfId="402" xr:uid="{00000000-0005-0000-0000-00000C010000}"/>
    <cellStyle name="_Currency_Input_ControlTablesI" xfId="403" xr:uid="{00000000-0005-0000-0000-00000D010000}"/>
    <cellStyle name="_Currency_Input_Data Tape" xfId="404" xr:uid="{00000000-0005-0000-0000-00000E010000}"/>
    <cellStyle name="_Currency_Input_Database - Comparables" xfId="405" xr:uid="{00000000-0005-0000-0000-00000F010000}"/>
    <cellStyle name="_Currency_Input_Database - Economics" xfId="406" xr:uid="{00000000-0005-0000-0000-000010010000}"/>
    <cellStyle name="_Currency_Input_DB_Eye" xfId="407" xr:uid="{00000000-0005-0000-0000-000011010000}"/>
    <cellStyle name="_Currency_Input_Exec Summary" xfId="408" xr:uid="{00000000-0005-0000-0000-000012010000}"/>
    <cellStyle name="_Currency_Input_Exec Summary_1" xfId="409" xr:uid="{00000000-0005-0000-0000-000013010000}"/>
    <cellStyle name="_Currency_Input_Sheet1" xfId="410" xr:uid="{00000000-0005-0000-0000-000014010000}"/>
    <cellStyle name="_Currency_JV Economics" xfId="411" xr:uid="{00000000-0005-0000-0000-000015010000}"/>
    <cellStyle name="_Currency_M&amp;A Feed" xfId="412" xr:uid="{00000000-0005-0000-0000-000016010000}"/>
    <cellStyle name="_Currency_NPV Case Eyechart" xfId="413" xr:uid="{00000000-0005-0000-0000-000017010000}"/>
    <cellStyle name="_Currency_Pools" xfId="414" xr:uid="{00000000-0005-0000-0000-000018010000}"/>
    <cellStyle name="_Currency_Pools_1" xfId="415" xr:uid="{00000000-0005-0000-0000-000019010000}"/>
    <cellStyle name="_Currency_Pools_ControlTables" xfId="416" xr:uid="{00000000-0005-0000-0000-00001A010000}"/>
    <cellStyle name="_Currency_Pools_ControlTablesI" xfId="417" xr:uid="{00000000-0005-0000-0000-00001B010000}"/>
    <cellStyle name="_Currency_Pools_Database - Comparables" xfId="418" xr:uid="{00000000-0005-0000-0000-00001C010000}"/>
    <cellStyle name="_Currency_Pools_DB_Eye" xfId="419" xr:uid="{00000000-0005-0000-0000-00001D010000}"/>
    <cellStyle name="_Currency_Pools_Exec Summary" xfId="420" xr:uid="{00000000-0005-0000-0000-00001E010000}"/>
    <cellStyle name="_Currency_Pools_Exec Summary_1" xfId="421" xr:uid="{00000000-0005-0000-0000-00001F010000}"/>
    <cellStyle name="_Currency_Pools_Sheet1" xfId="422" xr:uid="{00000000-0005-0000-0000-000020010000}"/>
    <cellStyle name="_Currency_Portfolio Valuation" xfId="423" xr:uid="{00000000-0005-0000-0000-000021010000}"/>
    <cellStyle name="_Currency_Pricing" xfId="424" xr:uid="{00000000-0005-0000-0000-000022010000}"/>
    <cellStyle name="_Currency_Prop 13" xfId="425" xr:uid="{00000000-0005-0000-0000-000023010000}"/>
    <cellStyle name="_Currency_Prop 13 Data" xfId="426" xr:uid="{00000000-0005-0000-0000-000024010000}"/>
    <cellStyle name="_Currency_Prop 13 Summary-11-10" xfId="427" xr:uid="{00000000-0005-0000-0000-000025010000}"/>
    <cellStyle name="_Currency_Property Assumptions" xfId="428" xr:uid="{00000000-0005-0000-0000-000026010000}"/>
    <cellStyle name="_Currency_Property Assumptions_1" xfId="429" xr:uid="{00000000-0005-0000-0000-000027010000}"/>
    <cellStyle name="_Currency_Quick Property Input" xfId="430" xr:uid="{00000000-0005-0000-0000-000028010000}"/>
    <cellStyle name="_Currency_Roberts Standalone14 Quarterly 2" xfId="431" xr:uid="{00000000-0005-0000-0000-000029010000}"/>
    <cellStyle name="_Currency_Senario Input Assumptions" xfId="432" xr:uid="{00000000-0005-0000-0000-00002A010000}"/>
    <cellStyle name="_Currency_Senario Input Assumptions_ControlTables" xfId="433" xr:uid="{00000000-0005-0000-0000-00002B010000}"/>
    <cellStyle name="_Currency_Senario Input Assumptions_ControlTablesI" xfId="434" xr:uid="{00000000-0005-0000-0000-00002C010000}"/>
    <cellStyle name="_Currency_Senario Input Assumptions_Database - Comparables" xfId="435" xr:uid="{00000000-0005-0000-0000-00002D010000}"/>
    <cellStyle name="_Currency_Senario Input Assumptions_DB_Eye" xfId="436" xr:uid="{00000000-0005-0000-0000-00002E010000}"/>
    <cellStyle name="_Currency_Senario Input Assumptions_Exec Summary" xfId="437" xr:uid="{00000000-0005-0000-0000-00002F010000}"/>
    <cellStyle name="_Currency_Senario Input Assumptions_Exec Summary_1" xfId="438" xr:uid="{00000000-0005-0000-0000-000030010000}"/>
    <cellStyle name="_Currency_Senario Input Assumptions_Sheet1" xfId="439" xr:uid="{00000000-0005-0000-0000-000031010000}"/>
    <cellStyle name="_Currency_Sheet1" xfId="440" xr:uid="{00000000-0005-0000-0000-000032010000}"/>
    <cellStyle name="_Currency_Sheet1_1" xfId="441" xr:uid="{00000000-0005-0000-0000-000033010000}"/>
    <cellStyle name="_Currency_Sheet1_3-Yr Eyechart" xfId="442" xr:uid="{00000000-0005-0000-0000-000034010000}"/>
    <cellStyle name="_Currency_Sheet1_Balance Sheet" xfId="443" xr:uid="{00000000-0005-0000-0000-000035010000}"/>
    <cellStyle name="_Currency_Sheet1_Balance Sheet_ControlTables" xfId="444" xr:uid="{00000000-0005-0000-0000-000036010000}"/>
    <cellStyle name="_Currency_Sheet1_Balance Sheet_ControlTablesI" xfId="445" xr:uid="{00000000-0005-0000-0000-000037010000}"/>
    <cellStyle name="_Currency_Sheet1_Balance Sheet_Database - Comparables" xfId="446" xr:uid="{00000000-0005-0000-0000-000038010000}"/>
    <cellStyle name="_Currency_Sheet1_Balance Sheet_DB_Eye" xfId="447" xr:uid="{00000000-0005-0000-0000-000039010000}"/>
    <cellStyle name="_Currency_Sheet1_Balance Sheet_Exec Summary" xfId="448" xr:uid="{00000000-0005-0000-0000-00003A010000}"/>
    <cellStyle name="_Currency_Sheet1_Balance Sheet_Exec Summary_1" xfId="449" xr:uid="{00000000-0005-0000-0000-00003B010000}"/>
    <cellStyle name="_Currency_Sheet1_Balance Sheet_Sheet1" xfId="450" xr:uid="{00000000-0005-0000-0000-00003C010000}"/>
    <cellStyle name="_Currency_Sheet1_ControlTables" xfId="451" xr:uid="{00000000-0005-0000-0000-00003D010000}"/>
    <cellStyle name="_Currency_Sheet1_ControlTablesI" xfId="452" xr:uid="{00000000-0005-0000-0000-00003E010000}"/>
    <cellStyle name="_Currency_Sheet1_Cost Of Funds" xfId="453" xr:uid="{00000000-0005-0000-0000-00003F010000}"/>
    <cellStyle name="_Currency_Sheet1_Criteria" xfId="454" xr:uid="{00000000-0005-0000-0000-000040010000}"/>
    <cellStyle name="_Currency_Sheet1_Criteria Test Export" xfId="455" xr:uid="{00000000-0005-0000-0000-000041010000}"/>
    <cellStyle name="_Currency_Sheet1_Criteria_ControlTables" xfId="456" xr:uid="{00000000-0005-0000-0000-000042010000}"/>
    <cellStyle name="_Currency_Sheet1_Criteria_ControlTablesI" xfId="457" xr:uid="{00000000-0005-0000-0000-000043010000}"/>
    <cellStyle name="_Currency_Sheet1_Criteria_Database - Comparables" xfId="458" xr:uid="{00000000-0005-0000-0000-000044010000}"/>
    <cellStyle name="_Currency_Sheet1_Criteria_DB_Eye" xfId="459" xr:uid="{00000000-0005-0000-0000-000045010000}"/>
    <cellStyle name="_Currency_Sheet1_Criteria_Exec Summary" xfId="460" xr:uid="{00000000-0005-0000-0000-000046010000}"/>
    <cellStyle name="_Currency_Sheet1_Criteria_Exec Summary_1" xfId="461" xr:uid="{00000000-0005-0000-0000-000047010000}"/>
    <cellStyle name="_Currency_Sheet1_Criteria_Sheet1" xfId="462" xr:uid="{00000000-0005-0000-0000-000048010000}"/>
    <cellStyle name="_Currency_Sheet1_Data Tape" xfId="463" xr:uid="{00000000-0005-0000-0000-000049010000}"/>
    <cellStyle name="_Currency_Sheet1_Data Tape_1" xfId="464" xr:uid="{00000000-0005-0000-0000-00004A010000}"/>
    <cellStyle name="_Currency_Sheet1_Data Tape_ControlTables" xfId="465" xr:uid="{00000000-0005-0000-0000-00004B010000}"/>
    <cellStyle name="_Currency_Sheet1_Data Tape_ControlTablesI" xfId="466" xr:uid="{00000000-0005-0000-0000-00004C010000}"/>
    <cellStyle name="_Currency_Sheet1_Data Tape_Database - Comparables" xfId="467" xr:uid="{00000000-0005-0000-0000-00004D010000}"/>
    <cellStyle name="_Currency_Sheet1_Data Tape_DB_Eye" xfId="468" xr:uid="{00000000-0005-0000-0000-00004E010000}"/>
    <cellStyle name="_Currency_Sheet1_Data Tape_Exec Summary" xfId="469" xr:uid="{00000000-0005-0000-0000-00004F010000}"/>
    <cellStyle name="_Currency_Sheet1_Data Tape_Exec Summary_1" xfId="470" xr:uid="{00000000-0005-0000-0000-000050010000}"/>
    <cellStyle name="_Currency_Sheet1_Data Tape_Sheet1" xfId="471" xr:uid="{00000000-0005-0000-0000-000051010000}"/>
    <cellStyle name="_Currency_Sheet1_Data_Tape" xfId="472" xr:uid="{00000000-0005-0000-0000-000052010000}"/>
    <cellStyle name="_Currency_Sheet1_Data_Tape_ControlTables" xfId="473" xr:uid="{00000000-0005-0000-0000-000053010000}"/>
    <cellStyle name="_Currency_Sheet1_Data_Tape_ControlTablesI" xfId="474" xr:uid="{00000000-0005-0000-0000-000054010000}"/>
    <cellStyle name="_Currency_Sheet1_Data_Tape_DB_Eye" xfId="475" xr:uid="{00000000-0005-0000-0000-000055010000}"/>
    <cellStyle name="_Currency_Sheet1_Data_Tape_Exec Summary" xfId="476" xr:uid="{00000000-0005-0000-0000-000056010000}"/>
    <cellStyle name="_Currency_Sheet1_Data_Tape_Exec Summary_1" xfId="477" xr:uid="{00000000-0005-0000-0000-000057010000}"/>
    <cellStyle name="_Currency_Sheet1_Data_Tape_Sheet1" xfId="478" xr:uid="{00000000-0005-0000-0000-000058010000}"/>
    <cellStyle name="_Currency_Sheet1_Database - Comparables" xfId="479" xr:uid="{00000000-0005-0000-0000-000059010000}"/>
    <cellStyle name="_Currency_Sheet1_Database - Economics" xfId="480" xr:uid="{00000000-0005-0000-0000-00005A010000}"/>
    <cellStyle name="_Currency_Sheet1_DB_Eye" xfId="481" xr:uid="{00000000-0005-0000-0000-00005B010000}"/>
    <cellStyle name="_Currency_Sheet1_Deal Input" xfId="482" xr:uid="{00000000-0005-0000-0000-00005C010000}"/>
    <cellStyle name="_Currency_Sheet1_Direct Cap Eye" xfId="483" xr:uid="{00000000-0005-0000-0000-00005D010000}"/>
    <cellStyle name="_Currency_Sheet1_DPEM2005_vBetatest6" xfId="484" xr:uid="{00000000-0005-0000-0000-00005E010000}"/>
    <cellStyle name="_Currency_Sheet1_ETR" xfId="485" xr:uid="{00000000-0005-0000-0000-00005F010000}"/>
    <cellStyle name="_Currency_Sheet1_Exec Summary" xfId="486" xr:uid="{00000000-0005-0000-0000-000060010000}"/>
    <cellStyle name="_Currency_Sheet1_Exec Summary_1" xfId="487" xr:uid="{00000000-0005-0000-0000-000061010000}"/>
    <cellStyle name="_Currency_Sheet1_Existing Debt" xfId="488" xr:uid="{00000000-0005-0000-0000-000062010000}"/>
    <cellStyle name="_Currency_Sheet1_Input" xfId="489" xr:uid="{00000000-0005-0000-0000-000063010000}"/>
    <cellStyle name="_Currency_Sheet1_Input_1" xfId="490" xr:uid="{00000000-0005-0000-0000-000064010000}"/>
    <cellStyle name="_Currency_Sheet1_Input_ControlTables" xfId="491" xr:uid="{00000000-0005-0000-0000-000065010000}"/>
    <cellStyle name="_Currency_Sheet1_Input_ControlTablesI" xfId="492" xr:uid="{00000000-0005-0000-0000-000066010000}"/>
    <cellStyle name="_Currency_Sheet1_Input_Data Tape" xfId="493" xr:uid="{00000000-0005-0000-0000-000067010000}"/>
    <cellStyle name="_Currency_Sheet1_Input_Database - Economics" xfId="494" xr:uid="{00000000-0005-0000-0000-000068010000}"/>
    <cellStyle name="_Currency_Sheet1_Input_DB_Eye" xfId="495" xr:uid="{00000000-0005-0000-0000-000069010000}"/>
    <cellStyle name="_Currency_Sheet1_Input_Exec Summary" xfId="496" xr:uid="{00000000-0005-0000-0000-00006A010000}"/>
    <cellStyle name="_Currency_Sheet1_Input_Exec Summary_1" xfId="497" xr:uid="{00000000-0005-0000-0000-00006B010000}"/>
    <cellStyle name="_Currency_Sheet1_Input_Sheet1" xfId="498" xr:uid="{00000000-0005-0000-0000-00006C010000}"/>
    <cellStyle name="_Currency_Sheet1_M&amp;A Feed" xfId="499" xr:uid="{00000000-0005-0000-0000-00006D010000}"/>
    <cellStyle name="_Currency_Sheet1_NPV Case Eyechart" xfId="500" xr:uid="{00000000-0005-0000-0000-00006E010000}"/>
    <cellStyle name="_Currency_Sheet1_Pools" xfId="501" xr:uid="{00000000-0005-0000-0000-00006F010000}"/>
    <cellStyle name="_Currency_Sheet1_Pools_1" xfId="502" xr:uid="{00000000-0005-0000-0000-000070010000}"/>
    <cellStyle name="_Currency_Sheet1_Pools_ControlTables" xfId="503" xr:uid="{00000000-0005-0000-0000-000071010000}"/>
    <cellStyle name="_Currency_Sheet1_Pools_ControlTablesI" xfId="504" xr:uid="{00000000-0005-0000-0000-000072010000}"/>
    <cellStyle name="_Currency_Sheet1_Pools_DB_Eye" xfId="505" xr:uid="{00000000-0005-0000-0000-000073010000}"/>
    <cellStyle name="_Currency_Sheet1_Pools_Exec Summary" xfId="506" xr:uid="{00000000-0005-0000-0000-000074010000}"/>
    <cellStyle name="_Currency_Sheet1_Pools_Exec Summary_1" xfId="507" xr:uid="{00000000-0005-0000-0000-000075010000}"/>
    <cellStyle name="_Currency_Sheet1_Pools_Sheet1" xfId="508" xr:uid="{00000000-0005-0000-0000-000076010000}"/>
    <cellStyle name="_Currency_Sheet1_Portfolio Valuation" xfId="509" xr:uid="{00000000-0005-0000-0000-000077010000}"/>
    <cellStyle name="_Currency_Sheet1_Prop 13" xfId="510" xr:uid="{00000000-0005-0000-0000-000078010000}"/>
    <cellStyle name="_Currency_Sheet1_Prop 13 Data" xfId="511" xr:uid="{00000000-0005-0000-0000-000079010000}"/>
    <cellStyle name="_Currency_Sheet1_Prop 13 Summary-11-10" xfId="512" xr:uid="{00000000-0005-0000-0000-00007A010000}"/>
    <cellStyle name="_Currency_Sheet1_Property Assumptions" xfId="513" xr:uid="{00000000-0005-0000-0000-00007B010000}"/>
    <cellStyle name="_Currency_Sheet1_Property Assumptions_1" xfId="514" xr:uid="{00000000-0005-0000-0000-00007C010000}"/>
    <cellStyle name="_Currency_Sheet1_Quick Property Input" xfId="515" xr:uid="{00000000-0005-0000-0000-00007D010000}"/>
    <cellStyle name="_Currency_Sheet1_Senario Input Assumptions" xfId="516" xr:uid="{00000000-0005-0000-0000-00007E010000}"/>
    <cellStyle name="_Currency_Sheet1_Senario Input Assumptions_ControlTables" xfId="517" xr:uid="{00000000-0005-0000-0000-00007F010000}"/>
    <cellStyle name="_Currency_Sheet1_Senario Input Assumptions_ControlTablesI" xfId="518" xr:uid="{00000000-0005-0000-0000-000080010000}"/>
    <cellStyle name="_Currency_Sheet1_Senario Input Assumptions_DB_Eye" xfId="519" xr:uid="{00000000-0005-0000-0000-000081010000}"/>
    <cellStyle name="_Currency_Sheet1_Senario Input Assumptions_Exec Summary" xfId="520" xr:uid="{00000000-0005-0000-0000-000082010000}"/>
    <cellStyle name="_Currency_Sheet1_Senario Input Assumptions_Exec Summary_1" xfId="521" xr:uid="{00000000-0005-0000-0000-000083010000}"/>
    <cellStyle name="_Currency_Sheet1_Senario Input Assumptions_Sheet1" xfId="522" xr:uid="{00000000-0005-0000-0000-000084010000}"/>
    <cellStyle name="_Currency_Sheet1_Sheet1" xfId="523" xr:uid="{00000000-0005-0000-0000-000085010000}"/>
    <cellStyle name="_Currency_Sheet1_Sheet1_Data Tape" xfId="524" xr:uid="{00000000-0005-0000-0000-000086010000}"/>
    <cellStyle name="_Currency_Sheet1_Sheet1_Database - Eyechart" xfId="525" xr:uid="{00000000-0005-0000-0000-000087010000}"/>
    <cellStyle name="_Currency_Sheet1_Sheet1_Deal Assumptions" xfId="526" xr:uid="{00000000-0005-0000-0000-000088010000}"/>
    <cellStyle name="_Currency_Sheet1_Sheet1_Model" xfId="527" xr:uid="{00000000-0005-0000-0000-000089010000}"/>
    <cellStyle name="_Currency_Sheet1_Sheet1_Monthly CF Input" xfId="528" xr:uid="{00000000-0005-0000-0000-00008A010000}"/>
    <cellStyle name="_Currency_Sheet1_Sheet1_Property Assumptions" xfId="529" xr:uid="{00000000-0005-0000-0000-00008B010000}"/>
    <cellStyle name="_Currency_Sheet1_Sheet1_RE Valuation 2" xfId="530" xr:uid="{00000000-0005-0000-0000-00008C010000}"/>
    <cellStyle name="_Currency_Sheet1_Sheet1_Sensitivities" xfId="531" xr:uid="{00000000-0005-0000-0000-00008D010000}"/>
    <cellStyle name="_Currency_Sheet1_Sheet2" xfId="532" xr:uid="{00000000-0005-0000-0000-00008E010000}"/>
    <cellStyle name="_Currency_Sheet1_Sheet2_1" xfId="533" xr:uid="{00000000-0005-0000-0000-00008F010000}"/>
    <cellStyle name="_Currency_Sheet1_Sheet3" xfId="534" xr:uid="{00000000-0005-0000-0000-000090010000}"/>
    <cellStyle name="_Currency_Sheet1_Sheet5" xfId="535" xr:uid="{00000000-0005-0000-0000-000091010000}"/>
    <cellStyle name="_Currency_Sheet1_Structure Model_2003_test2" xfId="536" xr:uid="{00000000-0005-0000-0000-000092010000}"/>
    <cellStyle name="_Currency_Sheet1_Structure Model_2003_test2_ControlTables" xfId="537" xr:uid="{00000000-0005-0000-0000-000093010000}"/>
    <cellStyle name="_Currency_Sheet1_Structure Model_2003_test2_ControlTablesI" xfId="538" xr:uid="{00000000-0005-0000-0000-000094010000}"/>
    <cellStyle name="_Currency_Sheet1_Structure Model_2003_test2_DB_Eye" xfId="539" xr:uid="{00000000-0005-0000-0000-000095010000}"/>
    <cellStyle name="_Currency_Sheet1_Structure Model_2003_test2_Exec Summary" xfId="540" xr:uid="{00000000-0005-0000-0000-000096010000}"/>
    <cellStyle name="_Currency_Sheet1_Structure Model_2003_test2_Exec Summary_1" xfId="541" xr:uid="{00000000-0005-0000-0000-000097010000}"/>
    <cellStyle name="_Currency_Sheet1_Structure Model_2003_test2_Sheet1" xfId="542" xr:uid="{00000000-0005-0000-0000-000098010000}"/>
    <cellStyle name="_Currency_Sheet2" xfId="543" xr:uid="{00000000-0005-0000-0000-000099010000}"/>
    <cellStyle name="_Currency_Sheet2_1" xfId="544" xr:uid="{00000000-0005-0000-0000-00009A010000}"/>
    <cellStyle name="_Currency_Sheet3" xfId="545" xr:uid="{00000000-0005-0000-0000-00009B010000}"/>
    <cellStyle name="_Currency_Sheet3_1" xfId="546" xr:uid="{00000000-0005-0000-0000-00009C010000}"/>
    <cellStyle name="_Currency_Sheet3_ControlTables" xfId="547" xr:uid="{00000000-0005-0000-0000-00009D010000}"/>
    <cellStyle name="_Currency_Sheet3_ControlTablesI" xfId="548" xr:uid="{00000000-0005-0000-0000-00009E010000}"/>
    <cellStyle name="_Currency_Sheet3_DB_Eye" xfId="549" xr:uid="{00000000-0005-0000-0000-00009F010000}"/>
    <cellStyle name="_Currency_Sheet3_Exec Summary" xfId="550" xr:uid="{00000000-0005-0000-0000-0000A0010000}"/>
    <cellStyle name="_Currency_Sheet3_Exec Summary_1" xfId="551" xr:uid="{00000000-0005-0000-0000-0000A1010000}"/>
    <cellStyle name="_Currency_Sheet3_Sheet1" xfId="552" xr:uid="{00000000-0005-0000-0000-0000A2010000}"/>
    <cellStyle name="_Currency_Sheet4" xfId="553" xr:uid="{00000000-0005-0000-0000-0000A3010000}"/>
    <cellStyle name="_Currency_Sheet5" xfId="554" xr:uid="{00000000-0005-0000-0000-0000A4010000}"/>
    <cellStyle name="_Currency_Structure Model_2003_test2" xfId="555" xr:uid="{00000000-0005-0000-0000-0000A5010000}"/>
    <cellStyle name="_Currency_Structure Model_2003_test2_ControlTables" xfId="556" xr:uid="{00000000-0005-0000-0000-0000A6010000}"/>
    <cellStyle name="_Currency_Structure Model_2003_test2_ControlTablesI" xfId="557" xr:uid="{00000000-0005-0000-0000-0000A7010000}"/>
    <cellStyle name="_Currency_Structure Model_2003_test2_DB_Eye" xfId="558" xr:uid="{00000000-0005-0000-0000-0000A8010000}"/>
    <cellStyle name="_Currency_Structure Model_2003_test2_Exec Summary" xfId="559" xr:uid="{00000000-0005-0000-0000-0000A9010000}"/>
    <cellStyle name="_Currency_Structure Model_2003_test2_Exec Summary_1" xfId="560" xr:uid="{00000000-0005-0000-0000-0000AA010000}"/>
    <cellStyle name="_Currency_Structure Model_2003_test2_Sheet1" xfId="561" xr:uid="{00000000-0005-0000-0000-0000AB010000}"/>
    <cellStyle name="_CurrencySpace" xfId="562" xr:uid="{00000000-0005-0000-0000-0000AC010000}"/>
    <cellStyle name="_CurrencySpace_3-Yr Eyechart" xfId="563" xr:uid="{00000000-0005-0000-0000-0000AD010000}"/>
    <cellStyle name="_CurrencySpace_Balance Sheet" xfId="564" xr:uid="{00000000-0005-0000-0000-0000AE010000}"/>
    <cellStyle name="_CurrencySpace_Balance Sheet_ControlTables" xfId="565" xr:uid="{00000000-0005-0000-0000-0000AF010000}"/>
    <cellStyle name="_CurrencySpace_Balance Sheet_ControlTablesI" xfId="566" xr:uid="{00000000-0005-0000-0000-0000B0010000}"/>
    <cellStyle name="_CurrencySpace_Balance Sheet_DB_Eye" xfId="567" xr:uid="{00000000-0005-0000-0000-0000B1010000}"/>
    <cellStyle name="_CurrencySpace_Balance Sheet_Exec Summary" xfId="568" xr:uid="{00000000-0005-0000-0000-0000B2010000}"/>
    <cellStyle name="_CurrencySpace_Balance Sheet_Exec Summary_1" xfId="569" xr:uid="{00000000-0005-0000-0000-0000B3010000}"/>
    <cellStyle name="_CurrencySpace_Balance Sheet_Sheet1" xfId="570" xr:uid="{00000000-0005-0000-0000-0000B4010000}"/>
    <cellStyle name="_CurrencySpace_ControlTables" xfId="571" xr:uid="{00000000-0005-0000-0000-0000B5010000}"/>
    <cellStyle name="_CurrencySpace_ControlTablesI" xfId="572" xr:uid="{00000000-0005-0000-0000-0000B6010000}"/>
    <cellStyle name="_CurrencySpace_Cost Of Funds" xfId="573" xr:uid="{00000000-0005-0000-0000-0000B7010000}"/>
    <cellStyle name="_CurrencySpace_Criteria" xfId="574" xr:uid="{00000000-0005-0000-0000-0000B8010000}"/>
    <cellStyle name="_CurrencySpace_Criteria Test Export" xfId="575" xr:uid="{00000000-0005-0000-0000-0000B9010000}"/>
    <cellStyle name="_CurrencySpace_Criteria_ControlTables" xfId="576" xr:uid="{00000000-0005-0000-0000-0000BA010000}"/>
    <cellStyle name="_CurrencySpace_Criteria_ControlTablesI" xfId="577" xr:uid="{00000000-0005-0000-0000-0000BB010000}"/>
    <cellStyle name="_CurrencySpace_Criteria_DB_Eye" xfId="578" xr:uid="{00000000-0005-0000-0000-0000BC010000}"/>
    <cellStyle name="_CurrencySpace_Criteria_Exec Summary" xfId="579" xr:uid="{00000000-0005-0000-0000-0000BD010000}"/>
    <cellStyle name="_CurrencySpace_Criteria_Exec Summary_1" xfId="580" xr:uid="{00000000-0005-0000-0000-0000BE010000}"/>
    <cellStyle name="_CurrencySpace_Criteria_Sheet1" xfId="581" xr:uid="{00000000-0005-0000-0000-0000BF010000}"/>
    <cellStyle name="_CurrencySpace_Data Tape" xfId="582" xr:uid="{00000000-0005-0000-0000-0000C0010000}"/>
    <cellStyle name="_CurrencySpace_Data Tape_1" xfId="583" xr:uid="{00000000-0005-0000-0000-0000C1010000}"/>
    <cellStyle name="_CurrencySpace_Data Tape_ControlTables" xfId="584" xr:uid="{00000000-0005-0000-0000-0000C2010000}"/>
    <cellStyle name="_CurrencySpace_Data Tape_ControlTablesI" xfId="585" xr:uid="{00000000-0005-0000-0000-0000C3010000}"/>
    <cellStyle name="_CurrencySpace_Data Tape_DB_Eye" xfId="586" xr:uid="{00000000-0005-0000-0000-0000C4010000}"/>
    <cellStyle name="_CurrencySpace_Data Tape_Exec Summary" xfId="587" xr:uid="{00000000-0005-0000-0000-0000C5010000}"/>
    <cellStyle name="_CurrencySpace_Data Tape_Exec Summary_1" xfId="588" xr:uid="{00000000-0005-0000-0000-0000C6010000}"/>
    <cellStyle name="_CurrencySpace_Data Tape_Sheet1" xfId="589" xr:uid="{00000000-0005-0000-0000-0000C7010000}"/>
    <cellStyle name="_CurrencySpace_Data_Tape" xfId="590" xr:uid="{00000000-0005-0000-0000-0000C8010000}"/>
    <cellStyle name="_CurrencySpace_Database - Economics" xfId="591" xr:uid="{00000000-0005-0000-0000-0000C9010000}"/>
    <cellStyle name="_CurrencySpace_DB_Eye" xfId="592" xr:uid="{00000000-0005-0000-0000-0000CA010000}"/>
    <cellStyle name="_CurrencySpace_Deal Input" xfId="593" xr:uid="{00000000-0005-0000-0000-0000CB010000}"/>
    <cellStyle name="_CurrencySpace_Direct Cap Eye" xfId="594" xr:uid="{00000000-0005-0000-0000-0000CC010000}"/>
    <cellStyle name="_CurrencySpace_DPEM2005_vBetatest6" xfId="595" xr:uid="{00000000-0005-0000-0000-0000CD010000}"/>
    <cellStyle name="_CurrencySpace_ETR" xfId="596" xr:uid="{00000000-0005-0000-0000-0000CE010000}"/>
    <cellStyle name="_CurrencySpace_Exec Summary" xfId="597" xr:uid="{00000000-0005-0000-0000-0000CF010000}"/>
    <cellStyle name="_CurrencySpace_Exec Summary_1" xfId="598" xr:uid="{00000000-0005-0000-0000-0000D0010000}"/>
    <cellStyle name="_CurrencySpace_Existing Debt" xfId="599" xr:uid="{00000000-0005-0000-0000-0000D1010000}"/>
    <cellStyle name="_CurrencySpace_EyeChart" xfId="600" xr:uid="{00000000-0005-0000-0000-0000D2010000}"/>
    <cellStyle name="_CurrencySpace_EyeChart 090503" xfId="601" xr:uid="{00000000-0005-0000-0000-0000D3010000}"/>
    <cellStyle name="_CurrencySpace_Input" xfId="602" xr:uid="{00000000-0005-0000-0000-0000D4010000}"/>
    <cellStyle name="_CurrencySpace_Input_1" xfId="603" xr:uid="{00000000-0005-0000-0000-0000D5010000}"/>
    <cellStyle name="_CurrencySpace_Input_ControlTables" xfId="604" xr:uid="{00000000-0005-0000-0000-0000D6010000}"/>
    <cellStyle name="_CurrencySpace_Input_ControlTablesI" xfId="605" xr:uid="{00000000-0005-0000-0000-0000D7010000}"/>
    <cellStyle name="_CurrencySpace_Input_Data Tape" xfId="606" xr:uid="{00000000-0005-0000-0000-0000D8010000}"/>
    <cellStyle name="_CurrencySpace_Input_Database - Economics" xfId="607" xr:uid="{00000000-0005-0000-0000-0000D9010000}"/>
    <cellStyle name="_CurrencySpace_Input_DB_Eye" xfId="608" xr:uid="{00000000-0005-0000-0000-0000DA010000}"/>
    <cellStyle name="_CurrencySpace_Input_Exec Summary" xfId="609" xr:uid="{00000000-0005-0000-0000-0000DB010000}"/>
    <cellStyle name="_CurrencySpace_Input_Exec Summary_1" xfId="610" xr:uid="{00000000-0005-0000-0000-0000DC010000}"/>
    <cellStyle name="_CurrencySpace_Input_Sheet1" xfId="611" xr:uid="{00000000-0005-0000-0000-0000DD010000}"/>
    <cellStyle name="_CurrencySpace_JV Economics" xfId="612" xr:uid="{00000000-0005-0000-0000-0000DE010000}"/>
    <cellStyle name="_CurrencySpace_M&amp;A Feed" xfId="613" xr:uid="{00000000-0005-0000-0000-0000DF010000}"/>
    <cellStyle name="_CurrencySpace_NPV Case Eyechart" xfId="614" xr:uid="{00000000-0005-0000-0000-0000E0010000}"/>
    <cellStyle name="_CurrencySpace_Pools" xfId="615" xr:uid="{00000000-0005-0000-0000-0000E1010000}"/>
    <cellStyle name="_CurrencySpace_Pools_1" xfId="616" xr:uid="{00000000-0005-0000-0000-0000E2010000}"/>
    <cellStyle name="_CurrencySpace_Portfolio Valuation" xfId="617" xr:uid="{00000000-0005-0000-0000-0000E3010000}"/>
    <cellStyle name="_CurrencySpace_Pricing" xfId="618" xr:uid="{00000000-0005-0000-0000-0000E4010000}"/>
    <cellStyle name="_CurrencySpace_Prop 13" xfId="619" xr:uid="{00000000-0005-0000-0000-0000E5010000}"/>
    <cellStyle name="_CurrencySpace_Prop 13 Data" xfId="620" xr:uid="{00000000-0005-0000-0000-0000E6010000}"/>
    <cellStyle name="_CurrencySpace_Prop 13 Summary-11-10" xfId="621" xr:uid="{00000000-0005-0000-0000-0000E7010000}"/>
    <cellStyle name="_CurrencySpace_Property Assumptions" xfId="622" xr:uid="{00000000-0005-0000-0000-0000E8010000}"/>
    <cellStyle name="_CurrencySpace_Property Assumptions_1" xfId="623" xr:uid="{00000000-0005-0000-0000-0000E9010000}"/>
    <cellStyle name="_CurrencySpace_Quick Property Input" xfId="624" xr:uid="{00000000-0005-0000-0000-0000EA010000}"/>
    <cellStyle name="_CurrencySpace_Senario Input Assumptions" xfId="625" xr:uid="{00000000-0005-0000-0000-0000EB010000}"/>
    <cellStyle name="_CurrencySpace_Senario Input Assumptions_ControlTables" xfId="626" xr:uid="{00000000-0005-0000-0000-0000EC010000}"/>
    <cellStyle name="_CurrencySpace_Senario Input Assumptions_ControlTablesI" xfId="627" xr:uid="{00000000-0005-0000-0000-0000ED010000}"/>
    <cellStyle name="_CurrencySpace_Senario Input Assumptions_DB_Eye" xfId="628" xr:uid="{00000000-0005-0000-0000-0000EE010000}"/>
    <cellStyle name="_CurrencySpace_Senario Input Assumptions_Exec Summary" xfId="629" xr:uid="{00000000-0005-0000-0000-0000EF010000}"/>
    <cellStyle name="_CurrencySpace_Senario Input Assumptions_Exec Summary_1" xfId="630" xr:uid="{00000000-0005-0000-0000-0000F0010000}"/>
    <cellStyle name="_CurrencySpace_Senario Input Assumptions_Sheet1" xfId="631" xr:uid="{00000000-0005-0000-0000-0000F1010000}"/>
    <cellStyle name="_CurrencySpace_Sheet1" xfId="632" xr:uid="{00000000-0005-0000-0000-0000F2010000}"/>
    <cellStyle name="_CurrencySpace_Sheet1_1" xfId="633" xr:uid="{00000000-0005-0000-0000-0000F3010000}"/>
    <cellStyle name="_CurrencySpace_Sheet1_3-Yr Eyechart" xfId="634" xr:uid="{00000000-0005-0000-0000-0000F4010000}"/>
    <cellStyle name="_CurrencySpace_Sheet1_Balance Sheet" xfId="635" xr:uid="{00000000-0005-0000-0000-0000F5010000}"/>
    <cellStyle name="_CurrencySpace_Sheet1_Cost Of Funds" xfId="636" xr:uid="{00000000-0005-0000-0000-0000F6010000}"/>
    <cellStyle name="_CurrencySpace_Sheet1_Criteria" xfId="637" xr:uid="{00000000-0005-0000-0000-0000F7010000}"/>
    <cellStyle name="_CurrencySpace_Sheet1_Criteria Test Export" xfId="638" xr:uid="{00000000-0005-0000-0000-0000F8010000}"/>
    <cellStyle name="_CurrencySpace_Sheet1_Data Tape" xfId="639" xr:uid="{00000000-0005-0000-0000-0000F9010000}"/>
    <cellStyle name="_CurrencySpace_Sheet1_Data Tape_1" xfId="640" xr:uid="{00000000-0005-0000-0000-0000FA010000}"/>
    <cellStyle name="_CurrencySpace_Sheet1_Data_Tape" xfId="641" xr:uid="{00000000-0005-0000-0000-0000FB010000}"/>
    <cellStyle name="_CurrencySpace_Sheet1_Data_Tape_ControlTables" xfId="642" xr:uid="{00000000-0005-0000-0000-0000FC010000}"/>
    <cellStyle name="_CurrencySpace_Sheet1_Data_Tape_ControlTablesI" xfId="643" xr:uid="{00000000-0005-0000-0000-0000FD010000}"/>
    <cellStyle name="_CurrencySpace_Sheet1_Data_Tape_DB_Eye" xfId="644" xr:uid="{00000000-0005-0000-0000-0000FE010000}"/>
    <cellStyle name="_CurrencySpace_Sheet1_Data_Tape_Exec Summary" xfId="645" xr:uid="{00000000-0005-0000-0000-0000FF010000}"/>
    <cellStyle name="_CurrencySpace_Sheet1_Data_Tape_Exec Summary_1" xfId="646" xr:uid="{00000000-0005-0000-0000-000000020000}"/>
    <cellStyle name="_CurrencySpace_Sheet1_Data_Tape_Sheet1" xfId="647" xr:uid="{00000000-0005-0000-0000-000001020000}"/>
    <cellStyle name="_CurrencySpace_Sheet1_Database - Economics" xfId="648" xr:uid="{00000000-0005-0000-0000-000002020000}"/>
    <cellStyle name="_CurrencySpace_Sheet1_Deal Input" xfId="649" xr:uid="{00000000-0005-0000-0000-000003020000}"/>
    <cellStyle name="_CurrencySpace_Sheet1_Direct Cap Eye" xfId="650" xr:uid="{00000000-0005-0000-0000-000004020000}"/>
    <cellStyle name="_CurrencySpace_Sheet1_DPEM2005_vBetatest6" xfId="651" xr:uid="{00000000-0005-0000-0000-000005020000}"/>
    <cellStyle name="_CurrencySpace_Sheet1_ETR" xfId="652" xr:uid="{00000000-0005-0000-0000-000006020000}"/>
    <cellStyle name="_CurrencySpace_Sheet1_Existing Debt" xfId="653" xr:uid="{00000000-0005-0000-0000-000007020000}"/>
    <cellStyle name="_CurrencySpace_Sheet1_Input" xfId="654" xr:uid="{00000000-0005-0000-0000-000008020000}"/>
    <cellStyle name="_CurrencySpace_Sheet1_Input_1" xfId="655" xr:uid="{00000000-0005-0000-0000-000009020000}"/>
    <cellStyle name="_CurrencySpace_Sheet1_Input_Data Tape" xfId="656" xr:uid="{00000000-0005-0000-0000-00000A020000}"/>
    <cellStyle name="_CurrencySpace_Sheet1_Input_Database - Economics" xfId="657" xr:uid="{00000000-0005-0000-0000-00000B020000}"/>
    <cellStyle name="_CurrencySpace_Sheet1_M&amp;A Feed" xfId="658" xr:uid="{00000000-0005-0000-0000-00000C020000}"/>
    <cellStyle name="_CurrencySpace_Sheet1_NPV Case Eyechart" xfId="659" xr:uid="{00000000-0005-0000-0000-00000D020000}"/>
    <cellStyle name="_CurrencySpace_Sheet1_Pools" xfId="660" xr:uid="{00000000-0005-0000-0000-00000E020000}"/>
    <cellStyle name="_CurrencySpace_Sheet1_Pools_1" xfId="661" xr:uid="{00000000-0005-0000-0000-00000F020000}"/>
    <cellStyle name="_CurrencySpace_Sheet1_Pools_ControlTables" xfId="662" xr:uid="{00000000-0005-0000-0000-000010020000}"/>
    <cellStyle name="_CurrencySpace_Sheet1_Pools_ControlTablesI" xfId="663" xr:uid="{00000000-0005-0000-0000-000011020000}"/>
    <cellStyle name="_CurrencySpace_Sheet1_Pools_DB_Eye" xfId="664" xr:uid="{00000000-0005-0000-0000-000012020000}"/>
    <cellStyle name="_CurrencySpace_Sheet1_Pools_Exec Summary" xfId="665" xr:uid="{00000000-0005-0000-0000-000013020000}"/>
    <cellStyle name="_CurrencySpace_Sheet1_Pools_Exec Summary_1" xfId="666" xr:uid="{00000000-0005-0000-0000-000014020000}"/>
    <cellStyle name="_CurrencySpace_Sheet1_Pools_Sheet1" xfId="667" xr:uid="{00000000-0005-0000-0000-000015020000}"/>
    <cellStyle name="_CurrencySpace_Sheet1_Portfolio Valuation" xfId="668" xr:uid="{00000000-0005-0000-0000-000016020000}"/>
    <cellStyle name="_CurrencySpace_Sheet1_Prop 13" xfId="669" xr:uid="{00000000-0005-0000-0000-000017020000}"/>
    <cellStyle name="_CurrencySpace_Sheet1_Prop 13 Data" xfId="670" xr:uid="{00000000-0005-0000-0000-000018020000}"/>
    <cellStyle name="_CurrencySpace_Sheet1_Prop 13 Summary-11-10" xfId="671" xr:uid="{00000000-0005-0000-0000-000019020000}"/>
    <cellStyle name="_CurrencySpace_Sheet1_Property Assumptions" xfId="672" xr:uid="{00000000-0005-0000-0000-00001A020000}"/>
    <cellStyle name="_CurrencySpace_Sheet1_Property Assumptions_1" xfId="673" xr:uid="{00000000-0005-0000-0000-00001B020000}"/>
    <cellStyle name="_CurrencySpace_Sheet1_Quick Property Input" xfId="674" xr:uid="{00000000-0005-0000-0000-00001C020000}"/>
    <cellStyle name="_CurrencySpace_Sheet1_Senario Input Assumptions" xfId="675" xr:uid="{00000000-0005-0000-0000-00001D020000}"/>
    <cellStyle name="_CurrencySpace_Sheet1_Sheet1" xfId="676" xr:uid="{00000000-0005-0000-0000-00001E020000}"/>
    <cellStyle name="_CurrencySpace_Sheet1_Sheet2" xfId="677" xr:uid="{00000000-0005-0000-0000-00001F020000}"/>
    <cellStyle name="_CurrencySpace_Sheet1_Sheet2_1" xfId="678" xr:uid="{00000000-0005-0000-0000-000020020000}"/>
    <cellStyle name="_CurrencySpace_Sheet1_Sheet3" xfId="679" xr:uid="{00000000-0005-0000-0000-000021020000}"/>
    <cellStyle name="_CurrencySpace_Sheet1_Sheet5" xfId="680" xr:uid="{00000000-0005-0000-0000-000022020000}"/>
    <cellStyle name="_CurrencySpace_Sheet1_Structure Model_2003_test2" xfId="681" xr:uid="{00000000-0005-0000-0000-000023020000}"/>
    <cellStyle name="_CurrencySpace_Sheet2" xfId="682" xr:uid="{00000000-0005-0000-0000-000024020000}"/>
    <cellStyle name="_CurrencySpace_Sheet2_1" xfId="683" xr:uid="{00000000-0005-0000-0000-000025020000}"/>
    <cellStyle name="_CurrencySpace_Sheet3" xfId="684" xr:uid="{00000000-0005-0000-0000-000026020000}"/>
    <cellStyle name="_CurrencySpace_Sheet3_1" xfId="685" xr:uid="{00000000-0005-0000-0000-000027020000}"/>
    <cellStyle name="_CurrencySpace_Sheet4" xfId="686" xr:uid="{00000000-0005-0000-0000-000028020000}"/>
    <cellStyle name="_CurrencySpace_Sheet5" xfId="687" xr:uid="{00000000-0005-0000-0000-000029020000}"/>
    <cellStyle name="_CurrencySpace_Structure Model_2003_test2" xfId="688" xr:uid="{00000000-0005-0000-0000-00002A020000}"/>
    <cellStyle name="_CurrencySpace_Structure Model_2003_test2_ControlTables" xfId="689" xr:uid="{00000000-0005-0000-0000-00002B020000}"/>
    <cellStyle name="_CurrencySpace_Structure Model_2003_test2_ControlTablesI" xfId="690" xr:uid="{00000000-0005-0000-0000-00002C020000}"/>
    <cellStyle name="_CurrencySpace_Structure Model_2003_test2_DB_Eye" xfId="691" xr:uid="{00000000-0005-0000-0000-00002D020000}"/>
    <cellStyle name="_CurrencySpace_Structure Model_2003_test2_Exec Summary" xfId="692" xr:uid="{00000000-0005-0000-0000-00002E020000}"/>
    <cellStyle name="_CurrencySpace_Structure Model_2003_test2_Exec Summary_1" xfId="693" xr:uid="{00000000-0005-0000-0000-00002F020000}"/>
    <cellStyle name="_CurrencySpace_Structure Model_2003_test2_Sheet1" xfId="694" xr:uid="{00000000-0005-0000-0000-000030020000}"/>
    <cellStyle name="_Euro" xfId="695" xr:uid="{00000000-0005-0000-0000-000031020000}"/>
    <cellStyle name="_Euro_ControlTables" xfId="696" xr:uid="{00000000-0005-0000-0000-000032020000}"/>
    <cellStyle name="_Euro_ControlTablesI" xfId="697" xr:uid="{00000000-0005-0000-0000-000033020000}"/>
    <cellStyle name="_Euro_DB Eye" xfId="698" xr:uid="{00000000-0005-0000-0000-000034020000}"/>
    <cellStyle name="_Euro_DB_Eye" xfId="699" xr:uid="{00000000-0005-0000-0000-000035020000}"/>
    <cellStyle name="_Euro_Exec Summary" xfId="700" xr:uid="{00000000-0005-0000-0000-000036020000}"/>
    <cellStyle name="_Euro_Sheet1" xfId="701" xr:uid="{00000000-0005-0000-0000-000037020000}"/>
    <cellStyle name="_Existing Debt" xfId="702" xr:uid="{00000000-0005-0000-0000-000038020000}"/>
    <cellStyle name="_Heading" xfId="703" xr:uid="{00000000-0005-0000-0000-000039020000}"/>
    <cellStyle name="_Highlight" xfId="704" xr:uid="{00000000-0005-0000-0000-00003A020000}"/>
    <cellStyle name="_Multiple" xfId="705" xr:uid="{00000000-0005-0000-0000-00003B020000}"/>
    <cellStyle name="_Multiple_3-Yr Eyechart" xfId="706" xr:uid="{00000000-0005-0000-0000-00003C020000}"/>
    <cellStyle name="_Multiple_ARI Base Case July 25 TPS1" xfId="707" xr:uid="{00000000-0005-0000-0000-00003D020000}"/>
    <cellStyle name="_Multiple_Balance Sheet" xfId="708" xr:uid="{00000000-0005-0000-0000-00003E020000}"/>
    <cellStyle name="_Multiple_Cost Of Funds" xfId="709" xr:uid="{00000000-0005-0000-0000-00003F020000}"/>
    <cellStyle name="_Multiple_Criteria" xfId="710" xr:uid="{00000000-0005-0000-0000-000040020000}"/>
    <cellStyle name="_Multiple_Criteria Test Export" xfId="711" xr:uid="{00000000-0005-0000-0000-000041020000}"/>
    <cellStyle name="_Multiple_Data Tape" xfId="712" xr:uid="{00000000-0005-0000-0000-000042020000}"/>
    <cellStyle name="_Multiple_Data Tape_1" xfId="713" xr:uid="{00000000-0005-0000-0000-000043020000}"/>
    <cellStyle name="_Multiple_Data_Tape" xfId="714" xr:uid="{00000000-0005-0000-0000-000044020000}"/>
    <cellStyle name="_Multiple_DB_Eye" xfId="715" xr:uid="{00000000-0005-0000-0000-000045020000}"/>
    <cellStyle name="_Multiple_Deal Input" xfId="716" xr:uid="{00000000-0005-0000-0000-000046020000}"/>
    <cellStyle name="_Multiple_Direct Cap Eye" xfId="717" xr:uid="{00000000-0005-0000-0000-000047020000}"/>
    <cellStyle name="_Multiple_DPEM2005_vBetatest6" xfId="718" xr:uid="{00000000-0005-0000-0000-000048020000}"/>
    <cellStyle name="_Multiple_ETR" xfId="719" xr:uid="{00000000-0005-0000-0000-000049020000}"/>
    <cellStyle name="_Multiple_Existing Debt" xfId="720" xr:uid="{00000000-0005-0000-0000-00004A020000}"/>
    <cellStyle name="_Multiple_Existing Debt_1" xfId="721" xr:uid="{00000000-0005-0000-0000-00004B020000}"/>
    <cellStyle name="_Multiple_EyeChart" xfId="722" xr:uid="{00000000-0005-0000-0000-00004C020000}"/>
    <cellStyle name="_Multiple_EyeChart 090503" xfId="723" xr:uid="{00000000-0005-0000-0000-00004D020000}"/>
    <cellStyle name="_Multiple_Input" xfId="724" xr:uid="{00000000-0005-0000-0000-00004E020000}"/>
    <cellStyle name="_Multiple_Input_1" xfId="725" xr:uid="{00000000-0005-0000-0000-00004F020000}"/>
    <cellStyle name="_Multiple_Input_Data Tape" xfId="726" xr:uid="{00000000-0005-0000-0000-000050020000}"/>
    <cellStyle name="_Multiple_JV Economics" xfId="727" xr:uid="{00000000-0005-0000-0000-000051020000}"/>
    <cellStyle name="_Multiple_M&amp;A Feed" xfId="728" xr:uid="{00000000-0005-0000-0000-000052020000}"/>
    <cellStyle name="_Multiple_NPV Case Eyechart" xfId="729" xr:uid="{00000000-0005-0000-0000-000053020000}"/>
    <cellStyle name="_Multiple_Pools" xfId="730" xr:uid="{00000000-0005-0000-0000-000054020000}"/>
    <cellStyle name="_Multiple_Pools_1" xfId="731" xr:uid="{00000000-0005-0000-0000-000055020000}"/>
    <cellStyle name="_Multiple_Portfolio Valuation" xfId="732" xr:uid="{00000000-0005-0000-0000-000056020000}"/>
    <cellStyle name="_Multiple_Pricing" xfId="733" xr:uid="{00000000-0005-0000-0000-000057020000}"/>
    <cellStyle name="_Multiple_Prop 13" xfId="734" xr:uid="{00000000-0005-0000-0000-000058020000}"/>
    <cellStyle name="_Multiple_Prop 13 Data" xfId="735" xr:uid="{00000000-0005-0000-0000-000059020000}"/>
    <cellStyle name="_Multiple_Prop 13 Summary-11-10" xfId="736" xr:uid="{00000000-0005-0000-0000-00005A020000}"/>
    <cellStyle name="_Multiple_Property Assumptions" xfId="737" xr:uid="{00000000-0005-0000-0000-00005B020000}"/>
    <cellStyle name="_Multiple_Property Assumptions_1" xfId="738" xr:uid="{00000000-0005-0000-0000-00005C020000}"/>
    <cellStyle name="_Multiple_Quick Property Input" xfId="739" xr:uid="{00000000-0005-0000-0000-00005D020000}"/>
    <cellStyle name="_Multiple_Senario Input Assumptions" xfId="740" xr:uid="{00000000-0005-0000-0000-00005E020000}"/>
    <cellStyle name="_Multiple_Sheet1" xfId="741" xr:uid="{00000000-0005-0000-0000-00005F020000}"/>
    <cellStyle name="_Multiple_Sheet1_3-Yr Eyechart" xfId="742" xr:uid="{00000000-0005-0000-0000-000060020000}"/>
    <cellStyle name="_Multiple_Sheet1_Balance Sheet" xfId="743" xr:uid="{00000000-0005-0000-0000-000061020000}"/>
    <cellStyle name="_Multiple_Sheet1_Cost Of Funds" xfId="744" xr:uid="{00000000-0005-0000-0000-000062020000}"/>
    <cellStyle name="_Multiple_Sheet1_Criteria" xfId="745" xr:uid="{00000000-0005-0000-0000-000063020000}"/>
    <cellStyle name="_Multiple_Sheet1_Criteria Test Export" xfId="746" xr:uid="{00000000-0005-0000-0000-000064020000}"/>
    <cellStyle name="_Multiple_Sheet1_Data Tape" xfId="747" xr:uid="{00000000-0005-0000-0000-000065020000}"/>
    <cellStyle name="_Multiple_Sheet1_Data Tape_1" xfId="748" xr:uid="{00000000-0005-0000-0000-000066020000}"/>
    <cellStyle name="_Multiple_Sheet1_Data_Tape" xfId="749" xr:uid="{00000000-0005-0000-0000-000067020000}"/>
    <cellStyle name="_Multiple_Sheet1_Deal Input" xfId="750" xr:uid="{00000000-0005-0000-0000-000068020000}"/>
    <cellStyle name="_Multiple_Sheet1_Direct Cap Eye" xfId="751" xr:uid="{00000000-0005-0000-0000-000069020000}"/>
    <cellStyle name="_Multiple_Sheet1_DPEM2005_vBetatest6" xfId="752" xr:uid="{00000000-0005-0000-0000-00006A020000}"/>
    <cellStyle name="_Multiple_Sheet1_ETR" xfId="753" xr:uid="{00000000-0005-0000-0000-00006B020000}"/>
    <cellStyle name="_Multiple_Sheet1_Existing Debt" xfId="754" xr:uid="{00000000-0005-0000-0000-00006C020000}"/>
    <cellStyle name="_Multiple_Sheet1_Input" xfId="755" xr:uid="{00000000-0005-0000-0000-00006D020000}"/>
    <cellStyle name="_Multiple_Sheet1_Input_1" xfId="756" xr:uid="{00000000-0005-0000-0000-00006E020000}"/>
    <cellStyle name="_Multiple_Sheet1_Input_Data Tape" xfId="757" xr:uid="{00000000-0005-0000-0000-00006F020000}"/>
    <cellStyle name="_Multiple_Sheet1_M&amp;A Feed" xfId="758" xr:uid="{00000000-0005-0000-0000-000070020000}"/>
    <cellStyle name="_Multiple_Sheet1_NPV Case Eyechart" xfId="759" xr:uid="{00000000-0005-0000-0000-000071020000}"/>
    <cellStyle name="_Multiple_Sheet1_Pools" xfId="760" xr:uid="{00000000-0005-0000-0000-000072020000}"/>
    <cellStyle name="_Multiple_Sheet1_Pools_1" xfId="761" xr:uid="{00000000-0005-0000-0000-000073020000}"/>
    <cellStyle name="_Multiple_Sheet1_Portfolio Valuation" xfId="762" xr:uid="{00000000-0005-0000-0000-000074020000}"/>
    <cellStyle name="_Multiple_Sheet1_Prop 13" xfId="763" xr:uid="{00000000-0005-0000-0000-000075020000}"/>
    <cellStyle name="_Multiple_Sheet1_Prop 13 Data" xfId="764" xr:uid="{00000000-0005-0000-0000-000076020000}"/>
    <cellStyle name="_Multiple_Sheet1_Prop 13 Summary-11-10" xfId="765" xr:uid="{00000000-0005-0000-0000-000077020000}"/>
    <cellStyle name="_Multiple_Sheet1_Property Assumptions" xfId="766" xr:uid="{00000000-0005-0000-0000-000078020000}"/>
    <cellStyle name="_Multiple_Sheet1_Property Assumptions_1" xfId="767" xr:uid="{00000000-0005-0000-0000-000079020000}"/>
    <cellStyle name="_Multiple_Sheet1_Quick Property Input" xfId="768" xr:uid="{00000000-0005-0000-0000-00007A020000}"/>
    <cellStyle name="_Multiple_Sheet1_Senario Input Assumptions" xfId="769" xr:uid="{00000000-0005-0000-0000-00007B020000}"/>
    <cellStyle name="_Multiple_Sheet1_Sheet1" xfId="770" xr:uid="{00000000-0005-0000-0000-00007C020000}"/>
    <cellStyle name="_Multiple_Sheet1_Sheet2" xfId="771" xr:uid="{00000000-0005-0000-0000-00007D020000}"/>
    <cellStyle name="_Multiple_Sheet1_Sheet2_1" xfId="772" xr:uid="{00000000-0005-0000-0000-00007E020000}"/>
    <cellStyle name="_Multiple_Sheet1_Sheet3" xfId="773" xr:uid="{00000000-0005-0000-0000-00007F020000}"/>
    <cellStyle name="_Multiple_Sheet1_Sheet5" xfId="774" xr:uid="{00000000-0005-0000-0000-000080020000}"/>
    <cellStyle name="_Multiple_Sheet1_Structure Model_2003_test2" xfId="775" xr:uid="{00000000-0005-0000-0000-000081020000}"/>
    <cellStyle name="_Multiple_Sheet2" xfId="776" xr:uid="{00000000-0005-0000-0000-000082020000}"/>
    <cellStyle name="_Multiple_Sheet2_1" xfId="777" xr:uid="{00000000-0005-0000-0000-000083020000}"/>
    <cellStyle name="_Multiple_Sheet3" xfId="778" xr:uid="{00000000-0005-0000-0000-000084020000}"/>
    <cellStyle name="_Multiple_Sheet3_1" xfId="779" xr:uid="{00000000-0005-0000-0000-000085020000}"/>
    <cellStyle name="_Multiple_Sheet4" xfId="780" xr:uid="{00000000-0005-0000-0000-000086020000}"/>
    <cellStyle name="_Multiple_Sheet5" xfId="781" xr:uid="{00000000-0005-0000-0000-000087020000}"/>
    <cellStyle name="_Multiple_Structure Model_2003_test2" xfId="782" xr:uid="{00000000-0005-0000-0000-000088020000}"/>
    <cellStyle name="_MultipleSpace" xfId="783" xr:uid="{00000000-0005-0000-0000-000089020000}"/>
    <cellStyle name="_MultipleSpace_ARI Base Case July 25 TPS1" xfId="784" xr:uid="{00000000-0005-0000-0000-00008A020000}"/>
    <cellStyle name="_MultipleSpace_DB_Eye" xfId="785" xr:uid="{00000000-0005-0000-0000-00008B020000}"/>
    <cellStyle name="_MultipleSpace_Existing Debt" xfId="786" xr:uid="{00000000-0005-0000-0000-00008C020000}"/>
    <cellStyle name="_MultipleSpace_EyeChart" xfId="787" xr:uid="{00000000-0005-0000-0000-00008D020000}"/>
    <cellStyle name="_MultipleSpace_EyeChart 090503" xfId="788" xr:uid="{00000000-0005-0000-0000-00008E020000}"/>
    <cellStyle name="_MultipleSpace_Input" xfId="789" xr:uid="{00000000-0005-0000-0000-00008F020000}"/>
    <cellStyle name="_MultipleSpace_Input_1" xfId="790" xr:uid="{00000000-0005-0000-0000-000090020000}"/>
    <cellStyle name="_MultipleSpace_Pricing" xfId="791" xr:uid="{00000000-0005-0000-0000-000091020000}"/>
    <cellStyle name="_MultipleSpace_Sheet2" xfId="792" xr:uid="{00000000-0005-0000-0000-000092020000}"/>
    <cellStyle name="_MultipleSpace_Sheet4" xfId="793" xr:uid="{00000000-0005-0000-0000-000093020000}"/>
    <cellStyle name="_Percent" xfId="794" xr:uid="{00000000-0005-0000-0000-000094020000}"/>
    <cellStyle name="_Percent_ARI Base Case July 25 TPS1" xfId="795" xr:uid="{00000000-0005-0000-0000-000095020000}"/>
    <cellStyle name="_Percent_Existing Debt" xfId="796" xr:uid="{00000000-0005-0000-0000-000096020000}"/>
    <cellStyle name="_PercentSpace" xfId="797" xr:uid="{00000000-0005-0000-0000-000097020000}"/>
    <cellStyle name="_PercentSpace_ARI Base Case July 25 TPS1" xfId="798" xr:uid="{00000000-0005-0000-0000-000098020000}"/>
    <cellStyle name="_PercentSpace_Existing Debt" xfId="799" xr:uid="{00000000-0005-0000-0000-000099020000}"/>
    <cellStyle name="_SubHeading" xfId="800" xr:uid="{00000000-0005-0000-0000-00009A020000}"/>
    <cellStyle name="_Table" xfId="801" xr:uid="{00000000-0005-0000-0000-00009B020000}"/>
    <cellStyle name="_TableHead" xfId="802" xr:uid="{00000000-0005-0000-0000-00009C020000}"/>
    <cellStyle name="_TableRowHead" xfId="803" xr:uid="{00000000-0005-0000-0000-00009D020000}"/>
    <cellStyle name="_TableSuperHead" xfId="804" xr:uid="{00000000-0005-0000-0000-00009E020000}"/>
    <cellStyle name="0.0 x" xfId="805" xr:uid="{00000000-0005-0000-0000-0000A2020000}"/>
    <cellStyle name="000" xfId="806" xr:uid="{00000000-0005-0000-0000-0000A3020000}"/>
    <cellStyle name="1" xfId="807" xr:uid="{00000000-0005-0000-0000-0000A4020000}"/>
    <cellStyle name="1_03-05-31 Final OBS Reports" xfId="808" xr:uid="{00000000-0005-0000-0000-0000A5020000}"/>
    <cellStyle name="1_GMACCH_Loans_OBS_033103_Final_v2" xfId="809" xr:uid="{00000000-0005-0000-0000-0000A6020000}"/>
    <cellStyle name="1_Japan - 3Q02 Risk Rating Worksheet - 101602_Japan" xfId="810" xr:uid="{00000000-0005-0000-0000-0000A7020000}"/>
    <cellStyle name="1_Japan - 3Q02 Risk Rating Worksheet - 101602_Japan_Comparison vs. prior_Q2 2003" xfId="811" xr:uid="{00000000-0005-0000-0000-0000A8020000}"/>
    <cellStyle name="1_Japan - 4Q2002 - Risk Rating Worksheet_final" xfId="812" xr:uid="{00000000-0005-0000-0000-0000A9020000}"/>
    <cellStyle name="1_Japan - 4Q2002 - Risk Rating Worksheet_final_12.11.2002" xfId="813" xr:uid="{00000000-0005-0000-0000-0000AA020000}"/>
    <cellStyle name="1_Japan - 4Q2002 - Risk Rating Worksheet_final_12.11.2002_Comparison vs. prior_Q2 2003" xfId="814" xr:uid="{00000000-0005-0000-0000-0000AB020000}"/>
    <cellStyle name="1_Japan - 4Q2002 - Risk Rating Worksheet_final_Comparison vs. prior_Q2 2003" xfId="815" xr:uid="{00000000-0005-0000-0000-0000AC020000}"/>
    <cellStyle name="1_Japan-1Q2003 - Risk Rating Worksheet03.06.2003F" xfId="816" xr:uid="{00000000-0005-0000-0000-0000AD020000}"/>
    <cellStyle name="1_Japan-1Q2003 - Risk Rating Worksheet03.06.2003F_Comparison vs. prior_Q2 2003" xfId="817" xr:uid="{00000000-0005-0000-0000-0000AE020000}"/>
    <cellStyle name="1_SALEM" xfId="818" xr:uid="{00000000-0005-0000-0000-0000AF020000}"/>
    <cellStyle name="1_SALEM_03-05-31 Final OBS Reports" xfId="819" xr:uid="{00000000-0005-0000-0000-0000B0020000}"/>
    <cellStyle name="1_SALEM_GMACCH_Loans_OBS_033103_Final_v2" xfId="820" xr:uid="{00000000-0005-0000-0000-0000B1020000}"/>
    <cellStyle name="1_SALEM_Japan - 3Q02 Risk Rating Worksheet - 101602_Japan" xfId="821" xr:uid="{00000000-0005-0000-0000-0000B2020000}"/>
    <cellStyle name="1_SALEM_Japan - 3Q02 Risk Rating Worksheet - 101602_Japan_Comparison vs. prior_Q2 2003" xfId="822" xr:uid="{00000000-0005-0000-0000-0000B3020000}"/>
    <cellStyle name="1_SALEM_Japan - 4Q2002 - Risk Rating Worksheet_final" xfId="823" xr:uid="{00000000-0005-0000-0000-0000B4020000}"/>
    <cellStyle name="1_SALEM_Japan - 4Q2002 - Risk Rating Worksheet_final_12.11.2002" xfId="824" xr:uid="{00000000-0005-0000-0000-0000B5020000}"/>
    <cellStyle name="1_SALEM_Japan - 4Q2002 - Risk Rating Worksheet_final_12.11.2002_Comparison vs. prior_Q2 2003" xfId="825" xr:uid="{00000000-0005-0000-0000-0000B6020000}"/>
    <cellStyle name="1_SALEM_Japan - 4Q2002 - Risk Rating Worksheet_final_Comparison vs. prior_Q2 2003" xfId="826" xr:uid="{00000000-0005-0000-0000-0000B7020000}"/>
    <cellStyle name="1_SALEM_Japan-1Q2003 - Risk Rating Worksheet03.06.2003F" xfId="827" xr:uid="{00000000-0005-0000-0000-0000B8020000}"/>
    <cellStyle name="1_SALEM_Japan-1Q2003 - Risk Rating Worksheet03.06.2003F_Comparison vs. prior_Q2 2003" xfId="828" xr:uid="{00000000-0005-0000-0000-0000B9020000}"/>
    <cellStyle name="1_SALEM_Sheet1" xfId="829" xr:uid="{00000000-0005-0000-0000-0000BA020000}"/>
    <cellStyle name="1_SALEM_Sheet3" xfId="830" xr:uid="{00000000-0005-0000-0000-0000BB020000}"/>
    <cellStyle name="1_sec8 (2)" xfId="831" xr:uid="{00000000-0005-0000-0000-0000BC020000}"/>
    <cellStyle name="1_sec8 (2)_03-05-31 Final OBS Reports" xfId="832" xr:uid="{00000000-0005-0000-0000-0000BD020000}"/>
    <cellStyle name="1_sec8 (2)_GMACCH_Loans_OBS_033103_Final_v2" xfId="833" xr:uid="{00000000-0005-0000-0000-0000BE020000}"/>
    <cellStyle name="1_sec8 (2)_Japan - 3Q02 Risk Rating Worksheet - 101602_Japan" xfId="834" xr:uid="{00000000-0005-0000-0000-0000BF020000}"/>
    <cellStyle name="1_sec8 (2)_Japan - 3Q02 Risk Rating Worksheet - 101602_Japan_Comparison vs. prior_Q2 2003" xfId="835" xr:uid="{00000000-0005-0000-0000-0000C0020000}"/>
    <cellStyle name="1_sec8 (2)_Japan - 4Q2002 - Risk Rating Worksheet_final" xfId="836" xr:uid="{00000000-0005-0000-0000-0000C1020000}"/>
    <cellStyle name="1_sec8 (2)_Japan - 4Q2002 - Risk Rating Worksheet_final_12.11.2002" xfId="837" xr:uid="{00000000-0005-0000-0000-0000C2020000}"/>
    <cellStyle name="1_sec8 (2)_Japan - 4Q2002 - Risk Rating Worksheet_final_12.11.2002_Comparison vs. prior_Q2 2003" xfId="838" xr:uid="{00000000-0005-0000-0000-0000C3020000}"/>
    <cellStyle name="1_sec8 (2)_Japan - 4Q2002 - Risk Rating Worksheet_final_Comparison vs. prior_Q2 2003" xfId="839" xr:uid="{00000000-0005-0000-0000-0000C4020000}"/>
    <cellStyle name="1_sec8 (2)_Japan-1Q2003 - Risk Rating Worksheet03.06.2003F" xfId="840" xr:uid="{00000000-0005-0000-0000-0000C5020000}"/>
    <cellStyle name="1_sec8 (2)_Japan-1Q2003 - Risk Rating Worksheet03.06.2003F_Comparison vs. prior_Q2 2003" xfId="841" xr:uid="{00000000-0005-0000-0000-0000C6020000}"/>
    <cellStyle name="1_sec8 (2)_Sheet1" xfId="842" xr:uid="{00000000-0005-0000-0000-0000C7020000}"/>
    <cellStyle name="1_sec8 (2)_Sheet3" xfId="843" xr:uid="{00000000-0005-0000-0000-0000C8020000}"/>
    <cellStyle name="1_Sheet1" xfId="844" xr:uid="{00000000-0005-0000-0000-0000C9020000}"/>
    <cellStyle name="1_Sheet3" xfId="845" xr:uid="{00000000-0005-0000-0000-0000CA020000}"/>
    <cellStyle name="2" xfId="846" xr:uid="{00000000-0005-0000-0000-0000CB020000}"/>
    <cellStyle name="2_03-05-31 Final OBS Reports" xfId="847" xr:uid="{00000000-0005-0000-0000-0000CC020000}"/>
    <cellStyle name="2_GMACCH_Loans_OBS_033103_Final_v2" xfId="848" xr:uid="{00000000-0005-0000-0000-0000CD020000}"/>
    <cellStyle name="2_Japan - 3Q02 Risk Rating Worksheet - 101602_Japan" xfId="849" xr:uid="{00000000-0005-0000-0000-0000CE020000}"/>
    <cellStyle name="2_Japan - 3Q02 Risk Rating Worksheet - 101602_Japan_Comparison vs. prior_Q2 2003" xfId="850" xr:uid="{00000000-0005-0000-0000-0000CF020000}"/>
    <cellStyle name="2_Japan - 4Q2002 - Risk Rating Worksheet_final" xfId="851" xr:uid="{00000000-0005-0000-0000-0000D0020000}"/>
    <cellStyle name="2_Japan - 4Q2002 - Risk Rating Worksheet_final_12.11.2002" xfId="852" xr:uid="{00000000-0005-0000-0000-0000D1020000}"/>
    <cellStyle name="2_Japan - 4Q2002 - Risk Rating Worksheet_final_12.11.2002_Comparison vs. prior_Q2 2003" xfId="853" xr:uid="{00000000-0005-0000-0000-0000D2020000}"/>
    <cellStyle name="2_Japan - 4Q2002 - Risk Rating Worksheet_final_Comparison vs. prior_Q2 2003" xfId="854" xr:uid="{00000000-0005-0000-0000-0000D3020000}"/>
    <cellStyle name="2_Japan-1Q2003 - Risk Rating Worksheet03.06.2003F" xfId="855" xr:uid="{00000000-0005-0000-0000-0000D4020000}"/>
    <cellStyle name="2_Japan-1Q2003 - Risk Rating Worksheet03.06.2003F_Comparison vs. prior_Q2 2003" xfId="856" xr:uid="{00000000-0005-0000-0000-0000D5020000}"/>
    <cellStyle name="2_SALEM" xfId="857" xr:uid="{00000000-0005-0000-0000-0000D6020000}"/>
    <cellStyle name="2_SALEM_03-05-31 Final OBS Reports" xfId="858" xr:uid="{00000000-0005-0000-0000-0000D7020000}"/>
    <cellStyle name="2_SALEM_GMACCH_Loans_OBS_033103_Final_v2" xfId="859" xr:uid="{00000000-0005-0000-0000-0000D8020000}"/>
    <cellStyle name="2_SALEM_Japan - 3Q02 Risk Rating Worksheet - 101602_Japan" xfId="860" xr:uid="{00000000-0005-0000-0000-0000D9020000}"/>
    <cellStyle name="2_SALEM_Japan - 3Q02 Risk Rating Worksheet - 101602_Japan_Comparison vs. prior_Q2 2003" xfId="861" xr:uid="{00000000-0005-0000-0000-0000DA020000}"/>
    <cellStyle name="2_SALEM_Japan - 4Q2002 - Risk Rating Worksheet_final" xfId="862" xr:uid="{00000000-0005-0000-0000-0000DB020000}"/>
    <cellStyle name="2_SALEM_Japan - 4Q2002 - Risk Rating Worksheet_final_12.11.2002" xfId="863" xr:uid="{00000000-0005-0000-0000-0000DC020000}"/>
    <cellStyle name="2_SALEM_Japan - 4Q2002 - Risk Rating Worksheet_final_12.11.2002_Comparison vs. prior_Q2 2003" xfId="864" xr:uid="{00000000-0005-0000-0000-0000DD020000}"/>
    <cellStyle name="2_SALEM_Japan - 4Q2002 - Risk Rating Worksheet_final_Comparison vs. prior_Q2 2003" xfId="865" xr:uid="{00000000-0005-0000-0000-0000DE020000}"/>
    <cellStyle name="2_SALEM_Japan-1Q2003 - Risk Rating Worksheet03.06.2003F" xfId="866" xr:uid="{00000000-0005-0000-0000-0000DF020000}"/>
    <cellStyle name="2_SALEM_Japan-1Q2003 - Risk Rating Worksheet03.06.2003F_Comparison vs. prior_Q2 2003" xfId="867" xr:uid="{00000000-0005-0000-0000-0000E0020000}"/>
    <cellStyle name="2_SALEM_Sheet1" xfId="868" xr:uid="{00000000-0005-0000-0000-0000E1020000}"/>
    <cellStyle name="2_SALEM_Sheet3" xfId="869" xr:uid="{00000000-0005-0000-0000-0000E2020000}"/>
    <cellStyle name="2_Sheet1" xfId="870" xr:uid="{00000000-0005-0000-0000-0000E3020000}"/>
    <cellStyle name="2_Sheet3" xfId="871" xr:uid="{00000000-0005-0000-0000-0000E4020000}"/>
    <cellStyle name="3" xfId="872" xr:uid="{00000000-0005-0000-0000-0000E5020000}"/>
    <cellStyle name="3$" xfId="873" xr:uid="{00000000-0005-0000-0000-0000F2020000}"/>
    <cellStyle name="3_03-05-31 Final OBS Reports" xfId="874" xr:uid="{00000000-0005-0000-0000-0000E6020000}"/>
    <cellStyle name="3_GMACCH_Loans_OBS_033103_Final_v2" xfId="875" xr:uid="{00000000-0005-0000-0000-0000E7020000}"/>
    <cellStyle name="3_Japan - 3Q02 Risk Rating Worksheet - 101602_Japan" xfId="876" xr:uid="{00000000-0005-0000-0000-0000E8020000}"/>
    <cellStyle name="3_Japan - 3Q02 Risk Rating Worksheet - 101602_Japan_Comparison vs. prior_Q2 2003" xfId="877" xr:uid="{00000000-0005-0000-0000-0000E9020000}"/>
    <cellStyle name="3_Japan - 4Q2002 - Risk Rating Worksheet_final" xfId="878" xr:uid="{00000000-0005-0000-0000-0000EA020000}"/>
    <cellStyle name="3_Japan - 4Q2002 - Risk Rating Worksheet_final_12.11.2002" xfId="879" xr:uid="{00000000-0005-0000-0000-0000EB020000}"/>
    <cellStyle name="3_Japan - 4Q2002 - Risk Rating Worksheet_final_12.11.2002_Comparison vs. prior_Q2 2003" xfId="880" xr:uid="{00000000-0005-0000-0000-0000EC020000}"/>
    <cellStyle name="3_Japan - 4Q2002 - Risk Rating Worksheet_final_Comparison vs. prior_Q2 2003" xfId="881" xr:uid="{00000000-0005-0000-0000-0000ED020000}"/>
    <cellStyle name="3_Japan-1Q2003 - Risk Rating Worksheet03.06.2003F" xfId="882" xr:uid="{00000000-0005-0000-0000-0000EE020000}"/>
    <cellStyle name="3_Japan-1Q2003 - Risk Rating Worksheet03.06.2003F_Comparison vs. prior_Q2 2003" xfId="883" xr:uid="{00000000-0005-0000-0000-0000EF020000}"/>
    <cellStyle name="3_Sheet1" xfId="884" xr:uid="{00000000-0005-0000-0000-0000F0020000}"/>
    <cellStyle name="3_Sheet3" xfId="885" xr:uid="{00000000-0005-0000-0000-0000F1020000}"/>
    <cellStyle name="A" xfId="886" xr:uid="{00000000-0005-0000-0000-0000F3020000}"/>
    <cellStyle name="Actual Date" xfId="887" xr:uid="{00000000-0005-0000-0000-0000F4020000}"/>
    <cellStyle name="AFE" xfId="888" xr:uid="{00000000-0005-0000-0000-0000F5020000}"/>
    <cellStyle name="ag" xfId="889" xr:uid="{00000000-0005-0000-0000-0000F6020000}"/>
    <cellStyle name="args.style" xfId="890" xr:uid="{00000000-0005-0000-0000-0000F7020000}"/>
    <cellStyle name="Arial 10" xfId="891" xr:uid="{00000000-0005-0000-0000-0000F8020000}"/>
    <cellStyle name="Arial 12" xfId="892" xr:uid="{00000000-0005-0000-0000-0000F9020000}"/>
    <cellStyle name="BLACK" xfId="893" xr:uid="{00000000-0005-0000-0000-0000FA020000}"/>
    <cellStyle name="Blank[,]" xfId="894" xr:uid="{00000000-0005-0000-0000-0000FB020000}"/>
    <cellStyle name="Blank[1%]" xfId="895" xr:uid="{00000000-0005-0000-0000-0000FC020000}"/>
    <cellStyle name="Blue" xfId="896" xr:uid="{00000000-0005-0000-0000-0000FD020000}"/>
    <cellStyle name="blue currency" xfId="897" xr:uid="{00000000-0005-0000-0000-0000FE020000}"/>
    <cellStyle name="BLUE date" xfId="898" xr:uid="{00000000-0005-0000-0000-0000FF020000}"/>
    <cellStyle name="blue$00" xfId="899" xr:uid="{00000000-0005-0000-0000-000001030000}"/>
    <cellStyle name="BLUE_Citrix_2pgr2" xfId="900" xr:uid="{00000000-0005-0000-0000-000000030000}"/>
    <cellStyle name="Body" xfId="901" xr:uid="{00000000-0005-0000-0000-000002030000}"/>
    <cellStyle name="BOLD, 8 POINT" xfId="902" xr:uid="{00000000-0005-0000-0000-000003030000}"/>
    <cellStyle name="BoldItalicNoUnderline" xfId="903" xr:uid="{00000000-0005-0000-0000-000004030000}"/>
    <cellStyle name="BoldSDoubUnderlineBack" xfId="904" xr:uid="{00000000-0005-0000-0000-000005030000}"/>
    <cellStyle name="BoldSingUnderline" xfId="905" xr:uid="{00000000-0005-0000-0000-000006030000}"/>
    <cellStyle name="Border Heavy" xfId="906" xr:uid="{00000000-0005-0000-0000-000007030000}"/>
    <cellStyle name="Border Thin" xfId="907" xr:uid="{00000000-0005-0000-0000-000008030000}"/>
    <cellStyle name="bottomHeavy" xfId="908" xr:uid="{00000000-0005-0000-0000-000009030000}"/>
    <cellStyle name="bottomHeavy-w-left" xfId="909" xr:uid="{00000000-0005-0000-0000-00000A030000}"/>
    <cellStyle name="brad" xfId="910" xr:uid="{00000000-0005-0000-0000-00000B030000}"/>
    <cellStyle name="British Pound" xfId="911" xr:uid="{00000000-0005-0000-0000-00000C030000}"/>
    <cellStyle name="Ç¥ÁØ_¿ù°£¿ä¾àº¸°í" xfId="912" xr:uid="{00000000-0005-0000-0000-00000D030000}"/>
    <cellStyle name="Calc Currency (0)" xfId="913" xr:uid="{00000000-0005-0000-0000-00000E030000}"/>
    <cellStyle name="Calc Currency (2)" xfId="914" xr:uid="{00000000-0005-0000-0000-00000F030000}"/>
    <cellStyle name="Calc Percent (0)" xfId="915" xr:uid="{00000000-0005-0000-0000-000010030000}"/>
    <cellStyle name="Calc Percent (1)" xfId="916" xr:uid="{00000000-0005-0000-0000-000011030000}"/>
    <cellStyle name="Calc Percent (2)" xfId="917" xr:uid="{00000000-0005-0000-0000-000012030000}"/>
    <cellStyle name="Calc Units (0)" xfId="918" xr:uid="{00000000-0005-0000-0000-000013030000}"/>
    <cellStyle name="Calc Units (1)" xfId="919" xr:uid="{00000000-0005-0000-0000-000014030000}"/>
    <cellStyle name="Calc Units (2)" xfId="920" xr:uid="{00000000-0005-0000-0000-000015030000}"/>
    <cellStyle name="caps 0.00" xfId="921" xr:uid="{00000000-0005-0000-0000-000016030000}"/>
    <cellStyle name="capsdate" xfId="922" xr:uid="{00000000-0005-0000-0000-000017030000}"/>
    <cellStyle name="Case" xfId="923" xr:uid="{00000000-0005-0000-0000-000018030000}"/>
    <cellStyle name="Cash Flow Statement" xfId="924" xr:uid="{00000000-0005-0000-0000-000019030000}"/>
    <cellStyle name="Center Across" xfId="925" xr:uid="{00000000-0005-0000-0000-00001A030000}"/>
    <cellStyle name="colheadleft" xfId="926" xr:uid="{00000000-0005-0000-0000-00001B030000}"/>
    <cellStyle name="colheadright" xfId="927" xr:uid="{00000000-0005-0000-0000-00001C030000}"/>
    <cellStyle name="Column Heading" xfId="928" xr:uid="{00000000-0005-0000-0000-00001D030000}"/>
    <cellStyle name="ColumnHeading" xfId="929" xr:uid="{00000000-0005-0000-0000-00001E030000}"/>
    <cellStyle name="Comma" xfId="1360" builtinId="3"/>
    <cellStyle name="Comma [00]" xfId="930" xr:uid="{00000000-0005-0000-0000-000020030000}"/>
    <cellStyle name="Comma [1]" xfId="931" xr:uid="{00000000-0005-0000-0000-000021030000}"/>
    <cellStyle name="Comma 0" xfId="932" xr:uid="{00000000-0005-0000-0000-000022030000}"/>
    <cellStyle name="Comma 0*" xfId="933" xr:uid="{00000000-0005-0000-0000-000023030000}"/>
    <cellStyle name="Comma 2" xfId="3" xr:uid="{00000000-0005-0000-0000-000024030000}"/>
    <cellStyle name="Comma 2 10" xfId="22" xr:uid="{00000000-0005-0000-0000-000025030000}"/>
    <cellStyle name="Comma 2 2" xfId="11" xr:uid="{00000000-0005-0000-0000-000026030000}"/>
    <cellStyle name="Comma 3" xfId="17" xr:uid="{00000000-0005-0000-0000-000027030000}"/>
    <cellStyle name="Comma 4" xfId="20" xr:uid="{00000000-0005-0000-0000-000028030000}"/>
    <cellStyle name="Comma 5" xfId="934" xr:uid="{00000000-0005-0000-0000-000029030000}"/>
    <cellStyle name="Comma 6" xfId="935" xr:uid="{00000000-0005-0000-0000-00002A030000}"/>
    <cellStyle name="Comma 7" xfId="936" xr:uid="{00000000-0005-0000-0000-00002B030000}"/>
    <cellStyle name="Comma 8" xfId="1350" xr:uid="{00000000-0005-0000-0000-00002C030000}"/>
    <cellStyle name="Comma 9" xfId="1359" xr:uid="{DC164E84-3E58-4E35-9903-251FD07BA1A7}"/>
    <cellStyle name="Comma0" xfId="937" xr:uid="{00000000-0005-0000-0000-00002D030000}"/>
    <cellStyle name="Comma0 - Style3" xfId="938" xr:uid="{00000000-0005-0000-0000-00002E030000}"/>
    <cellStyle name="Comma0 - Style5" xfId="939" xr:uid="{00000000-0005-0000-0000-00002F030000}"/>
    <cellStyle name="Comma0_Criteria" xfId="940" xr:uid="{00000000-0005-0000-0000-000030030000}"/>
    <cellStyle name="Comma1 - Style1" xfId="941" xr:uid="{00000000-0005-0000-0000-000031030000}"/>
    <cellStyle name="CommaFixed" xfId="942" xr:uid="{00000000-0005-0000-0000-000032030000}"/>
    <cellStyle name="CommaNoDec" xfId="943" xr:uid="{00000000-0005-0000-0000-000033030000}"/>
    <cellStyle name="CommaNoDecTot" xfId="944" xr:uid="{00000000-0005-0000-0000-000034030000}"/>
    <cellStyle name="CommaTotTop" xfId="945" xr:uid="{00000000-0005-0000-0000-000035030000}"/>
    <cellStyle name="CommaTotTopNoDec" xfId="946" xr:uid="{00000000-0005-0000-0000-000036030000}"/>
    <cellStyle name="Copied" xfId="947" xr:uid="{00000000-0005-0000-0000-000037030000}"/>
    <cellStyle name="COST1" xfId="948" xr:uid="{00000000-0005-0000-0000-000038030000}"/>
    <cellStyle name="Curren - Style2" xfId="949" xr:uid="{00000000-0005-0000-0000-000039030000}"/>
    <cellStyle name="Curren - Style4" xfId="950" xr:uid="{00000000-0005-0000-0000-00003A030000}"/>
    <cellStyle name="Currency" xfId="18" builtinId="4"/>
    <cellStyle name="Currency [00]" xfId="951" xr:uid="{00000000-0005-0000-0000-00003C030000}"/>
    <cellStyle name="Currency [2]" xfId="952" xr:uid="{00000000-0005-0000-0000-00003D030000}"/>
    <cellStyle name="Currency 0" xfId="953" xr:uid="{00000000-0005-0000-0000-00003E030000}"/>
    <cellStyle name="Currency 2" xfId="4" xr:uid="{00000000-0005-0000-0000-00003F030000}"/>
    <cellStyle name="Currency 2 2" xfId="12" xr:uid="{00000000-0005-0000-0000-000040030000}"/>
    <cellStyle name="Currency 2 3" xfId="1355" xr:uid="{00000000-0005-0000-0000-000041030000}"/>
    <cellStyle name="Currency 3" xfId="954" xr:uid="{00000000-0005-0000-0000-000042030000}"/>
    <cellStyle name="Currency 4" xfId="955" xr:uid="{00000000-0005-0000-0000-000043030000}"/>
    <cellStyle name="Currency 5" xfId="956" xr:uid="{00000000-0005-0000-0000-000044030000}"/>
    <cellStyle name="Currency 6" xfId="957" xr:uid="{00000000-0005-0000-0000-000045030000}"/>
    <cellStyle name="Currency 7" xfId="958" xr:uid="{00000000-0005-0000-0000-000046030000}"/>
    <cellStyle name="Currency 8" xfId="1358" xr:uid="{E3B2DBE1-D04C-412B-9A10-6043A65E5AC8}"/>
    <cellStyle name="Currency0" xfId="959" xr:uid="{00000000-0005-0000-0000-000047030000}"/>
    <cellStyle name="Currency1" xfId="960" xr:uid="{00000000-0005-0000-0000-000048030000}"/>
    <cellStyle name="CurrencyTotTop[" xfId="961" xr:uid="{00000000-0005-0000-0000-000049030000}"/>
    <cellStyle name="D" xfId="962" xr:uid="{00000000-0005-0000-0000-00004A030000}"/>
    <cellStyle name="Date" xfId="963" xr:uid="{00000000-0005-0000-0000-00004B030000}"/>
    <cellStyle name="Date Aligned" xfId="964" xr:uid="{00000000-0005-0000-0000-00004C030000}"/>
    <cellStyle name="date month-year" xfId="965" xr:uid="{00000000-0005-0000-0000-00004D030000}"/>
    <cellStyle name="Date Short" xfId="966" xr:uid="{00000000-0005-0000-0000-00004E030000}"/>
    <cellStyle name="date_09.01.01_Property_Tax_Basis1" xfId="967" xr:uid="{00000000-0005-0000-0000-00004F030000}"/>
    <cellStyle name="Date1" xfId="968" xr:uid="{00000000-0005-0000-0000-000050030000}"/>
    <cellStyle name="DATETIME" xfId="969" xr:uid="{00000000-0005-0000-0000-000051030000}"/>
    <cellStyle name="decimal 0" xfId="970" xr:uid="{00000000-0005-0000-0000-000052030000}"/>
    <cellStyle name="decimal 1" xfId="971" xr:uid="{00000000-0005-0000-0000-000053030000}"/>
    <cellStyle name="decimal 2" xfId="972" xr:uid="{00000000-0005-0000-0000-000054030000}"/>
    <cellStyle name="Dollar" xfId="973" xr:uid="{00000000-0005-0000-0000-000055030000}"/>
    <cellStyle name="Dollar1" xfId="974" xr:uid="{00000000-0005-0000-0000-000056030000}"/>
    <cellStyle name="Dollar1Blue" xfId="975" xr:uid="{00000000-0005-0000-0000-000057030000}"/>
    <cellStyle name="Dollar2" xfId="976" xr:uid="{00000000-0005-0000-0000-000058030000}"/>
    <cellStyle name="Dotted Line" xfId="977" xr:uid="{00000000-0005-0000-0000-000059030000}"/>
    <cellStyle name="Double Accounting" xfId="978" xr:uid="{00000000-0005-0000-0000-00005A030000}"/>
    <cellStyle name="dp*Accent" xfId="979" xr:uid="{00000000-0005-0000-0000-00005B030000}"/>
    <cellStyle name="dp*ChartSubTitle" xfId="980" xr:uid="{00000000-0005-0000-0000-00005C030000}"/>
    <cellStyle name="dp*ChartTitle" xfId="981" xr:uid="{00000000-0005-0000-0000-00005D030000}"/>
    <cellStyle name="dp*ColumnHeading1" xfId="982" xr:uid="{00000000-0005-0000-0000-00005E030000}"/>
    <cellStyle name="dp*ColumnHeading2" xfId="983" xr:uid="{00000000-0005-0000-0000-00005F030000}"/>
    <cellStyle name="dp*ColumnHeadingDate" xfId="984" xr:uid="{00000000-0005-0000-0000-000060030000}"/>
    <cellStyle name="dp*FiscalDate" xfId="985" xr:uid="{00000000-0005-0000-0000-000061030000}"/>
    <cellStyle name="dp*Footnote" xfId="986" xr:uid="{00000000-0005-0000-0000-000062030000}"/>
    <cellStyle name="dp*Information" xfId="987" xr:uid="{00000000-0005-0000-0000-000063030000}"/>
    <cellStyle name="dp*LabelItalics" xfId="988" xr:uid="{00000000-0005-0000-0000-000064030000}"/>
    <cellStyle name="dp*LabelItalicsLineAbove" xfId="989" xr:uid="{00000000-0005-0000-0000-000065030000}"/>
    <cellStyle name="dp*LabelLine" xfId="990" xr:uid="{00000000-0005-0000-0000-000066030000}"/>
    <cellStyle name="dp*Labels" xfId="991" xr:uid="{00000000-0005-0000-0000-000067030000}"/>
    <cellStyle name="dp*Normal" xfId="992" xr:uid="{00000000-0005-0000-0000-000068030000}"/>
    <cellStyle name="dp*NormalCurrency1Dec." xfId="993" xr:uid="{00000000-0005-0000-0000-000069030000}"/>
    <cellStyle name="dp*NormalCurrency2Dec." xfId="994" xr:uid="{00000000-0005-0000-0000-00006A030000}"/>
    <cellStyle name="dp*Number%Italics" xfId="995" xr:uid="{00000000-0005-0000-0000-00006B030000}"/>
    <cellStyle name="dp*Number%ItalicsLineAbove" xfId="996" xr:uid="{00000000-0005-0000-0000-00006C030000}"/>
    <cellStyle name="dp*NumberCurrencyLine" xfId="997" xr:uid="{00000000-0005-0000-0000-00006D030000}"/>
    <cellStyle name="dp*NumberGeneral" xfId="998" xr:uid="{00000000-0005-0000-0000-00006E030000}"/>
    <cellStyle name="dp*NumberGeneral2Dec." xfId="999" xr:uid="{00000000-0005-0000-0000-00006F030000}"/>
    <cellStyle name="dp*NumberLine" xfId="1000" xr:uid="{00000000-0005-0000-0000-000070030000}"/>
    <cellStyle name="dp*NumberLineEPS" xfId="1001" xr:uid="{00000000-0005-0000-0000-000071030000}"/>
    <cellStyle name="dp*NumberSpecial" xfId="1002" xr:uid="{00000000-0005-0000-0000-000072030000}"/>
    <cellStyle name="dp*RatioX" xfId="1003" xr:uid="{00000000-0005-0000-0000-000073030000}"/>
    <cellStyle name="dp*SeriesName" xfId="1004" xr:uid="{00000000-0005-0000-0000-000074030000}"/>
    <cellStyle name="dp*SheetSubTitle" xfId="1005" xr:uid="{00000000-0005-0000-0000-000075030000}"/>
    <cellStyle name="dp*SheetTitle" xfId="1006" xr:uid="{00000000-0005-0000-0000-000076030000}"/>
    <cellStyle name="dp*SubTitle" xfId="1007" xr:uid="{00000000-0005-0000-0000-000077030000}"/>
    <cellStyle name="dp*ThickLineAbove" xfId="1008" xr:uid="{00000000-0005-0000-0000-000078030000}"/>
    <cellStyle name="dp*ThickLineBelow" xfId="1009" xr:uid="{00000000-0005-0000-0000-000079030000}"/>
    <cellStyle name="dp*ThinLineAbove" xfId="1010" xr:uid="{00000000-0005-0000-0000-00007A030000}"/>
    <cellStyle name="dp*ThinLineBelow" xfId="1011" xr:uid="{00000000-0005-0000-0000-00007B030000}"/>
    <cellStyle name="dp*XAxisTitle" xfId="1012" xr:uid="{00000000-0005-0000-0000-00007C030000}"/>
    <cellStyle name="dp*Y2AxisTitle" xfId="1013" xr:uid="{00000000-0005-0000-0000-00007D030000}"/>
    <cellStyle name="dp*YAxisTitle" xfId="1014" xr:uid="{00000000-0005-0000-0000-00007E030000}"/>
    <cellStyle name="Driver" xfId="1015" xr:uid="{00000000-0005-0000-0000-00007F030000}"/>
    <cellStyle name="Enter Currency (0)" xfId="1016" xr:uid="{00000000-0005-0000-0000-000080030000}"/>
    <cellStyle name="Enter Currency (2)" xfId="1017" xr:uid="{00000000-0005-0000-0000-000081030000}"/>
    <cellStyle name="Enter Units (0)" xfId="1018" xr:uid="{00000000-0005-0000-0000-000082030000}"/>
    <cellStyle name="Enter Units (1)" xfId="1019" xr:uid="{00000000-0005-0000-0000-000083030000}"/>
    <cellStyle name="Enter Units (2)" xfId="1020" xr:uid="{00000000-0005-0000-0000-000084030000}"/>
    <cellStyle name="Entered" xfId="1021" xr:uid="{00000000-0005-0000-0000-000085030000}"/>
    <cellStyle name="Euro" xfId="1022" xr:uid="{00000000-0005-0000-0000-000086030000}"/>
    <cellStyle name="EvenBodyShade" xfId="1023" xr:uid="{00000000-0005-0000-0000-000087030000}"/>
    <cellStyle name="EvenBodyShade 2" xfId="1024" xr:uid="{00000000-0005-0000-0000-000088030000}"/>
    <cellStyle name="EvenBodyShade 3" xfId="1025" xr:uid="{00000000-0005-0000-0000-000089030000}"/>
    <cellStyle name="EvenBodyShade 4" xfId="1026" xr:uid="{00000000-0005-0000-0000-00008A030000}"/>
    <cellStyle name="EvenBodyShade 5" xfId="1027" xr:uid="{00000000-0005-0000-0000-00008B030000}"/>
    <cellStyle name="EvenBodyShade 9" xfId="1028" xr:uid="{00000000-0005-0000-0000-00008C030000}"/>
    <cellStyle name="EY House" xfId="1029" xr:uid="{00000000-0005-0000-0000-00008D030000}"/>
    <cellStyle name="F1" xfId="1030" xr:uid="{00000000-0005-0000-0000-00008E030000}"/>
    <cellStyle name="Fixed" xfId="1031" xr:uid="{00000000-0005-0000-0000-00008F030000}"/>
    <cellStyle name="Fixed4 - Style4" xfId="1032" xr:uid="{00000000-0005-0000-0000-000090030000}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336" builtinId="9" hidden="1"/>
    <cellStyle name="Followed Hyperlink" xfId="1337" builtinId="9" hidden="1"/>
    <cellStyle name="Followed Hyperlink" xfId="1338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18" builtinId="9" hidden="1"/>
    <cellStyle name="Followed Hyperlink" xfId="102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70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26" builtinId="9" hidden="1"/>
    <cellStyle name="Followed Hyperlink" xfId="27" builtinId="9" hidden="1"/>
    <cellStyle name="Followed Hyperlink" xfId="25" builtinId="9" hidden="1"/>
    <cellStyle name="Footnote" xfId="1033" xr:uid="{00000000-0005-0000-0000-0000FD030000}"/>
    <cellStyle name="general" xfId="1034" xr:uid="{00000000-0005-0000-0000-0000FE030000}"/>
    <cellStyle name="Good 2" xfId="1345" xr:uid="{00000000-0005-0000-0000-0000FF030000}"/>
    <cellStyle name="GrandTotal" xfId="1035" xr:uid="{00000000-0005-0000-0000-000000040000}"/>
    <cellStyle name="Grey" xfId="1036" xr:uid="{00000000-0005-0000-0000-000001040000}"/>
    <cellStyle name="Hard Percent" xfId="1037" xr:uid="{00000000-0005-0000-0000-000002040000}"/>
    <cellStyle name="Head 1" xfId="1038" xr:uid="{00000000-0005-0000-0000-000003040000}"/>
    <cellStyle name="Head0" xfId="1039" xr:uid="{00000000-0005-0000-0000-000004040000}"/>
    <cellStyle name="Head1" xfId="1040" xr:uid="{00000000-0005-0000-0000-000005040000}"/>
    <cellStyle name="Head2" xfId="1041" xr:uid="{00000000-0005-0000-0000-000006040000}"/>
    <cellStyle name="Head3" xfId="1042" xr:uid="{00000000-0005-0000-0000-000007040000}"/>
    <cellStyle name="Head4" xfId="1043" xr:uid="{00000000-0005-0000-0000-000008040000}"/>
    <cellStyle name="Head5" xfId="1044" xr:uid="{00000000-0005-0000-0000-000009040000}"/>
    <cellStyle name="Head6" xfId="1045" xr:uid="{00000000-0005-0000-0000-00000A040000}"/>
    <cellStyle name="Head7" xfId="1046" xr:uid="{00000000-0005-0000-0000-00000B040000}"/>
    <cellStyle name="Head8" xfId="1047" xr:uid="{00000000-0005-0000-0000-00000C040000}"/>
    <cellStyle name="Head9" xfId="1048" xr:uid="{00000000-0005-0000-0000-00000D040000}"/>
    <cellStyle name="HEADER" xfId="1049" xr:uid="{00000000-0005-0000-0000-00000E040000}"/>
    <cellStyle name="Header1" xfId="1050" xr:uid="{00000000-0005-0000-0000-00000F040000}"/>
    <cellStyle name="Header2" xfId="1051" xr:uid="{00000000-0005-0000-0000-000010040000}"/>
    <cellStyle name="Heading" xfId="1052" xr:uid="{00000000-0005-0000-0000-000011040000}"/>
    <cellStyle name="Heading 2 2" xfId="1351" xr:uid="{00000000-0005-0000-0000-000012040000}"/>
    <cellStyle name="Heading Left" xfId="1053" xr:uid="{00000000-0005-0000-0000-000013040000}"/>
    <cellStyle name="Heading Right" xfId="1054" xr:uid="{00000000-0005-0000-0000-000014040000}"/>
    <cellStyle name="Heading1" xfId="1055" xr:uid="{00000000-0005-0000-0000-000015040000}"/>
    <cellStyle name="Heading2" xfId="1056" xr:uid="{00000000-0005-0000-0000-000016040000}"/>
    <cellStyle name="HeadingS" xfId="1057" xr:uid="{00000000-0005-0000-0000-000017040000}"/>
    <cellStyle name="HEADINGSTOP" xfId="1058" xr:uid="{00000000-0005-0000-0000-000018040000}"/>
    <cellStyle name="Headline" xfId="1059" xr:uid="{00000000-0005-0000-0000-000019040000}"/>
    <cellStyle name="HeadShade" xfId="1060" xr:uid="{00000000-0005-0000-0000-00001A040000}"/>
    <cellStyle name="HeadShade 2" xfId="1061" xr:uid="{00000000-0005-0000-0000-00001B040000}"/>
    <cellStyle name="HeadShade 3" xfId="1062" xr:uid="{00000000-0005-0000-0000-00001C040000}"/>
    <cellStyle name="HeadShade 4" xfId="1063" xr:uid="{00000000-0005-0000-0000-00001D040000}"/>
    <cellStyle name="HeadShade 5" xfId="1064" xr:uid="{00000000-0005-0000-0000-00001E040000}"/>
    <cellStyle name="HeadShade 9" xfId="1065" xr:uid="{00000000-0005-0000-0000-00001F040000}"/>
    <cellStyle name="helv narrow 8" xfId="1066" xr:uid="{00000000-0005-0000-0000-000020040000}"/>
    <cellStyle name="Hidden" xfId="1067" xr:uid="{00000000-0005-0000-0000-000021040000}"/>
    <cellStyle name="Hide" xfId="1068" xr:uid="{00000000-0005-0000-0000-000022040000}"/>
    <cellStyle name="HIGHLIGHT" xfId="1069" xr:uid="{00000000-0005-0000-0000-000023040000}"/>
    <cellStyle name="Hyperlink" xfId="1343" builtinId="8" hidden="1"/>
    <cellStyle name="Hyperlink" xfId="1341" builtinId="8" hidden="1"/>
    <cellStyle name="Hyperlink 2" xfId="1357" xr:uid="{3D23AB57-93B8-4255-940A-082865DDDD0E}"/>
    <cellStyle name="I" xfId="1070" xr:uid="{00000000-0005-0000-0000-000026040000}"/>
    <cellStyle name="Input [yellow]" xfId="1071" xr:uid="{00000000-0005-0000-0000-000027040000}"/>
    <cellStyle name="Input Comma" xfId="1072" xr:uid="{00000000-0005-0000-0000-000028040000}"/>
    <cellStyle name="Input Comma [0]" xfId="1073" xr:uid="{00000000-0005-0000-0000-000029040000}"/>
    <cellStyle name="Input Currency" xfId="1074" xr:uid="{00000000-0005-0000-0000-00002A040000}"/>
    <cellStyle name="Input Currency [0]" xfId="1075" xr:uid="{00000000-0005-0000-0000-00002B040000}"/>
    <cellStyle name="Input Percent" xfId="1076" xr:uid="{00000000-0005-0000-0000-00002C040000}"/>
    <cellStyle name="Input Percent [0]" xfId="1077" xr:uid="{00000000-0005-0000-0000-00002D040000}"/>
    <cellStyle name="Inputs" xfId="1078" xr:uid="{00000000-0005-0000-0000-00002E040000}"/>
    <cellStyle name="Italics" xfId="1079" xr:uid="{00000000-0005-0000-0000-00002F040000}"/>
    <cellStyle name="Lable8Left" xfId="1080" xr:uid="{00000000-0005-0000-0000-000030040000}"/>
    <cellStyle name="left" xfId="1081" xr:uid="{00000000-0005-0000-0000-000031040000}"/>
    <cellStyle name="Ligne" xfId="1082" xr:uid="{00000000-0005-0000-0000-000032040000}"/>
    <cellStyle name="Lines" xfId="1083" xr:uid="{00000000-0005-0000-0000-000033040000}"/>
    <cellStyle name="Link Currency (0)" xfId="1084" xr:uid="{00000000-0005-0000-0000-000034040000}"/>
    <cellStyle name="Link Currency (2)" xfId="1085" xr:uid="{00000000-0005-0000-0000-000035040000}"/>
    <cellStyle name="Link Units (0)" xfId="1086" xr:uid="{00000000-0005-0000-0000-000036040000}"/>
    <cellStyle name="Link Units (1)" xfId="1087" xr:uid="{00000000-0005-0000-0000-000037040000}"/>
    <cellStyle name="Link Units (2)" xfId="1088" xr:uid="{00000000-0005-0000-0000-000038040000}"/>
    <cellStyle name="Linked" xfId="1089" xr:uid="{00000000-0005-0000-0000-000039040000}"/>
    <cellStyle name="LISAM" xfId="1090" xr:uid="{00000000-0005-0000-0000-00003A040000}"/>
    <cellStyle name="M" xfId="1091" xr:uid="{00000000-0005-0000-0000-00003B040000}"/>
    <cellStyle name="Margins" xfId="1092" xr:uid="{00000000-0005-0000-0000-00003C040000}"/>
    <cellStyle name="Migliaia (0)_Foglio1 (2)" xfId="1093" xr:uid="{00000000-0005-0000-0000-00003D040000}"/>
    <cellStyle name="Migliaia_Foglio1 (2)" xfId="1094" xr:uid="{00000000-0005-0000-0000-00003E040000}"/>
    <cellStyle name="Millares [0]_results" xfId="1095" xr:uid="{00000000-0005-0000-0000-00003F040000}"/>
    <cellStyle name="Millares_results" xfId="1096" xr:uid="{00000000-0005-0000-0000-000040040000}"/>
    <cellStyle name="Milliers [0]_!!!GO" xfId="1097" xr:uid="{00000000-0005-0000-0000-000041040000}"/>
    <cellStyle name="Milliers_!!!GO" xfId="1098" xr:uid="{00000000-0005-0000-0000-000042040000}"/>
    <cellStyle name="Moeda [0]_Arrendamiraflores" xfId="1099" xr:uid="{00000000-0005-0000-0000-000043040000}"/>
    <cellStyle name="Moeda_Arrendamiraflores" xfId="1100" xr:uid="{00000000-0005-0000-0000-000044040000}"/>
    <cellStyle name="Moneda [0]_results" xfId="1101" xr:uid="{00000000-0005-0000-0000-000045040000}"/>
    <cellStyle name="Moneda_results" xfId="1102" xr:uid="{00000000-0005-0000-0000-000046040000}"/>
    <cellStyle name="Monétaire [0]_!!!GO" xfId="1103" xr:uid="{00000000-0005-0000-0000-000047040000}"/>
    <cellStyle name="Monétaire_!!!GO" xfId="1104" xr:uid="{00000000-0005-0000-0000-000048040000}"/>
    <cellStyle name="MSectionHeadings" xfId="1105" xr:uid="{00000000-0005-0000-0000-000049040000}"/>
    <cellStyle name="Multiple" xfId="1106" xr:uid="{00000000-0005-0000-0000-00004A040000}"/>
    <cellStyle name="Multiple (no x)" xfId="1107" xr:uid="{00000000-0005-0000-0000-00004B040000}"/>
    <cellStyle name="Multiple (with x)" xfId="1108" xr:uid="{00000000-0005-0000-0000-00004C040000}"/>
    <cellStyle name="Multiple_09.01.01_Property_Tax_Basis1" xfId="1109" xr:uid="{00000000-0005-0000-0000-00004D040000}"/>
    <cellStyle name="no dec" xfId="1110" xr:uid="{00000000-0005-0000-0000-00004E040000}"/>
    <cellStyle name="nodle1" xfId="1111" xr:uid="{00000000-0005-0000-0000-00004F040000}"/>
    <cellStyle name="Normal" xfId="0" builtinId="0"/>
    <cellStyle name="Normal - Style1" xfId="1112" xr:uid="{00000000-0005-0000-0000-000051040000}"/>
    <cellStyle name="Normal 10" xfId="1347" xr:uid="{00000000-0005-0000-0000-000052040000}"/>
    <cellStyle name="Normal 11" xfId="1348" xr:uid="{00000000-0005-0000-0000-000053040000}"/>
    <cellStyle name="Normal 12" xfId="1352" xr:uid="{00000000-0005-0000-0000-000054040000}"/>
    <cellStyle name="Normal 13" xfId="1349" xr:uid="{00000000-0005-0000-0000-000055040000}"/>
    <cellStyle name="Normal 2" xfId="2" xr:uid="{00000000-0005-0000-0000-000056040000}"/>
    <cellStyle name="Normal 2 2" xfId="5" xr:uid="{00000000-0005-0000-0000-000057040000}"/>
    <cellStyle name="Normal 2 3" xfId="9" xr:uid="{00000000-0005-0000-0000-000058040000}"/>
    <cellStyle name="Normal 2 4" xfId="1356" xr:uid="{00000000-0005-0000-0000-000059040000}"/>
    <cellStyle name="Normal 3" xfId="6" xr:uid="{00000000-0005-0000-0000-00005A040000}"/>
    <cellStyle name="Normal 3 3" xfId="21" xr:uid="{00000000-0005-0000-0000-00005B040000}"/>
    <cellStyle name="Normal 4" xfId="15" xr:uid="{00000000-0005-0000-0000-00005C040000}"/>
    <cellStyle name="Normal 4 2" xfId="23" xr:uid="{00000000-0005-0000-0000-00005D040000}"/>
    <cellStyle name="Normal 5" xfId="19" xr:uid="{00000000-0005-0000-0000-00005E040000}"/>
    <cellStyle name="Normal 6" xfId="127" xr:uid="{00000000-0005-0000-0000-00005F040000}"/>
    <cellStyle name="Normal 6 2" xfId="1334" xr:uid="{00000000-0005-0000-0000-000060040000}"/>
    <cellStyle name="Normal 6 3" xfId="1353" xr:uid="{00000000-0005-0000-0000-000061040000}"/>
    <cellStyle name="Normal 7" xfId="129" xr:uid="{00000000-0005-0000-0000-000062040000}"/>
    <cellStyle name="Normal 7 2" xfId="1332" xr:uid="{00000000-0005-0000-0000-000063040000}"/>
    <cellStyle name="Normal 7 3" xfId="1339" xr:uid="{00000000-0005-0000-0000-000064040000}"/>
    <cellStyle name="Normal 8" xfId="1113" xr:uid="{00000000-0005-0000-0000-000065040000}"/>
    <cellStyle name="Normal 9" xfId="1331" xr:uid="{00000000-0005-0000-0000-000066040000}"/>
    <cellStyle name="Normal_Simple pro-forma" xfId="14" xr:uid="{00000000-0005-0000-0000-000068040000}"/>
    <cellStyle name="NormalBack" xfId="1114" xr:uid="{00000000-0005-0000-0000-00006A040000}"/>
    <cellStyle name="NormalBorder" xfId="1115" xr:uid="{00000000-0005-0000-0000-00006B040000}"/>
    <cellStyle name="Normale_INVENTARIO AL 31.12.99 Con composizioni2BUSSI" xfId="1116" xr:uid="{00000000-0005-0000-0000-00006C040000}"/>
    <cellStyle name="NormalGB" xfId="1117" xr:uid="{00000000-0005-0000-0000-00006D040000}"/>
    <cellStyle name="NormalLeft" xfId="1118" xr:uid="{00000000-0005-0000-0000-00006E040000}"/>
    <cellStyle name="NormalNumber%" xfId="1119" xr:uid="{00000000-0005-0000-0000-00006F040000}"/>
    <cellStyle name="NormalRightNum" xfId="1120" xr:uid="{00000000-0005-0000-0000-000070040000}"/>
    <cellStyle name="NormalRightPercent" xfId="1121" xr:uid="{00000000-0005-0000-0000-000071040000}"/>
    <cellStyle name="nPlode" xfId="1122" xr:uid="{00000000-0005-0000-0000-000072040000}"/>
    <cellStyle name="nPlode1" xfId="1123" xr:uid="{00000000-0005-0000-0000-000073040000}"/>
    <cellStyle name="nPlode2" xfId="1124" xr:uid="{00000000-0005-0000-0000-000074040000}"/>
    <cellStyle name="nPlode3" xfId="1125" xr:uid="{00000000-0005-0000-0000-000075040000}"/>
    <cellStyle name="nPlosion" xfId="1126" xr:uid="{00000000-0005-0000-0000-000076040000}"/>
    <cellStyle name="NPRO" xfId="1127" xr:uid="{00000000-0005-0000-0000-000077040000}"/>
    <cellStyle name="Num0Un" xfId="1128" xr:uid="{00000000-0005-0000-0000-000078040000}"/>
    <cellStyle name="Num1" xfId="1129" xr:uid="{00000000-0005-0000-0000-000079040000}"/>
    <cellStyle name="Num1Blue" xfId="1130" xr:uid="{00000000-0005-0000-0000-00007A040000}"/>
    <cellStyle name="Num2" xfId="1131" xr:uid="{00000000-0005-0000-0000-00007B040000}"/>
    <cellStyle name="Num2Un" xfId="1132" xr:uid="{00000000-0005-0000-0000-00007C040000}"/>
    <cellStyle name="Number" xfId="1133" xr:uid="{00000000-0005-0000-0000-00007D040000}"/>
    <cellStyle name="OddBodyShade" xfId="1134" xr:uid="{00000000-0005-0000-0000-00007E040000}"/>
    <cellStyle name="OddBodyShade 2" xfId="1135" xr:uid="{00000000-0005-0000-0000-00007F040000}"/>
    <cellStyle name="OddBodyShade 3" xfId="1136" xr:uid="{00000000-0005-0000-0000-000080040000}"/>
    <cellStyle name="OddBodyShade 4" xfId="1137" xr:uid="{00000000-0005-0000-0000-000081040000}"/>
    <cellStyle name="OddBodyShade 5" xfId="1138" xr:uid="{00000000-0005-0000-0000-000082040000}"/>
    <cellStyle name="OddBodyShade 9" xfId="1139" xr:uid="{00000000-0005-0000-0000-000083040000}"/>
    <cellStyle name="Œ…‹æØ‚è [0.00]_!!!GO" xfId="1140" xr:uid="{00000000-0005-0000-0000-000084040000}"/>
    <cellStyle name="Œ…‹æØ‚è_!!!GO" xfId="1141" xr:uid="{00000000-0005-0000-0000-000085040000}"/>
    <cellStyle name="One Pager Input" xfId="1142" xr:uid="{00000000-0005-0000-0000-000086040000}"/>
    <cellStyle name="OutlineSpec" xfId="1143" xr:uid="{00000000-0005-0000-0000-000087040000}"/>
    <cellStyle name="Output Amounts" xfId="1144" xr:uid="{00000000-0005-0000-0000-000088040000}"/>
    <cellStyle name="Output Column Headings" xfId="1145" xr:uid="{00000000-0005-0000-0000-000089040000}"/>
    <cellStyle name="Output Line Items" xfId="1146" xr:uid="{00000000-0005-0000-0000-00008A040000}"/>
    <cellStyle name="Output Report Heading" xfId="1147" xr:uid="{00000000-0005-0000-0000-00008B040000}"/>
    <cellStyle name="Output Report Title" xfId="1148" xr:uid="{00000000-0005-0000-0000-00008C040000}"/>
    <cellStyle name="Overscore" xfId="1149" xr:uid="{00000000-0005-0000-0000-00008D040000}"/>
    <cellStyle name="Overscore 2" xfId="1150" xr:uid="{00000000-0005-0000-0000-00008E040000}"/>
    <cellStyle name="Overscore 3" xfId="1151" xr:uid="{00000000-0005-0000-0000-00008F040000}"/>
    <cellStyle name="Overscore 4" xfId="1152" xr:uid="{00000000-0005-0000-0000-000090040000}"/>
    <cellStyle name="Overscore 5" xfId="1153" xr:uid="{00000000-0005-0000-0000-000091040000}"/>
    <cellStyle name="Overscore 9" xfId="1154" xr:uid="{00000000-0005-0000-0000-000092040000}"/>
    <cellStyle name="Overunder" xfId="1155" xr:uid="{00000000-0005-0000-0000-000093040000}"/>
    <cellStyle name="P" xfId="1156" xr:uid="{00000000-0005-0000-0000-000094040000}"/>
    <cellStyle name="Page Heading" xfId="1157" xr:uid="{00000000-0005-0000-0000-000095040000}"/>
    <cellStyle name="Page Heading Large" xfId="1158" xr:uid="{00000000-0005-0000-0000-000096040000}"/>
    <cellStyle name="Page Heading Small" xfId="1159" xr:uid="{00000000-0005-0000-0000-000097040000}"/>
    <cellStyle name="Page Number" xfId="1160" xr:uid="{00000000-0005-0000-0000-000098040000}"/>
    <cellStyle name="Page Title (Blue/Gray)" xfId="1161" xr:uid="{00000000-0005-0000-0000-000099040000}"/>
    <cellStyle name="patterns" xfId="1162" xr:uid="{00000000-0005-0000-0000-00009A040000}"/>
    <cellStyle name="PB Table Heading" xfId="1163" xr:uid="{00000000-0005-0000-0000-00009B040000}"/>
    <cellStyle name="PB Table Highlight1" xfId="1164" xr:uid="{00000000-0005-0000-0000-00009C040000}"/>
    <cellStyle name="PB Table Highlight2" xfId="1165" xr:uid="{00000000-0005-0000-0000-00009D040000}"/>
    <cellStyle name="PB Table Highlight3" xfId="1166" xr:uid="{00000000-0005-0000-0000-00009E040000}"/>
    <cellStyle name="PB Table Standard Row" xfId="1167" xr:uid="{00000000-0005-0000-0000-00009F040000}"/>
    <cellStyle name="PB Table Subtotal Row" xfId="1168" xr:uid="{00000000-0005-0000-0000-0000A0040000}"/>
    <cellStyle name="PB Table Total Row" xfId="1169" xr:uid="{00000000-0005-0000-0000-0000A1040000}"/>
    <cellStyle name="pb_page_heading_LS" xfId="1170" xr:uid="{00000000-0005-0000-0000-0000A2040000}"/>
    <cellStyle name="per.style" xfId="1171" xr:uid="{00000000-0005-0000-0000-0000A3040000}"/>
    <cellStyle name="Perc1" xfId="1172" xr:uid="{00000000-0005-0000-0000-0000A4040000}"/>
    <cellStyle name="Percen - Style1" xfId="1173" xr:uid="{00000000-0005-0000-0000-0000A5040000}"/>
    <cellStyle name="Percen - Style2" xfId="1174" xr:uid="{00000000-0005-0000-0000-0000A6040000}"/>
    <cellStyle name="Percen - Style3" xfId="1175" xr:uid="{00000000-0005-0000-0000-0000A7040000}"/>
    <cellStyle name="Percent" xfId="1" builtinId="5"/>
    <cellStyle name="Percent [0%]" xfId="1176" xr:uid="{00000000-0005-0000-0000-0000AB040000}"/>
    <cellStyle name="Percent [0.00%]" xfId="1177" xr:uid="{00000000-0005-0000-0000-0000A9040000}"/>
    <cellStyle name="Percent [0]" xfId="1178" xr:uid="{00000000-0005-0000-0000-0000AA040000}"/>
    <cellStyle name="Percent [00]" xfId="1179" xr:uid="{00000000-0005-0000-0000-0000AC040000}"/>
    <cellStyle name="Percent [2]" xfId="1180" xr:uid="{00000000-0005-0000-0000-0000AD040000}"/>
    <cellStyle name="percent 1 decimal" xfId="1181" xr:uid="{00000000-0005-0000-0000-0000AE040000}"/>
    <cellStyle name="Percent 2" xfId="7" xr:uid="{00000000-0005-0000-0000-0000AF040000}"/>
    <cellStyle name="Percent 2 2" xfId="8" xr:uid="{00000000-0005-0000-0000-0000B0040000}"/>
    <cellStyle name="Percent 2 2 2" xfId="24" xr:uid="{00000000-0005-0000-0000-0000B1040000}"/>
    <cellStyle name="Percent 2 3" xfId="10" xr:uid="{00000000-0005-0000-0000-0000B2040000}"/>
    <cellStyle name="percent 2 decimal" xfId="1182" xr:uid="{00000000-0005-0000-0000-0000B3040000}"/>
    <cellStyle name="Percent 3" xfId="13" xr:uid="{00000000-0005-0000-0000-0000B4040000}"/>
    <cellStyle name="Percent 4" xfId="16" xr:uid="{00000000-0005-0000-0000-0000B5040000}"/>
    <cellStyle name="Percent 5" xfId="128" xr:uid="{00000000-0005-0000-0000-0000B6040000}"/>
    <cellStyle name="Percent 5 2" xfId="1335" xr:uid="{00000000-0005-0000-0000-0000B7040000}"/>
    <cellStyle name="Percent 5 3" xfId="1354" xr:uid="{00000000-0005-0000-0000-0000B8040000}"/>
    <cellStyle name="Percent 6" xfId="130" xr:uid="{00000000-0005-0000-0000-0000B9040000}"/>
    <cellStyle name="Percent 6 2" xfId="1333" xr:uid="{00000000-0005-0000-0000-0000BA040000}"/>
    <cellStyle name="Percent 6 3" xfId="1340" xr:uid="{00000000-0005-0000-0000-0000BB040000}"/>
    <cellStyle name="Percent Hard" xfId="1183" xr:uid="{00000000-0005-0000-0000-0000BC040000}"/>
    <cellStyle name="percent no decimal" xfId="1184" xr:uid="{00000000-0005-0000-0000-0000BD040000}"/>
    <cellStyle name="Percent(4places)TotTop" xfId="1185" xr:uid="{00000000-0005-0000-0000-0000BE040000}"/>
    <cellStyle name="Percent1" xfId="1186" xr:uid="{00000000-0005-0000-0000-0000BF040000}"/>
    <cellStyle name="Percent1Blue" xfId="1187" xr:uid="{00000000-0005-0000-0000-0000C0040000}"/>
    <cellStyle name="Percent2" xfId="1188" xr:uid="{00000000-0005-0000-0000-0000C1040000}"/>
    <cellStyle name="Percent2Blue" xfId="1189" xr:uid="{00000000-0005-0000-0000-0000C2040000}"/>
    <cellStyle name="PercentTotal" xfId="1190" xr:uid="{00000000-0005-0000-0000-0000C3040000}"/>
    <cellStyle name="Pounds" xfId="1191" xr:uid="{00000000-0005-0000-0000-0000C4040000}"/>
    <cellStyle name="Pourcentage_agree" xfId="1192" xr:uid="{00000000-0005-0000-0000-0000C5040000}"/>
    <cellStyle name="PrePop Currency (0)" xfId="1193" xr:uid="{00000000-0005-0000-0000-0000C6040000}"/>
    <cellStyle name="PrePop Currency (2)" xfId="1194" xr:uid="{00000000-0005-0000-0000-0000C7040000}"/>
    <cellStyle name="PrePop Units (0)" xfId="1195" xr:uid="{00000000-0005-0000-0000-0000C8040000}"/>
    <cellStyle name="PrePop Units (1)" xfId="1196" xr:uid="{00000000-0005-0000-0000-0000C9040000}"/>
    <cellStyle name="PrePop Units (2)" xfId="1197" xr:uid="{00000000-0005-0000-0000-0000CA040000}"/>
    <cellStyle name="Price" xfId="1198" xr:uid="{00000000-0005-0000-0000-0000CB040000}"/>
    <cellStyle name="PriceUn" xfId="1199" xr:uid="{00000000-0005-0000-0000-0000CC040000}"/>
    <cellStyle name="pricing" xfId="1200" xr:uid="{00000000-0005-0000-0000-0000CD040000}"/>
    <cellStyle name="PSChar" xfId="1201" xr:uid="{00000000-0005-0000-0000-0000CE040000}"/>
    <cellStyle name="PSDate" xfId="1202" xr:uid="{00000000-0005-0000-0000-0000CF040000}"/>
    <cellStyle name="PSDec" xfId="1203" xr:uid="{00000000-0005-0000-0000-0000D0040000}"/>
    <cellStyle name="PSHeading" xfId="1204" xr:uid="{00000000-0005-0000-0000-0000D1040000}"/>
    <cellStyle name="PSInt" xfId="1205" xr:uid="{00000000-0005-0000-0000-0000D2040000}"/>
    <cellStyle name="PSSpacer" xfId="1206" xr:uid="{00000000-0005-0000-0000-0000D3040000}"/>
    <cellStyle name="Reg1" xfId="1207" xr:uid="{00000000-0005-0000-0000-0000D4040000}"/>
    <cellStyle name="Reg2" xfId="1208" xr:uid="{00000000-0005-0000-0000-0000D5040000}"/>
    <cellStyle name="Reg3" xfId="1209" xr:uid="{00000000-0005-0000-0000-0000D6040000}"/>
    <cellStyle name="Reg4" xfId="1210" xr:uid="{00000000-0005-0000-0000-0000D7040000}"/>
    <cellStyle name="Reg5" xfId="1211" xr:uid="{00000000-0005-0000-0000-0000D8040000}"/>
    <cellStyle name="Reg6" xfId="1212" xr:uid="{00000000-0005-0000-0000-0000D9040000}"/>
    <cellStyle name="Reg7" xfId="1213" xr:uid="{00000000-0005-0000-0000-0000DA040000}"/>
    <cellStyle name="Reg8" xfId="1214" xr:uid="{00000000-0005-0000-0000-0000DB040000}"/>
    <cellStyle name="Reg9" xfId="1215" xr:uid="{00000000-0005-0000-0000-0000DC040000}"/>
    <cellStyle name="regstoresfromspecstores" xfId="1216" xr:uid="{00000000-0005-0000-0000-0000DD040000}"/>
    <cellStyle name="RevList" xfId="1217" xr:uid="{00000000-0005-0000-0000-0000DE040000}"/>
    <cellStyle name="Right" xfId="1218" xr:uid="{00000000-0005-0000-0000-0000DF040000}"/>
    <cellStyle name="s" xfId="1219" xr:uid="{00000000-0005-0000-0000-0000E0040000}"/>
    <cellStyle name="Salomon Logo" xfId="1220" xr:uid="{00000000-0005-0000-0000-0000E1040000}"/>
    <cellStyle name="ScotchRule" xfId="1221" xr:uid="{00000000-0005-0000-0000-0000E2040000}"/>
    <cellStyle name="Second Heading_dynex lihtcperm" xfId="1222" xr:uid="{00000000-0005-0000-0000-0000E3040000}"/>
    <cellStyle name="Separador de milhares [0]_Arrendamiraflores" xfId="1223" xr:uid="{00000000-0005-0000-0000-0000E4040000}"/>
    <cellStyle name="Shaded" xfId="1224" xr:uid="{00000000-0005-0000-0000-0000E5040000}"/>
    <cellStyle name="SHADEDSTORES" xfId="1225" xr:uid="{00000000-0005-0000-0000-0000E6040000}"/>
    <cellStyle name="Single Accounting" xfId="1226" xr:uid="{00000000-0005-0000-0000-0000E7040000}"/>
    <cellStyle name="Small Page Heading" xfId="1227" xr:uid="{00000000-0005-0000-0000-0000E8040000}"/>
    <cellStyle name="Sous-Total" xfId="1228" xr:uid="{00000000-0005-0000-0000-0000E9040000}"/>
    <cellStyle name="SpecialHeader" xfId="1229" xr:uid="{00000000-0005-0000-0000-0000EA040000}"/>
    <cellStyle name="specstores" xfId="1230" xr:uid="{00000000-0005-0000-0000-0000EB040000}"/>
    <cellStyle name="Standaard_Almere" xfId="1231" xr:uid="{00000000-0005-0000-0000-0000EC040000}"/>
    <cellStyle name="Standard_1CC-N-12" xfId="1232" xr:uid="{00000000-0005-0000-0000-0000ED040000}"/>
    <cellStyle name="Style 1" xfId="1233" xr:uid="{00000000-0005-0000-0000-0000EE040000}"/>
    <cellStyle name="Style１" xfId="1234" xr:uid="{00000000-0005-0000-0000-0000EF040000}"/>
    <cellStyle name="subhead" xfId="1235" xr:uid="{00000000-0005-0000-0000-0000F0040000}"/>
    <cellStyle name="SubHeader" xfId="1236" xr:uid="{00000000-0005-0000-0000-0000F1040000}"/>
    <cellStyle name="Subscribers" xfId="1237" xr:uid="{00000000-0005-0000-0000-0000F2040000}"/>
    <cellStyle name="Subtitle" xfId="1238" xr:uid="{00000000-0005-0000-0000-0000F3040000}"/>
    <cellStyle name="SubTotal" xfId="1239" xr:uid="{00000000-0005-0000-0000-0000F4040000}"/>
    <cellStyle name="T" xfId="1240" xr:uid="{00000000-0005-0000-0000-0000F5040000}"/>
    <cellStyle name="Table Col Head" xfId="1241" xr:uid="{00000000-0005-0000-0000-0000F6040000}"/>
    <cellStyle name="Table Head" xfId="1242" xr:uid="{00000000-0005-0000-0000-0000F7040000}"/>
    <cellStyle name="Table Head Aligned" xfId="1243" xr:uid="{00000000-0005-0000-0000-0000F8040000}"/>
    <cellStyle name="Table Head Blue" xfId="1244" xr:uid="{00000000-0005-0000-0000-0000F9040000}"/>
    <cellStyle name="Table Head Green" xfId="1245" xr:uid="{00000000-0005-0000-0000-0000FA040000}"/>
    <cellStyle name="Table Head_Alamosa Bids II" xfId="1246" xr:uid="{00000000-0005-0000-0000-0000FB040000}"/>
    <cellStyle name="Table Heading" xfId="1247" xr:uid="{00000000-0005-0000-0000-0000FC040000}"/>
    <cellStyle name="Table Sub Head" xfId="1248" xr:uid="{00000000-0005-0000-0000-0000FD040000}"/>
    <cellStyle name="Table Text" xfId="1249" xr:uid="{00000000-0005-0000-0000-0000FE040000}"/>
    <cellStyle name="Table Title" xfId="1250" xr:uid="{00000000-0005-0000-0000-0000FF040000}"/>
    <cellStyle name="Table Units" xfId="1251" xr:uid="{00000000-0005-0000-0000-000000050000}"/>
    <cellStyle name="Table_Header" xfId="1252" xr:uid="{00000000-0005-0000-0000-000001050000}"/>
    <cellStyle name="TableBody_sbcpac" xfId="1253" xr:uid="{00000000-0005-0000-0000-000002050000}"/>
    <cellStyle name="Text 1" xfId="1254" xr:uid="{00000000-0005-0000-0000-000003050000}"/>
    <cellStyle name="Text 8" xfId="1255" xr:uid="{00000000-0005-0000-0000-000004050000}"/>
    <cellStyle name="Text Head 1" xfId="1256" xr:uid="{00000000-0005-0000-0000-000005050000}"/>
    <cellStyle name="Text Indent A" xfId="1257" xr:uid="{00000000-0005-0000-0000-000006050000}"/>
    <cellStyle name="Text Indent B" xfId="1258" xr:uid="{00000000-0005-0000-0000-000007050000}"/>
    <cellStyle name="Text Indent C" xfId="1259" xr:uid="{00000000-0005-0000-0000-000008050000}"/>
    <cellStyle name="TIME" xfId="1260" xr:uid="{00000000-0005-0000-0000-000009050000}"/>
    <cellStyle name="Times 10" xfId="1261" xr:uid="{00000000-0005-0000-0000-00000A050000}"/>
    <cellStyle name="Times 12" xfId="1262" xr:uid="{00000000-0005-0000-0000-00000B050000}"/>
    <cellStyle name="Times New Roman" xfId="1263" xr:uid="{00000000-0005-0000-0000-00000C050000}"/>
    <cellStyle name="times roman" xfId="1264" xr:uid="{00000000-0005-0000-0000-00000D050000}"/>
    <cellStyle name="Title1" xfId="1265" xr:uid="{00000000-0005-0000-0000-00000E050000}"/>
    <cellStyle name="Title10" xfId="1266" xr:uid="{00000000-0005-0000-0000-00000F050000}"/>
    <cellStyle name="Title2" xfId="1267" xr:uid="{00000000-0005-0000-0000-000010050000}"/>
    <cellStyle name="Title8" xfId="1268" xr:uid="{00000000-0005-0000-0000-000011050000}"/>
    <cellStyle name="Title8Left" xfId="1269" xr:uid="{00000000-0005-0000-0000-000012050000}"/>
    <cellStyle name="TitleCenter" xfId="1270" xr:uid="{00000000-0005-0000-0000-000013050000}"/>
    <cellStyle name="TitleLeft" xfId="1271" xr:uid="{00000000-0005-0000-0000-000014050000}"/>
    <cellStyle name="TitleOther" xfId="1272" xr:uid="{00000000-0005-0000-0000-000015050000}"/>
    <cellStyle name="Titolo1" xfId="1273" xr:uid="{00000000-0005-0000-0000-000016050000}"/>
    <cellStyle name="Titolo2" xfId="1274" xr:uid="{00000000-0005-0000-0000-000017050000}"/>
    <cellStyle name="Titolo3" xfId="1275" xr:uid="{00000000-0005-0000-0000-000018050000}"/>
    <cellStyle name="topline" xfId="1276" xr:uid="{00000000-0005-0000-0000-000019050000}"/>
    <cellStyle name="TopThick" xfId="1277" xr:uid="{00000000-0005-0000-0000-00001A050000}"/>
    <cellStyle name="Total1" xfId="1278" xr:uid="{00000000-0005-0000-0000-00001B050000}"/>
    <cellStyle name="Total2" xfId="1279" xr:uid="{00000000-0005-0000-0000-00001C050000}"/>
    <cellStyle name="Total3" xfId="1280" xr:uid="{00000000-0005-0000-0000-00001D050000}"/>
    <cellStyle name="Total4" xfId="1281" xr:uid="{00000000-0005-0000-0000-00001E050000}"/>
    <cellStyle name="Total5" xfId="1282" xr:uid="{00000000-0005-0000-0000-00001F050000}"/>
    <cellStyle name="Total6" xfId="1283" xr:uid="{00000000-0005-0000-0000-000020050000}"/>
    <cellStyle name="Total7" xfId="1284" xr:uid="{00000000-0005-0000-0000-000021050000}"/>
    <cellStyle name="Total8" xfId="1285" xr:uid="{00000000-0005-0000-0000-000022050000}"/>
    <cellStyle name="Total9" xfId="1286" xr:uid="{00000000-0005-0000-0000-000023050000}"/>
    <cellStyle name="Totals" xfId="1287" xr:uid="{00000000-0005-0000-0000-000024050000}"/>
    <cellStyle name="TotalsComma" xfId="1288" xr:uid="{00000000-0005-0000-0000-000025050000}"/>
    <cellStyle name="TotShade" xfId="1289" xr:uid="{00000000-0005-0000-0000-000026050000}"/>
    <cellStyle name="TotShade 2" xfId="1290" xr:uid="{00000000-0005-0000-0000-000027050000}"/>
    <cellStyle name="TotShade 3" xfId="1291" xr:uid="{00000000-0005-0000-0000-000028050000}"/>
    <cellStyle name="TotShade 4" xfId="1292" xr:uid="{00000000-0005-0000-0000-000029050000}"/>
    <cellStyle name="TotShade 5" xfId="1293" xr:uid="{00000000-0005-0000-0000-00002A050000}"/>
    <cellStyle name="TotShade 9" xfId="1294" xr:uid="{00000000-0005-0000-0000-00002B050000}"/>
    <cellStyle name="TransVal" xfId="1295" xr:uid="{00000000-0005-0000-0000-00002C050000}"/>
    <cellStyle name="ubordinated Debt" xfId="1296" xr:uid="{00000000-0005-0000-0000-00002D050000}"/>
    <cellStyle name="underline 1 decimal" xfId="1297" xr:uid="{00000000-0005-0000-0000-00002E050000}"/>
    <cellStyle name="underline 2 decimals" xfId="1298" xr:uid="{00000000-0005-0000-0000-00002F050000}"/>
    <cellStyle name="underline flush left" xfId="1299" xr:uid="{00000000-0005-0000-0000-000030050000}"/>
    <cellStyle name="underline no decimals" xfId="1300" xr:uid="{00000000-0005-0000-0000-000031050000}"/>
    <cellStyle name="Underline_Single" xfId="1301" xr:uid="{00000000-0005-0000-0000-000032050000}"/>
    <cellStyle name="Underscore" xfId="1302" xr:uid="{00000000-0005-0000-0000-000033050000}"/>
    <cellStyle name="Underscore 2" xfId="1303" xr:uid="{00000000-0005-0000-0000-000034050000}"/>
    <cellStyle name="Underscore 3" xfId="1304" xr:uid="{00000000-0005-0000-0000-000035050000}"/>
    <cellStyle name="Underscore 4" xfId="1305" xr:uid="{00000000-0005-0000-0000-000036050000}"/>
    <cellStyle name="Underscore 5" xfId="1306" xr:uid="{00000000-0005-0000-0000-000037050000}"/>
    <cellStyle name="Underscore 9" xfId="1307" xr:uid="{00000000-0005-0000-0000-000038050000}"/>
    <cellStyle name="Unprot" xfId="1308" xr:uid="{00000000-0005-0000-0000-000039050000}"/>
    <cellStyle name="Unprot$" xfId="1309" xr:uid="{00000000-0005-0000-0000-00003A050000}"/>
    <cellStyle name="Unprotect" xfId="1310" xr:uid="{00000000-0005-0000-0000-00003B050000}"/>
    <cellStyle name="User_Defined_A" xfId="1311" xr:uid="{00000000-0005-0000-0000-00003C050000}"/>
    <cellStyle name="Valuta (0)_Foglio1 (2)" xfId="1312" xr:uid="{00000000-0005-0000-0000-00003D050000}"/>
    <cellStyle name="Valuta_Foglio1 (2)" xfId="1313" xr:uid="{00000000-0005-0000-0000-00003E050000}"/>
    <cellStyle name="Vírgula_Arrendamiraflores" xfId="1314" xr:uid="{00000000-0005-0000-0000-00003F050000}"/>
    <cellStyle name="White" xfId="1315" xr:uid="{00000000-0005-0000-0000-000040050000}"/>
    <cellStyle name="y" xfId="1316" xr:uid="{00000000-0005-0000-0000-000041050000}"/>
    <cellStyle name="y_Citrix_2pgr2" xfId="1317" xr:uid="{00000000-0005-0000-0000-000042050000}"/>
    <cellStyle name="y_Iron-Steel" xfId="1318" xr:uid="{00000000-0005-0000-0000-000043050000}"/>
    <cellStyle name="y_MERQ_6-14_V8" xfId="1319" xr:uid="{00000000-0005-0000-0000-000044050000}"/>
    <cellStyle name="y_RATL_SRNA synergies" xfId="1320" xr:uid="{00000000-0005-0000-0000-000045050000}"/>
    <cellStyle name="y_Valuation_Jan2" xfId="1321" xr:uid="{00000000-0005-0000-0000-000046050000}"/>
    <cellStyle name="year" xfId="1322" xr:uid="{00000000-0005-0000-0000-000047050000}"/>
    <cellStyle name="Yen" xfId="1323" xr:uid="{00000000-0005-0000-0000-000048050000}"/>
    <cellStyle name="YES NO" xfId="1324" xr:uid="{00000000-0005-0000-0000-000049050000}"/>
    <cellStyle name="型番" xfId="1325" xr:uid="{00000000-0005-0000-0000-00004A050000}"/>
    <cellStyle name="桁区切り [0.00]_Book2" xfId="1326" xr:uid="{00000000-0005-0000-0000-00004B050000}"/>
    <cellStyle name="桁区切り_AssetBalance Template" xfId="1327" xr:uid="{00000000-0005-0000-0000-00004C050000}"/>
    <cellStyle name="標準_1Q01SS-backup_Megalon 3Q2" xfId="1328" xr:uid="{00000000-0005-0000-0000-00004D050000}"/>
    <cellStyle name="通貨 [0.00]_Book2" xfId="1329" xr:uid="{00000000-0005-0000-0000-00004E050000}"/>
    <cellStyle name="通貨_Book2" xfId="1330" xr:uid="{00000000-0005-0000-0000-00004F050000}"/>
  </cellStyles>
  <dxfs count="12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043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9" Type="http://schemas.openxmlformats.org/officeDocument/2006/relationships/customXml" Target="../customXml/item3.xml"/><Relationship Id="rId21" Type="http://schemas.openxmlformats.org/officeDocument/2006/relationships/externalLink" Target="externalLinks/externalLink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6.png"/><Relationship Id="rId1" Type="http://schemas.openxmlformats.org/officeDocument/2006/relationships/hyperlink" Target="#'Table of Contents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hyperlink" Target="#'Table of Contents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6.png"/><Relationship Id="rId1" Type="http://schemas.openxmlformats.org/officeDocument/2006/relationships/hyperlink" Target="#'Table of Contents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hyperlink" Target="#'Table of Content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6.png"/><Relationship Id="rId1" Type="http://schemas.openxmlformats.org/officeDocument/2006/relationships/hyperlink" Target="#'Table of Content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hyperlink" Target="#'Table of Contents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hyperlink" Target="#'Table of Contents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hyperlink" Target="#'Table of Content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49375</xdr:rowOff>
    </xdr:from>
    <xdr:to>
      <xdr:col>7</xdr:col>
      <xdr:colOff>657300</xdr:colOff>
      <xdr:row>34</xdr:row>
      <xdr:rowOff>178413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F8EED-27F4-3A95-38EB-C263095B0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79625"/>
          <a:ext cx="6856488" cy="5605913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4</xdr:row>
      <xdr:rowOff>39714</xdr:rowOff>
    </xdr:from>
    <xdr:to>
      <xdr:col>24</xdr:col>
      <xdr:colOff>448092</xdr:colOff>
      <xdr:row>18</xdr:row>
      <xdr:rowOff>12341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33D18B-4F0C-3A85-589E-1E80D4FA9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13563" y="769964"/>
          <a:ext cx="8203030" cy="2528502"/>
        </a:xfrm>
        <a:prstGeom prst="rect">
          <a:avLst/>
        </a:prstGeom>
      </xdr:spPr>
    </xdr:pic>
    <xdr:clientData/>
  </xdr:twoCellAnchor>
  <xdr:twoCellAnchor editAs="oneCell">
    <xdr:from>
      <xdr:col>11</xdr:col>
      <xdr:colOff>190499</xdr:colOff>
      <xdr:row>17</xdr:row>
      <xdr:rowOff>95252</xdr:rowOff>
    </xdr:from>
    <xdr:to>
      <xdr:col>24</xdr:col>
      <xdr:colOff>400361</xdr:colOff>
      <xdr:row>43</xdr:row>
      <xdr:rowOff>53293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54327F-E663-0FE5-9BA5-CAB7BB2FC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13562" y="3198815"/>
          <a:ext cx="8155300" cy="4704666"/>
        </a:xfrm>
        <a:prstGeom prst="rect">
          <a:avLst/>
        </a:prstGeom>
      </xdr:spPr>
    </xdr:pic>
    <xdr:clientData/>
  </xdr:twoCellAnchor>
  <xdr:twoCellAnchor editAs="oneCell">
    <xdr:from>
      <xdr:col>0</xdr:col>
      <xdr:colOff>87313</xdr:colOff>
      <xdr:row>46</xdr:row>
      <xdr:rowOff>87312</xdr:rowOff>
    </xdr:from>
    <xdr:to>
      <xdr:col>11</xdr:col>
      <xdr:colOff>216289</xdr:colOff>
      <xdr:row>63</xdr:row>
      <xdr:rowOff>69463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0CBD98E-F3AC-849A-A844-0E2DE545D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313" y="8485187"/>
          <a:ext cx="9590476" cy="308571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254000</xdr:colOff>
      <xdr:row>46</xdr:row>
      <xdr:rowOff>36295</xdr:rowOff>
    </xdr:from>
    <xdr:to>
      <xdr:col>29</xdr:col>
      <xdr:colOff>302008</xdr:colOff>
      <xdr:row>63</xdr:row>
      <xdr:rowOff>39251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FC71F3D-FFC8-E56D-ED9F-76569014D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21813" y="8434170"/>
          <a:ext cx="8604633" cy="3106519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174625</xdr:colOff>
      <xdr:row>66</xdr:row>
      <xdr:rowOff>71437</xdr:rowOff>
    </xdr:from>
    <xdr:to>
      <xdr:col>11</xdr:col>
      <xdr:colOff>217887</xdr:colOff>
      <xdr:row>83</xdr:row>
      <xdr:rowOff>82160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FFE9D92-8EFD-9FAA-51F5-AC0CFABD5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4625" y="12120562"/>
          <a:ext cx="9504762" cy="3114286"/>
        </a:xfrm>
        <a:prstGeom prst="rect">
          <a:avLst/>
        </a:prstGeom>
      </xdr:spPr>
    </xdr:pic>
    <xdr:clientData/>
  </xdr:twoCellAnchor>
  <xdr:twoCellAnchor editAs="oneCell">
    <xdr:from>
      <xdr:col>15</xdr:col>
      <xdr:colOff>436562</xdr:colOff>
      <xdr:row>67</xdr:row>
      <xdr:rowOff>0</xdr:rowOff>
    </xdr:from>
    <xdr:to>
      <xdr:col>27</xdr:col>
      <xdr:colOff>95250</xdr:colOff>
      <xdr:row>86</xdr:row>
      <xdr:rowOff>41796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8D18914-D0B1-6918-BE09-0E60EEA84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04375" y="12231688"/>
          <a:ext cx="6992938" cy="3510483"/>
        </a:xfrm>
        <a:prstGeom prst="rect">
          <a:avLst/>
        </a:prstGeom>
      </xdr:spPr>
    </xdr:pic>
    <xdr:clientData/>
  </xdr:twoCellAnchor>
  <xdr:twoCellAnchor editAs="oneCell">
    <xdr:from>
      <xdr:col>0</xdr:col>
      <xdr:colOff>198437</xdr:colOff>
      <xdr:row>83</xdr:row>
      <xdr:rowOff>95249</xdr:rowOff>
    </xdr:from>
    <xdr:to>
      <xdr:col>11</xdr:col>
      <xdr:colOff>251223</xdr:colOff>
      <xdr:row>105</xdr:row>
      <xdr:rowOff>50303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2C56B29-C37D-93D5-307D-EEA58DA69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8437" y="15247937"/>
          <a:ext cx="9514286" cy="3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374232</xdr:colOff>
      <xdr:row>108</xdr:row>
      <xdr:rowOff>119063</xdr:rowOff>
    </xdr:from>
    <xdr:to>
      <xdr:col>10</xdr:col>
      <xdr:colOff>608417</xdr:colOff>
      <xdr:row>141</xdr:row>
      <xdr:rowOff>64294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394E15F-A49A-A3B8-30DF-5C9B0895B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4232" y="19835813"/>
          <a:ext cx="8909873" cy="5969794"/>
        </a:xfrm>
        <a:prstGeom prst="rect">
          <a:avLst/>
        </a:prstGeom>
      </xdr:spPr>
    </xdr:pic>
    <xdr:clientData/>
  </xdr:twoCellAnchor>
  <xdr:twoCellAnchor editAs="oneCell">
    <xdr:from>
      <xdr:col>15</xdr:col>
      <xdr:colOff>277811</xdr:colOff>
      <xdr:row>108</xdr:row>
      <xdr:rowOff>91812</xdr:rowOff>
    </xdr:from>
    <xdr:to>
      <xdr:col>28</xdr:col>
      <xdr:colOff>171864</xdr:colOff>
      <xdr:row>136</xdr:row>
      <xdr:rowOff>836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FA5C15C-5BEE-BE03-28B2-BD4192292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445624" y="19808562"/>
          <a:ext cx="7839491" cy="5019187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</xdr:colOff>
      <xdr:row>144</xdr:row>
      <xdr:rowOff>87313</xdr:rowOff>
    </xdr:from>
    <xdr:to>
      <xdr:col>11</xdr:col>
      <xdr:colOff>343288</xdr:colOff>
      <xdr:row>181</xdr:row>
      <xdr:rowOff>84881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CC52CC1-73E0-2BCE-B9B3-CF51A4FD9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4312" y="26376313"/>
          <a:ext cx="9590476" cy="6752381"/>
        </a:xfrm>
        <a:prstGeom prst="rect">
          <a:avLst/>
        </a:prstGeom>
      </xdr:spPr>
    </xdr:pic>
    <xdr:clientData/>
  </xdr:twoCellAnchor>
  <xdr:twoCellAnchor editAs="oneCell">
    <xdr:from>
      <xdr:col>16</xdr:col>
      <xdr:colOff>7937</xdr:colOff>
      <xdr:row>144</xdr:row>
      <xdr:rowOff>111125</xdr:rowOff>
    </xdr:from>
    <xdr:to>
      <xdr:col>31</xdr:col>
      <xdr:colOff>230601</xdr:colOff>
      <xdr:row>169</xdr:row>
      <xdr:rowOff>137538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6820033-B8FE-350A-BBCC-CDA33220A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786937" y="26400125"/>
          <a:ext cx="9390476" cy="459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206375</xdr:colOff>
      <xdr:row>86</xdr:row>
      <xdr:rowOff>61800</xdr:rowOff>
    </xdr:from>
    <xdr:to>
      <xdr:col>30</xdr:col>
      <xdr:colOff>3596</xdr:colOff>
      <xdr:row>104</xdr:row>
      <xdr:rowOff>134468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8E0DAC3-B80C-3E6C-8008-9C59F2916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85375" y="15762175"/>
          <a:ext cx="8333208" cy="335879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184</xdr:row>
      <xdr:rowOff>87312</xdr:rowOff>
    </xdr:from>
    <xdr:to>
      <xdr:col>11</xdr:col>
      <xdr:colOff>43280</xdr:colOff>
      <xdr:row>201</xdr:row>
      <xdr:rowOff>117082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3D59B15-EA1F-E225-7B6B-0AF44B1B7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2875" y="33678812"/>
          <a:ext cx="9361905" cy="313333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184</xdr:row>
      <xdr:rowOff>0</xdr:rowOff>
    </xdr:from>
    <xdr:to>
      <xdr:col>31</xdr:col>
      <xdr:colOff>203616</xdr:colOff>
      <xdr:row>217</xdr:row>
      <xdr:rowOff>61151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B35187C-AC49-278B-E943-2E29A9540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779000" y="33591500"/>
          <a:ext cx="9371428" cy="60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74983</xdr:colOff>
      <xdr:row>1</xdr:row>
      <xdr:rowOff>0</xdr:rowOff>
    </xdr:from>
    <xdr:to>
      <xdr:col>51</xdr:col>
      <xdr:colOff>8928</xdr:colOff>
      <xdr:row>2</xdr:row>
      <xdr:rowOff>36877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86B89B-4BC8-4211-A040-9BDCD2C19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76133" y="171450"/>
          <a:ext cx="19644345" cy="697277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  <xdr:twoCellAnchor>
    <xdr:from>
      <xdr:col>61</xdr:col>
      <xdr:colOff>97945</xdr:colOff>
      <xdr:row>1</xdr:row>
      <xdr:rowOff>0</xdr:rowOff>
    </xdr:from>
    <xdr:to>
      <xdr:col>73</xdr:col>
      <xdr:colOff>44818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40C091-CA16-487B-A935-E777C1DE4A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6" t="15556" r="4002" b="14074"/>
        <a:stretch/>
      </xdr:blipFill>
      <xdr:spPr bwMode="auto">
        <a:xfrm>
          <a:off x="47868995" y="171450"/>
          <a:ext cx="7338273" cy="660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61</xdr:col>
      <xdr:colOff>51529</xdr:colOff>
      <xdr:row>3</xdr:row>
      <xdr:rowOff>0</xdr:rowOff>
    </xdr:from>
    <xdr:to>
      <xdr:col>73</xdr:col>
      <xdr:colOff>95096</xdr:colOff>
      <xdr:row>3</xdr:row>
      <xdr:rowOff>85668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BB4DE58D-29BB-4828-A9FD-A31A906501F5}"/>
            </a:ext>
          </a:extLst>
        </xdr:cNvPr>
        <xdr:cNvSpPr txBox="1">
          <a:spLocks noChangeArrowheads="1"/>
        </xdr:cNvSpPr>
      </xdr:nvSpPr>
      <xdr:spPr bwMode="auto">
        <a:xfrm>
          <a:off x="47822579" y="996950"/>
          <a:ext cx="7434967" cy="856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74983</xdr:colOff>
      <xdr:row>24</xdr:row>
      <xdr:rowOff>0</xdr:rowOff>
    </xdr:from>
    <xdr:to>
      <xdr:col>57</xdr:col>
      <xdr:colOff>8927</xdr:colOff>
      <xdr:row>26</xdr:row>
      <xdr:rowOff>36874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659508" y="0"/>
          <a:ext cx="18831544" cy="332153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508001</xdr:colOff>
      <xdr:row>26</xdr:row>
      <xdr:rowOff>112344</xdr:rowOff>
    </xdr:from>
    <xdr:to>
      <xdr:col>14</xdr:col>
      <xdr:colOff>253093</xdr:colOff>
      <xdr:row>52</xdr:row>
      <xdr:rowOff>87318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8A456F-4649-AE71-547E-5606F79FD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9189" y="4858969"/>
          <a:ext cx="7690529" cy="4721599"/>
        </a:xfrm>
        <a:prstGeom prst="rect">
          <a:avLst/>
        </a:prstGeom>
      </xdr:spPr>
    </xdr:pic>
    <xdr:clientData/>
  </xdr:twoCellAnchor>
  <xdr:twoCellAnchor editAs="oneCell">
    <xdr:from>
      <xdr:col>1</xdr:col>
      <xdr:colOff>349249</xdr:colOff>
      <xdr:row>0</xdr:row>
      <xdr:rowOff>79375</xdr:rowOff>
    </xdr:from>
    <xdr:to>
      <xdr:col>14</xdr:col>
      <xdr:colOff>310235</xdr:colOff>
      <xdr:row>26</xdr:row>
      <xdr:rowOff>103188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32E500B-A2A4-288D-E9B5-48C944E6B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0437" y="79375"/>
          <a:ext cx="7906423" cy="47704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74983</xdr:colOff>
      <xdr:row>1</xdr:row>
      <xdr:rowOff>0</xdr:rowOff>
    </xdr:from>
    <xdr:to>
      <xdr:col>51</xdr:col>
      <xdr:colOff>8928</xdr:colOff>
      <xdr:row>2</xdr:row>
      <xdr:rowOff>36877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C66196-3AB2-4BCA-9417-1D13171BE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2263" y="5935980"/>
          <a:ext cx="19441144" cy="326437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  <xdr:twoCellAnchor>
    <xdr:from>
      <xdr:col>61</xdr:col>
      <xdr:colOff>97945</xdr:colOff>
      <xdr:row>1</xdr:row>
      <xdr:rowOff>0</xdr:rowOff>
    </xdr:from>
    <xdr:to>
      <xdr:col>73</xdr:col>
      <xdr:colOff>44818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0ADD84-0EAB-4E8F-A3D7-A065C2CA8A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6" t="15556" r="4002" b="14074"/>
        <a:stretch/>
      </xdr:blipFill>
      <xdr:spPr bwMode="auto">
        <a:xfrm>
          <a:off x="49658425" y="5935980"/>
          <a:ext cx="7262073" cy="2895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61</xdr:col>
      <xdr:colOff>51529</xdr:colOff>
      <xdr:row>3</xdr:row>
      <xdr:rowOff>0</xdr:rowOff>
    </xdr:from>
    <xdr:to>
      <xdr:col>73</xdr:col>
      <xdr:colOff>95096</xdr:colOff>
      <xdr:row>3</xdr:row>
      <xdr:rowOff>85668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A6879611-9459-4F79-8FC3-DAEB25299948}"/>
            </a:ext>
          </a:extLst>
        </xdr:cNvPr>
        <xdr:cNvSpPr txBox="1">
          <a:spLocks noChangeArrowheads="1"/>
        </xdr:cNvSpPr>
      </xdr:nvSpPr>
      <xdr:spPr bwMode="auto">
        <a:xfrm>
          <a:off x="49612009" y="6515100"/>
          <a:ext cx="7358767" cy="856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74983</xdr:colOff>
      <xdr:row>0</xdr:row>
      <xdr:rowOff>0</xdr:rowOff>
    </xdr:from>
    <xdr:to>
      <xdr:col>50</xdr:col>
      <xdr:colOff>8927</xdr:colOff>
      <xdr:row>1</xdr:row>
      <xdr:rowOff>142287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748AA4-1EDA-476D-BEB6-1B04D5726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2263" y="289560"/>
          <a:ext cx="19441144" cy="326437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74983</xdr:colOff>
      <xdr:row>1</xdr:row>
      <xdr:rowOff>0</xdr:rowOff>
    </xdr:from>
    <xdr:to>
      <xdr:col>50</xdr:col>
      <xdr:colOff>8927</xdr:colOff>
      <xdr:row>5</xdr:row>
      <xdr:rowOff>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4D3DDE-3435-4812-9DD2-CC69B3BB0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2263" y="289560"/>
          <a:ext cx="19441144" cy="326437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  <xdr:twoCellAnchor>
    <xdr:from>
      <xdr:col>60</xdr:col>
      <xdr:colOff>97945</xdr:colOff>
      <xdr:row>1</xdr:row>
      <xdr:rowOff>0</xdr:rowOff>
    </xdr:from>
    <xdr:to>
      <xdr:col>72</xdr:col>
      <xdr:colOff>44818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BA9ACB-3788-4E36-BA52-3EDD86FBA6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6" t="15556" r="4002" b="14074"/>
        <a:stretch/>
      </xdr:blipFill>
      <xdr:spPr bwMode="auto">
        <a:xfrm>
          <a:off x="49658425" y="289560"/>
          <a:ext cx="7262073" cy="2895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60</xdr:col>
      <xdr:colOff>51529</xdr:colOff>
      <xdr:row>3</xdr:row>
      <xdr:rowOff>0</xdr:rowOff>
    </xdr:from>
    <xdr:to>
      <xdr:col>72</xdr:col>
      <xdr:colOff>95096</xdr:colOff>
      <xdr:row>3</xdr:row>
      <xdr:rowOff>85668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75EEBB97-8E1C-47B2-866A-9FEB5E85B221}"/>
            </a:ext>
          </a:extLst>
        </xdr:cNvPr>
        <xdr:cNvSpPr txBox="1">
          <a:spLocks noChangeArrowheads="1"/>
        </xdr:cNvSpPr>
      </xdr:nvSpPr>
      <xdr:spPr bwMode="auto">
        <a:xfrm>
          <a:off x="49612009" y="868680"/>
          <a:ext cx="7358767" cy="856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74983</xdr:colOff>
      <xdr:row>0</xdr:row>
      <xdr:rowOff>0</xdr:rowOff>
    </xdr:from>
    <xdr:to>
      <xdr:col>50</xdr:col>
      <xdr:colOff>8927</xdr:colOff>
      <xdr:row>1</xdr:row>
      <xdr:rowOff>127047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906D91-D550-4128-A936-EF2DD390A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63683" y="0"/>
          <a:ext cx="19197304" cy="334057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74983</xdr:colOff>
      <xdr:row>0</xdr:row>
      <xdr:rowOff>0</xdr:rowOff>
    </xdr:from>
    <xdr:to>
      <xdr:col>50</xdr:col>
      <xdr:colOff>8927</xdr:colOff>
      <xdr:row>1</xdr:row>
      <xdr:rowOff>133397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EBD054-F5FB-423E-A8B3-C48C90B65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63683" y="0"/>
          <a:ext cx="19197304" cy="334057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74983</xdr:colOff>
      <xdr:row>0</xdr:row>
      <xdr:rowOff>0</xdr:rowOff>
    </xdr:from>
    <xdr:to>
      <xdr:col>50</xdr:col>
      <xdr:colOff>8927</xdr:colOff>
      <xdr:row>1</xdr:row>
      <xdr:rowOff>142287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E4F4B6-89F8-4BC2-A93C-B4E942EAA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63083" y="0"/>
          <a:ext cx="19644344" cy="567737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My%20Documents/Closed%20Deals/Mack-Cali%20Portfolio/Investment%20Committee%20Book/$600k%20price%20adjustment%20VI/Section%203%20-%20Mack-Cali%20Portfolio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Charles%20A%20Long/Dropbox/Development-L-T/West%20Oakland/1600%207th%20St/Equity%20Book%20and%20Financials/efscluster1/eusersdefpaths/greystar/live/41900914476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Documents%20and%20Settings/ahiggins/Local%20Settings/Temporary%20Internet%20Files/OLK16E/North%20Houston%20Medical%20Base%20Case%208-17-04%20(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LAXUsers/koura/Analyst%20Bullpen/2%20-%20Seattle%20Deals/Seattle/South%20Lake%20Union/1%208%2012%20-%20Seattle%20282%20-%20AW_KAO_1.10.1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matthewticknor/Dropbox/Development-L-T/Oakland/585%2022nd%20St/Asset%20Management/G:/Real%20Estate/_New%20Deals/NYC%20-%2085%20West%20Broadway/Model/hotel%20model/kimpton%20hotel%20development%20mod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matthewticknor/Dropbox/Development-L-T/Oakland/585%2022nd%20St/Asset%20Management/G:/My%20Documents/Starwood/Models/FiMo%20Clean%203-1-04%20-%20May%20actfor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BCI-FS1/Users/FHC/ESTIMATE/Large%20Projects%20Estimates%202005/Carmichael%20Library%2025006/Bid%20Card%20Carmichael%20Library%201_27_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Documents%20and%20Settings/tpender.CHS/Local%20Settings/Temporary%20Internet%20Files/OLK12F/45760934376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Matt/Dropbox/Greystar/Deals/Menlo%20Park/Equity%20Book/Menlo%20Park%20-%2065%25%20LTC%20-%2011-17-2013%20-%20broken%20link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SAMR/Invoices/Greystar%20Investments/GCP%20Invoice-JMIGR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beaconlakes/Shared%20Documents/Beacon%20Lakes/100%20Land%20and%20Feasibility/Project%20Budget/MULE%20and%20Partners%20model%20greystar%20Beacon%20Lakes%203-5-07%20v5/beacon%20MULE2007_Beta2.3/MULE2007_Beta2.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Documents%20and%20Settings/drbrown.AUSTIN/Local%20Settings/Temporary%20Internet%20Files/OLK1/49864162724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"/>
      <sheetName val="Dealsumm"/>
      <sheetName val="Assm"/>
      <sheetName val="#"/>
      <sheetName val="#debt"/>
      <sheetName val="A"/>
      <sheetName val="B"/>
      <sheetName val="C"/>
      <sheetName val="Profit"/>
      <sheetName val="FeeAnalysis"/>
      <sheetName val="Land Assm"/>
      <sheetName val="Land #"/>
      <sheetName val="Land #debt"/>
      <sheetName val="Mont Assm"/>
      <sheetName val="Mont #"/>
      <sheetName val="Mont #debt"/>
      <sheetName val="Metr Assm"/>
      <sheetName val="Metr #"/>
      <sheetName val="Metr #debt"/>
      <sheetName val="Rep Assm"/>
      <sheetName val="Rep #"/>
      <sheetName val="Rep #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erty taxes-NOI-Prop 13 2538"/>
      <sheetName val="585 22nd NOI reduction-Prop 13"/>
      <sheetName val="471 Fees and allowances"/>
      <sheetName val="Unit mix revised 2538 08-04-16"/>
      <sheetName val="Unit mix revised 585 01-24-17"/>
      <sheetName val="570 Fees and Allowances"/>
      <sheetName val="Operating Expense &amp; Income 2538"/>
      <sheetName val="Rental pro-forma-97 UNITS-2538"/>
      <sheetName val="OVERALL DRAW 2538"/>
      <sheetName val="Equity Investor Sheet 2538"/>
      <sheetName val="26th - PM Budget"/>
      <sheetName val="2538 ALL EXPENSES"/>
      <sheetName val="2538 CONTRACTS"/>
      <sheetName val="Monthly Draw 585&amp;2538"/>
      <sheetName val="Operating Expense &amp; Income-585"/>
      <sheetName val="Rental pro-forma 585"/>
      <sheetName val="OVERALL DRAW 585"/>
      <sheetName val="Equity Investor Sheet 585"/>
      <sheetName val="21st - PM Budget"/>
      <sheetName val="585 ALL EXPENSES"/>
      <sheetName val="585 CONTRACTS"/>
      <sheetName val="UBS Waterfall"/>
      <sheetName val="Return Summary"/>
      <sheetName val="Trended CF-Simple 2538"/>
      <sheetName val="Trended CF-Simple585"/>
      <sheetName val="2538 BID LOG 5-16-17"/>
      <sheetName val="2538 BID LOG 6-6-17"/>
      <sheetName val="COSTS BOTH"/>
      <sheetName val="CONSOLIDATED"/>
      <sheetName val="DESIGN DRAW 585"/>
      <sheetName val="DESIGN DRAW 2538"/>
      <sheetName val="10y Libor"/>
      <sheetName val="60 units-OLD"/>
      <sheetName val="TIC Structure"/>
      <sheetName val="10 Yr. - Cash Flow"/>
      <sheetName val="One Pager - Assumptions"/>
      <sheetName val="NOI Down"/>
      <sheetName val="Rent Roll"/>
      <sheetName val="Rent"/>
      <sheetName val="TI"/>
      <sheetName val="Supporting Info."/>
      <sheetName val="Lease-Up"/>
      <sheetName val="Client Specif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erty taxes-NOI-Prop 13 2538"/>
      <sheetName val="585 22nd NOI reduction-Prop 13"/>
      <sheetName val="471 Fees and allowances"/>
      <sheetName val="Unit mix revised 2538 08-04-16"/>
      <sheetName val="Unit mix revised 585 01-24-17"/>
      <sheetName val="570 Fees and Allowances"/>
      <sheetName val="Operating Expense &amp; Income 2538"/>
      <sheetName val="Rental pro-forma-97 UNITS-2538"/>
      <sheetName val="OVERALL DRAW 2538"/>
      <sheetName val="Equity Investor Sheet 2538"/>
      <sheetName val="26th - PM Budget"/>
      <sheetName val="2538 ALL EXPENSES"/>
      <sheetName val="2538 CONTRACTS"/>
      <sheetName val="Monthly Draw 585&amp;2538"/>
      <sheetName val="Operating Expense &amp; Income-585"/>
      <sheetName val="Rental pro-forma 585"/>
      <sheetName val="OVERALL DRAW 585"/>
      <sheetName val="Equity Investor Sheet 585"/>
      <sheetName val="21st - PM Budget"/>
      <sheetName val="585 ALL EXPENSES"/>
      <sheetName val="585 CONTRACTS"/>
      <sheetName val="UBS Waterfall"/>
      <sheetName val="Return Summary"/>
      <sheetName val="Trended CF-Simple 2538"/>
      <sheetName val="Trended CF-Simple585"/>
      <sheetName val="2538 BID LOG 5-16-17"/>
      <sheetName val="2538 BID LOG 6-6-17"/>
      <sheetName val="COSTS BOTH"/>
      <sheetName val="CONSOLIDATED"/>
      <sheetName val="DESIGN DRAW 585"/>
      <sheetName val="DESIGN DRAW 2538"/>
      <sheetName val="10y Libor"/>
      <sheetName val="60 units-OLD"/>
      <sheetName val="Updates"/>
      <sheetName val="Negotiations Page"/>
      <sheetName val="Land Flip"/>
      <sheetName val="Parking"/>
      <sheetName val="base case"/>
      <sheetName val="Spent to Date"/>
      <sheetName val="Table of Contents"/>
      <sheetName val="Lanes Analysis"/>
      <sheetName val="Investment Committee Cover"/>
      <sheetName val="Executive Summary"/>
      <sheetName val="Assumptions Tracker"/>
      <sheetName val="Development Images"/>
      <sheetName val="Lanes Summary"/>
      <sheetName val="1 - Location"/>
      <sheetName val="2 - Supply &amp; Demand"/>
      <sheetName val="3 - Basis"/>
      <sheetName val="4 - Rents"/>
      <sheetName val="5 - Rent Growth"/>
      <sheetName val="6 - Development"/>
      <sheetName val="7 - Construction"/>
      <sheetName val="8 - Transaction Timing"/>
      <sheetName val="9 - Partnership Structure"/>
      <sheetName val="10 - Returns"/>
      <sheetName val="NOT IN USE - Detailed Budget"/>
      <sheetName val="Muni Fees"/>
      <sheetName val="New Detailed Budget MT"/>
      <sheetName val="Input"/>
      <sheetName val="Equity Package"/>
      <sheetName val="Coinvest Analysis"/>
      <sheetName val="Pursuit Schedule"/>
      <sheetName val="Comparison IC"/>
      <sheetName val="Sales Analysis"/>
      <sheetName val="REIS 2Q12"/>
      <sheetName val="Untrended Cash Flow"/>
      <sheetName val="Trended Cash Flow"/>
      <sheetName val="Comparison Table"/>
      <sheetName val="REIS YE2011"/>
      <sheetName val="Mgmt Sign Off"/>
      <sheetName val="Capitalization"/>
      <sheetName val="Comparison"/>
      <sheetName val="3Q11 REIS Report"/>
      <sheetName val="Exhibits"/>
      <sheetName val="Develop. Integrated Lifecycle"/>
      <sheetName val="Integrated Checklist"/>
      <sheetName val="Conceptual Design Review"/>
      <sheetName val="Detailed Costs"/>
      <sheetName val="Deposit Dollars"/>
      <sheetName val="Pursuit Costs"/>
      <sheetName val="Tools"/>
      <sheetName val="Generic Cover"/>
      <sheetName val="Notes"/>
      <sheetName val="Protocol &amp; Policy"/>
      <sheetName val="Suggestions"/>
      <sheetName val="Calc Table"/>
      <sheetName val="Project Cost Summary"/>
      <sheetName val="Lease Up"/>
      <sheetName val="Lists"/>
      <sheetName val="Origin"/>
      <sheetName val="Construction Costs"/>
      <sheetName val="Expense Detail"/>
      <sheetName val="Data"/>
      <sheetName val="Operating Expense &amp; Income"/>
      <sheetName val="Property taxes-NOI- Prop 13"/>
      <sheetName val="Rental pro-forma-97 UNITS"/>
      <sheetName val="Schedule-Budgets-2538"/>
      <sheetName val="Monthly Draw 2538"/>
      <sheetName val="Trended CF-Simple"/>
      <sheetName val="Rent Roll table for Equity Book"/>
      <sheetName val="Cost Allocation to commerc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-INPU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erty taxes-NOI-Prop 13 2538"/>
      <sheetName val="585 22nd NOI reduction-Prop 13"/>
      <sheetName val="471 Fees and allowances"/>
      <sheetName val="Unit mix revised 2538 08-04-16"/>
      <sheetName val="Unit mix revised 585 01-24-17"/>
      <sheetName val="570 Fees and Allowances"/>
      <sheetName val="Operating Expense &amp; Income 2538"/>
      <sheetName val="Rental pro-forma-97 UNITS-2538"/>
      <sheetName val="OVERALL DRAW 2538"/>
      <sheetName val="Equity Investor Sheet 2538"/>
      <sheetName val="26th - PM Budget"/>
      <sheetName val="2538 ALL EXPENSES"/>
      <sheetName val="2538 CONTRACTS"/>
      <sheetName val="Monthly Draw 585&amp;2538"/>
      <sheetName val="Operating Expense &amp; Income-585"/>
      <sheetName val="Rental pro-forma 585"/>
      <sheetName val="OVERALL DRAW 585"/>
      <sheetName val="Equity Investor Sheet 585"/>
      <sheetName val="21st - PM Budget"/>
      <sheetName val="585 ALL EXPENSES"/>
      <sheetName val="585 CONTRACTS"/>
      <sheetName val="UBS Waterfall"/>
      <sheetName val="Return Summary"/>
      <sheetName val="Trended CF-Simple 2538"/>
      <sheetName val="Trended CF-Simple585"/>
      <sheetName val="2538 BID LOG 5-16-17"/>
      <sheetName val="2538 BID LOG 6-6-17"/>
      <sheetName val="COSTS BOTH"/>
      <sheetName val="CONSOLIDATED"/>
      <sheetName val="DESIGN DRAW 585"/>
      <sheetName val="DESIGN DRAW 2538"/>
      <sheetName val="10y Libor"/>
      <sheetName val="60 units-OLD"/>
      <sheetName val="Frontsheet"/>
      <sheetName val="Bid Form"/>
      <sheetName val="1"/>
      <sheetName val="2"/>
      <sheetName val="3"/>
      <sheetName val="4"/>
      <sheetName val="5"/>
      <sheetName val="6"/>
      <sheetName val="8"/>
      <sheetName val="7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Trade Breakdown"/>
      <sheetName val="Notes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Report"/>
      <sheetName val="Message"/>
      <sheetName val="Operating Expense &amp; Income"/>
      <sheetName val="Property taxes-NOI- Prop 13"/>
      <sheetName val="Rental pro-forma-97 UNITS"/>
      <sheetName val="OVERALL DRAW 2538"/>
      <sheetName val="Schedule-Budgets-2538"/>
      <sheetName val="Equity Investor Sheet 2538"/>
      <sheetName val="Monthly Draw 2538"/>
      <sheetName val="Trended CF-Simple"/>
      <sheetName val="Rent Roll table for Equity Book"/>
      <sheetName val="Cost Allocation to commercial"/>
      <sheetName val="DESIGN DRAW 2538"/>
      <sheetName val="2538 CONTRACTS"/>
      <sheetName val="60 units-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s"/>
      <sheetName val="Lanes Analysis"/>
      <sheetName val="Pursuit Schedule"/>
      <sheetName val="Investment Committee Cover"/>
      <sheetName val="Executive Summary"/>
      <sheetName val="Development Images"/>
      <sheetName val="Lanes Summary"/>
      <sheetName val="1 - Location"/>
      <sheetName val="2 - Supply &amp; Demand"/>
      <sheetName val="3 - Basis"/>
      <sheetName val="4 - Rents"/>
      <sheetName val="5 - Rent Growth"/>
      <sheetName val="6 - Development"/>
      <sheetName val="7 - Construction"/>
      <sheetName val="8 - Transaction Timing"/>
      <sheetName val="10 - Returns"/>
      <sheetName val="9 - Assumptions Tracker"/>
      <sheetName val="Sales Comps"/>
      <sheetName val="Rent Comps"/>
      <sheetName val="Equity Page"/>
      <sheetName val="Mgmt Sign Off"/>
      <sheetName val="Input"/>
      <sheetName val="Trended Cash Flow"/>
      <sheetName val="Coinvest Analysis"/>
      <sheetName val="Sale Value Analysis"/>
      <sheetName val="Pursuit Cost IRR"/>
      <sheetName val="Sheet1"/>
      <sheetName val="Detailed Budget"/>
      <sheetName val="Development Budget"/>
      <sheetName val="Muni Fees"/>
      <sheetName val="Elan San Fran"/>
      <sheetName val="Yardi"/>
      <sheetName val="REIS"/>
      <sheetName val="Project Budget"/>
      <sheetName val="Sensitivity Analysis"/>
      <sheetName val="IRR Bridge"/>
      <sheetName val="Calc Table"/>
      <sheetName val="Unit Matrix"/>
      <sheetName val="Concord Mix"/>
      <sheetName val="Pursuit_Expenses by cost code"/>
      <sheetName val="Tracker"/>
      <sheetName val="Construction"/>
      <sheetName val="Budget"/>
      <sheetName val="Unit Mix"/>
      <sheetName val="Inclusionary Housing"/>
      <sheetName val="Untrended Cash Flow"/>
      <sheetName val="Project Cost Summary"/>
      <sheetName val="Capitalization"/>
      <sheetName val="Lease Up"/>
      <sheetName val="List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/>
      <sheetData sheetId="5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ize Your Invoice"/>
      <sheetName val="AutoOpen Stub Data"/>
      <sheetName val="Invoice"/>
      <sheetName val="Macros"/>
      <sheetName val="ATW"/>
      <sheetName val="Lock"/>
      <sheetName val="Intl Data Table"/>
      <sheetName val="TemplateInformation"/>
      <sheetName val="GCP Invoice-JMIGR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al Input"/>
      <sheetName val="Annual CF Input"/>
      <sheetName val="Monthly CF Input"/>
      <sheetName val="Pools"/>
      <sheetName val="RE Valuation"/>
      <sheetName val="JV Financials"/>
      <sheetName val="GE Economics"/>
      <sheetName val="Metrics"/>
      <sheetName val="Sensitivities"/>
      <sheetName val="Deal Assumptions"/>
      <sheetName val="Property Assumptions"/>
      <sheetName val="Debt Worksheet"/>
      <sheetName val="Equity Worksheet"/>
      <sheetName val="FAS 141"/>
      <sheetName val="Overhead"/>
      <sheetName val="Data Tape"/>
      <sheetName val="Criteria"/>
      <sheetName val="UW vs 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98641627242"/>
      <sheetName val="Template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350A8-1D56-4C98-A90A-32C31A4A6A8C}">
  <sheetPr>
    <tabColor rgb="FF00B0F0"/>
    <pageSetUpPr fitToPage="1"/>
  </sheetPr>
  <dimension ref="A3:AF235"/>
  <sheetViews>
    <sheetView zoomScale="80" zoomScaleNormal="80" workbookViewId="0">
      <selection activeCell="I215" sqref="I215"/>
    </sheetView>
  </sheetViews>
  <sheetFormatPr defaultColWidth="8.7109375" defaultRowHeight="14.45"/>
  <cols>
    <col min="1" max="1" width="26" style="305" bestFit="1" customWidth="1"/>
    <col min="2" max="2" width="8.7109375" style="305"/>
    <col min="3" max="4" width="13.85546875" style="305" bestFit="1" customWidth="1"/>
    <col min="5" max="7" width="8.7109375" style="305"/>
    <col min="8" max="8" width="12.28515625" style="305" bestFit="1" customWidth="1"/>
    <col min="9" max="9" width="14.42578125" style="305" bestFit="1" customWidth="1"/>
    <col min="10" max="10" width="8.7109375" style="305"/>
    <col min="11" max="11" width="11.28515625" style="305" bestFit="1" customWidth="1"/>
    <col min="12" max="16384" width="8.7109375" style="305"/>
  </cols>
  <sheetData>
    <row r="3" spans="1:25" s="308" customFormat="1" ht="18.600000000000001">
      <c r="A3" s="346" t="s">
        <v>0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</row>
    <row r="4" spans="1:25" s="308" customFormat="1" ht="18.600000000000001">
      <c r="A4" s="346" t="s">
        <v>1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</row>
    <row r="45" spans="1:25" s="308" customFormat="1" ht="18.600000000000001">
      <c r="A45" s="346" t="s">
        <v>2</v>
      </c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</row>
    <row r="46" spans="1:25" s="308" customFormat="1" ht="18.600000000000001">
      <c r="A46" s="346" t="str">
        <f>A4</f>
        <v>Source: Moody's Analytics</v>
      </c>
      <c r="B46" s="307"/>
      <c r="C46" s="307"/>
      <c r="D46" s="307"/>
      <c r="E46" s="307"/>
      <c r="F46" s="307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</row>
    <row r="65" spans="1:29" s="308" customFormat="1" ht="18.600000000000001">
      <c r="A65" s="346" t="s">
        <v>3</v>
      </c>
      <c r="B65" s="307"/>
      <c r="C65" s="307"/>
      <c r="D65" s="307"/>
      <c r="E65" s="307"/>
      <c r="F65" s="307"/>
      <c r="G65" s="307"/>
      <c r="H65" s="307"/>
      <c r="I65" s="307"/>
      <c r="J65" s="307"/>
      <c r="K65" s="307"/>
      <c r="L65" s="307"/>
      <c r="M65" s="307"/>
      <c r="N65" s="307"/>
      <c r="O65" s="307"/>
      <c r="P65" s="307"/>
      <c r="Q65" s="307"/>
      <c r="R65" s="307"/>
      <c r="S65" s="307"/>
      <c r="T65" s="307"/>
      <c r="U65" s="307"/>
      <c r="V65" s="307"/>
      <c r="W65" s="307"/>
      <c r="X65" s="307"/>
      <c r="Y65" s="307"/>
      <c r="Z65" s="307"/>
      <c r="AA65" s="307"/>
      <c r="AB65" s="307"/>
      <c r="AC65" s="307"/>
    </row>
    <row r="66" spans="1:29" s="308" customFormat="1" ht="18.600000000000001">
      <c r="A66" s="346" t="str">
        <f>A46</f>
        <v>Source: Moody's Analytics</v>
      </c>
      <c r="B66" s="307"/>
      <c r="C66" s="307"/>
      <c r="D66" s="307"/>
      <c r="E66" s="307"/>
      <c r="F66" s="307"/>
      <c r="G66" s="307"/>
      <c r="H66" s="307"/>
      <c r="I66" s="307"/>
      <c r="J66" s="307"/>
      <c r="K66" s="307"/>
      <c r="L66" s="307"/>
      <c r="M66" s="307"/>
      <c r="N66" s="307"/>
      <c r="O66" s="307"/>
      <c r="P66" s="307"/>
      <c r="Q66" s="307"/>
      <c r="R66" s="307"/>
      <c r="S66" s="307"/>
      <c r="T66" s="307"/>
      <c r="U66" s="307"/>
      <c r="V66" s="307"/>
      <c r="W66" s="307"/>
      <c r="X66" s="307"/>
      <c r="Y66" s="307"/>
      <c r="Z66" s="307"/>
      <c r="AA66" s="307"/>
      <c r="AB66" s="307"/>
      <c r="AC66" s="307"/>
    </row>
    <row r="107" spans="1:28" s="308" customFormat="1" ht="18.600000000000001">
      <c r="A107" s="346" t="s">
        <v>4</v>
      </c>
      <c r="B107" s="307"/>
      <c r="C107" s="307"/>
      <c r="D107" s="307"/>
      <c r="E107" s="307"/>
      <c r="F107" s="307"/>
      <c r="G107" s="307"/>
      <c r="H107" s="307"/>
      <c r="I107" s="307"/>
      <c r="J107" s="307"/>
      <c r="K107" s="307"/>
      <c r="L107" s="307"/>
      <c r="M107" s="307"/>
      <c r="N107" s="307"/>
      <c r="O107" s="307"/>
      <c r="P107" s="307"/>
      <c r="Q107" s="307"/>
      <c r="R107" s="307"/>
      <c r="S107" s="307"/>
      <c r="T107" s="307"/>
      <c r="U107" s="307"/>
      <c r="V107" s="307"/>
      <c r="W107" s="307"/>
      <c r="X107" s="307"/>
      <c r="Y107" s="307"/>
      <c r="Z107" s="307"/>
      <c r="AA107" s="307"/>
      <c r="AB107" s="307"/>
    </row>
    <row r="108" spans="1:28" s="308" customFormat="1" ht="18.600000000000001">
      <c r="A108" s="346" t="str">
        <f>A66</f>
        <v>Source: Moody's Analytics</v>
      </c>
      <c r="B108" s="307"/>
      <c r="C108" s="307"/>
      <c r="D108" s="307"/>
      <c r="E108" s="307"/>
      <c r="F108" s="307"/>
      <c r="G108" s="307"/>
      <c r="H108" s="307"/>
      <c r="I108" s="307"/>
      <c r="J108" s="307"/>
      <c r="K108" s="307"/>
      <c r="L108" s="307"/>
      <c r="M108" s="307"/>
      <c r="N108" s="307"/>
      <c r="O108" s="307"/>
      <c r="P108" s="307"/>
      <c r="Q108" s="307"/>
      <c r="R108" s="307"/>
      <c r="S108" s="307"/>
      <c r="T108" s="307"/>
      <c r="U108" s="307"/>
      <c r="V108" s="307"/>
      <c r="W108" s="307"/>
      <c r="X108" s="307"/>
      <c r="Y108" s="307"/>
      <c r="Z108" s="307"/>
      <c r="AA108" s="307"/>
      <c r="AB108" s="307"/>
    </row>
    <row r="143" spans="1:32" s="308" customFormat="1" ht="18.600000000000001">
      <c r="A143" s="346" t="s">
        <v>5</v>
      </c>
      <c r="B143" s="306"/>
      <c r="C143" s="306"/>
      <c r="D143" s="306"/>
      <c r="E143" s="306"/>
      <c r="F143" s="306"/>
      <c r="G143" s="306"/>
      <c r="H143" s="306"/>
      <c r="I143" s="306"/>
      <c r="J143" s="306"/>
      <c r="K143" s="306"/>
      <c r="L143" s="306"/>
      <c r="M143" s="306"/>
      <c r="N143" s="306"/>
      <c r="O143" s="306"/>
      <c r="P143" s="306"/>
      <c r="Q143" s="306"/>
      <c r="R143" s="306"/>
      <c r="S143" s="306"/>
      <c r="T143" s="306"/>
      <c r="U143" s="306"/>
      <c r="V143" s="306"/>
      <c r="W143" s="306"/>
      <c r="X143" s="306"/>
      <c r="Y143" s="306"/>
      <c r="Z143" s="306"/>
      <c r="AA143" s="306"/>
      <c r="AB143" s="306"/>
      <c r="AC143" s="306"/>
      <c r="AD143" s="306"/>
      <c r="AE143" s="306"/>
      <c r="AF143" s="306"/>
    </row>
    <row r="144" spans="1:32" s="308" customFormat="1" ht="18.600000000000001">
      <c r="A144" s="346" t="str">
        <f>A108</f>
        <v>Source: Moody's Analytics</v>
      </c>
      <c r="B144" s="306"/>
      <c r="C144" s="306"/>
      <c r="D144" s="306"/>
      <c r="E144" s="306"/>
      <c r="F144" s="306"/>
      <c r="G144" s="306"/>
      <c r="H144" s="306"/>
      <c r="I144" s="306"/>
      <c r="J144" s="306"/>
      <c r="K144" s="306"/>
      <c r="L144" s="306"/>
      <c r="M144" s="306"/>
      <c r="N144" s="306"/>
      <c r="O144" s="306"/>
      <c r="P144" s="306"/>
      <c r="Q144" s="306"/>
      <c r="R144" s="306"/>
      <c r="S144" s="306"/>
      <c r="T144" s="306"/>
      <c r="U144" s="306"/>
      <c r="V144" s="306"/>
      <c r="W144" s="306"/>
      <c r="X144" s="306"/>
      <c r="Y144" s="306"/>
      <c r="Z144" s="306"/>
      <c r="AA144" s="306"/>
      <c r="AB144" s="306"/>
      <c r="AC144" s="306"/>
      <c r="AD144" s="306"/>
      <c r="AE144" s="306"/>
      <c r="AF144" s="306"/>
    </row>
    <row r="183" spans="1:32" s="345" customFormat="1" ht="18.600000000000001">
      <c r="A183" s="346" t="s">
        <v>6</v>
      </c>
      <c r="B183" s="346"/>
      <c r="C183" s="346"/>
      <c r="D183" s="346"/>
      <c r="E183" s="346"/>
      <c r="F183" s="346"/>
      <c r="G183" s="346"/>
      <c r="H183" s="346"/>
      <c r="I183" s="346"/>
      <c r="J183" s="346"/>
      <c r="K183" s="346"/>
      <c r="L183" s="346"/>
      <c r="M183" s="346"/>
      <c r="N183" s="346"/>
      <c r="O183" s="346"/>
      <c r="P183" s="346"/>
      <c r="Q183" s="346"/>
      <c r="R183" s="346"/>
      <c r="S183" s="346"/>
      <c r="T183" s="346"/>
      <c r="U183" s="346"/>
      <c r="V183" s="346"/>
      <c r="W183" s="346"/>
      <c r="X183" s="346"/>
      <c r="Y183" s="346"/>
      <c r="Z183" s="346"/>
      <c r="AA183" s="346"/>
      <c r="AB183" s="346"/>
      <c r="AC183" s="346"/>
      <c r="AD183" s="346"/>
      <c r="AE183" s="346"/>
      <c r="AF183" s="346"/>
    </row>
    <row r="184" spans="1:32" s="345" customFormat="1" ht="18.600000000000001">
      <c r="A184" s="346" t="str">
        <f>A144</f>
        <v>Source: Moody's Analytics</v>
      </c>
      <c r="B184" s="346"/>
      <c r="C184" s="346"/>
      <c r="D184" s="346"/>
      <c r="E184" s="346"/>
      <c r="F184" s="346"/>
      <c r="G184" s="346"/>
      <c r="H184" s="346"/>
      <c r="I184" s="346"/>
      <c r="J184" s="346"/>
      <c r="K184" s="346"/>
      <c r="L184" s="346"/>
      <c r="M184" s="346"/>
      <c r="N184" s="346"/>
      <c r="O184" s="346"/>
      <c r="P184" s="346"/>
      <c r="Q184" s="346"/>
      <c r="R184" s="346"/>
      <c r="S184" s="346"/>
      <c r="T184" s="346"/>
      <c r="U184" s="346"/>
      <c r="V184" s="346"/>
      <c r="W184" s="346"/>
      <c r="X184" s="346"/>
      <c r="Y184" s="346"/>
      <c r="Z184" s="346"/>
      <c r="AA184" s="346"/>
      <c r="AB184" s="346"/>
      <c r="AC184" s="346"/>
      <c r="AD184" s="346"/>
      <c r="AE184" s="346"/>
      <c r="AF184" s="346"/>
    </row>
    <row r="219" spans="1:18" s="345" customFormat="1">
      <c r="A219" s="306" t="s">
        <v>7</v>
      </c>
      <c r="B219" s="306"/>
      <c r="C219" s="306"/>
      <c r="D219" s="306"/>
      <c r="E219" s="306"/>
      <c r="F219" s="306"/>
      <c r="G219" s="306"/>
      <c r="H219" s="306"/>
      <c r="I219" s="306"/>
      <c r="J219" s="306"/>
      <c r="K219" s="306"/>
      <c r="L219" s="306"/>
      <c r="M219" s="306"/>
      <c r="N219" s="306"/>
      <c r="O219" s="306"/>
      <c r="P219" s="306"/>
      <c r="Q219" s="306"/>
      <c r="R219" s="306"/>
    </row>
    <row r="220" spans="1:18" s="345" customFormat="1">
      <c r="A220" s="306" t="s">
        <v>8</v>
      </c>
      <c r="B220" s="306"/>
      <c r="C220" s="306"/>
      <c r="D220" s="306"/>
      <c r="E220" s="306"/>
      <c r="F220" s="306"/>
      <c r="G220" s="306"/>
      <c r="H220" s="306"/>
      <c r="I220" s="306"/>
      <c r="J220" s="306"/>
      <c r="K220" s="306"/>
      <c r="L220" s="306"/>
      <c r="M220" s="306"/>
      <c r="N220" s="306"/>
      <c r="O220" s="306"/>
      <c r="P220" s="306"/>
      <c r="Q220" s="306"/>
      <c r="R220" s="306"/>
    </row>
    <row r="221" spans="1:18" ht="15" thickBot="1">
      <c r="L221" s="362"/>
    </row>
    <row r="222" spans="1:18">
      <c r="A222" s="363"/>
      <c r="B222" s="364"/>
      <c r="C222" s="365" t="s">
        <v>9</v>
      </c>
      <c r="D222" s="364">
        <v>2022</v>
      </c>
      <c r="E222" s="366"/>
      <c r="F222" s="366"/>
      <c r="G222" s="364"/>
      <c r="H222" s="364"/>
      <c r="I222" s="364"/>
      <c r="J222" s="364"/>
      <c r="K222" s="367"/>
      <c r="L222" s="362"/>
    </row>
    <row r="223" spans="1:18">
      <c r="A223" s="368"/>
      <c r="B223" s="362"/>
      <c r="C223" s="369" t="s">
        <v>10</v>
      </c>
      <c r="D223" s="370">
        <v>5.5E-2</v>
      </c>
      <c r="G223" s="362"/>
      <c r="H223" s="362"/>
      <c r="I223" s="362"/>
      <c r="J223" s="362"/>
      <c r="K223" s="371"/>
      <c r="L223" s="362"/>
    </row>
    <row r="224" spans="1:18">
      <c r="A224" s="368"/>
      <c r="B224" s="362"/>
      <c r="C224" s="362"/>
      <c r="D224" s="362"/>
      <c r="E224" s="362"/>
      <c r="F224" s="362"/>
      <c r="G224" s="362"/>
      <c r="H224" s="362"/>
      <c r="I224" s="362"/>
      <c r="J224" s="362"/>
      <c r="K224" s="371"/>
      <c r="L224" s="362"/>
    </row>
    <row r="225" spans="1:12">
      <c r="A225" s="368"/>
      <c r="B225" s="362"/>
      <c r="C225" s="362"/>
      <c r="D225" s="362"/>
      <c r="E225" s="362"/>
      <c r="F225" s="362"/>
      <c r="G225" s="362"/>
      <c r="H225" s="362"/>
      <c r="I225" s="362"/>
      <c r="J225" s="362"/>
      <c r="K225" s="371"/>
      <c r="L225" s="362"/>
    </row>
    <row r="226" spans="1:12">
      <c r="A226" s="372" t="s">
        <v>11</v>
      </c>
      <c r="B226" s="369" t="s">
        <v>9</v>
      </c>
      <c r="C226" s="369" t="s">
        <v>12</v>
      </c>
      <c r="D226" s="369" t="s">
        <v>13</v>
      </c>
      <c r="E226" s="369" t="s">
        <v>14</v>
      </c>
      <c r="F226" s="369" t="s">
        <v>15</v>
      </c>
      <c r="G226" s="369" t="s">
        <v>16</v>
      </c>
      <c r="H226" s="369" t="s">
        <v>17</v>
      </c>
      <c r="I226" s="369" t="s">
        <v>18</v>
      </c>
      <c r="J226" s="369" t="str">
        <f>G226</f>
        <v>$/sf</v>
      </c>
      <c r="K226" s="373" t="str">
        <f>H226</f>
        <v>$/acre</v>
      </c>
      <c r="L226" s="362"/>
    </row>
    <row r="227" spans="1:12">
      <c r="A227" s="374" t="s">
        <v>19</v>
      </c>
      <c r="B227" s="362">
        <v>2021</v>
      </c>
      <c r="C227" s="375">
        <v>1690000</v>
      </c>
      <c r="D227" s="375">
        <f>C227*(1+$D$223)^($D$222-B227)</f>
        <v>1782950</v>
      </c>
      <c r="E227" s="362">
        <v>9.0299999999999994</v>
      </c>
      <c r="F227" s="362">
        <f>E227*43560</f>
        <v>393346.8</v>
      </c>
      <c r="G227" s="376">
        <f>C227/F227</f>
        <v>4.2964630702474258</v>
      </c>
      <c r="H227" s="376">
        <f>C227/E227</f>
        <v>187153.93133997786</v>
      </c>
      <c r="I227" s="362"/>
      <c r="J227" s="377">
        <f>D227/F227</f>
        <v>4.5327685391110339</v>
      </c>
      <c r="K227" s="378">
        <f>D227/E227</f>
        <v>197447.39756367664</v>
      </c>
      <c r="L227" s="362"/>
    </row>
    <row r="228" spans="1:12">
      <c r="A228" s="379" t="s">
        <v>20</v>
      </c>
      <c r="B228" s="362">
        <v>2013</v>
      </c>
      <c r="C228" s="375">
        <v>5876670</v>
      </c>
      <c r="D228" s="375">
        <f>C228*(1+$D$223)^($D$222-B228)</f>
        <v>9514882.7431969754</v>
      </c>
      <c r="E228" s="362">
        <v>14.8</v>
      </c>
      <c r="F228" s="362">
        <f>E228*43560</f>
        <v>644688</v>
      </c>
      <c r="G228" s="376">
        <f>C228/F228</f>
        <v>9.1155256496165595</v>
      </c>
      <c r="H228" s="376">
        <f>C228/E228</f>
        <v>397072.29729729728</v>
      </c>
      <c r="I228" s="362"/>
      <c r="J228" s="377">
        <f>D228/F228</f>
        <v>14.758895377604322</v>
      </c>
      <c r="K228" s="378">
        <f>D228/E228</f>
        <v>642897.48264844425</v>
      </c>
      <c r="L228" s="362"/>
    </row>
    <row r="229" spans="1:12">
      <c r="A229" s="379"/>
      <c r="B229" s="362"/>
      <c r="C229" s="375"/>
      <c r="D229" s="375"/>
      <c r="E229" s="362"/>
      <c r="F229" s="362"/>
      <c r="G229" s="376"/>
      <c r="H229" s="376"/>
      <c r="I229" s="362"/>
      <c r="J229" s="377"/>
      <c r="K229" s="378"/>
      <c r="L229" s="362"/>
    </row>
    <row r="230" spans="1:12">
      <c r="A230" s="374" t="s">
        <v>21</v>
      </c>
      <c r="B230" s="362">
        <v>2010</v>
      </c>
      <c r="C230" s="375">
        <v>7825000</v>
      </c>
      <c r="D230" s="375">
        <f>C230*(1+$D$223)^($D$222-B230)</f>
        <v>14876948.576064235</v>
      </c>
      <c r="E230" s="362">
        <v>20.72</v>
      </c>
      <c r="F230" s="362">
        <f>E230*43560</f>
        <v>902563.2</v>
      </c>
      <c r="G230" s="376">
        <f>C230/F230</f>
        <v>8.6697529879348068</v>
      </c>
      <c r="H230" s="376">
        <f>C230/E230</f>
        <v>377654.44015444018</v>
      </c>
      <c r="I230" s="362"/>
      <c r="J230" s="377">
        <f>D230/F230</f>
        <v>16.482999280343176</v>
      </c>
      <c r="K230" s="378">
        <f>D230/E230</f>
        <v>717999.44865174883</v>
      </c>
      <c r="L230" s="362"/>
    </row>
    <row r="231" spans="1:12">
      <c r="A231" s="374" t="s">
        <v>22</v>
      </c>
      <c r="B231" s="362">
        <v>2013</v>
      </c>
      <c r="C231" s="375">
        <v>313000</v>
      </c>
      <c r="D231" s="375">
        <f>C231*(1+$D$223)^($D$222-B231)</f>
        <v>506776.50754945463</v>
      </c>
      <c r="E231" s="362">
        <v>1.07</v>
      </c>
      <c r="F231" s="362">
        <f>E231*43560</f>
        <v>46609.200000000004</v>
      </c>
      <c r="G231" s="376">
        <f>C231/F231</f>
        <v>6.7154124078508097</v>
      </c>
      <c r="H231" s="376">
        <f>C231/E231</f>
        <v>292523.36448598129</v>
      </c>
      <c r="I231" s="362"/>
      <c r="J231" s="377">
        <f>D231/F231</f>
        <v>10.87288577253964</v>
      </c>
      <c r="K231" s="378">
        <f>D231/E231</f>
        <v>473622.90425182675</v>
      </c>
      <c r="L231" s="362"/>
    </row>
    <row r="232" spans="1:12">
      <c r="A232" s="368" t="s">
        <v>23</v>
      </c>
      <c r="B232" s="362">
        <v>2018</v>
      </c>
      <c r="C232" s="375">
        <v>1200000</v>
      </c>
      <c r="D232" s="375">
        <f>C232*(1+$D$223)^($D$222-B232)</f>
        <v>1486589.5807499997</v>
      </c>
      <c r="E232" s="362">
        <v>4.4400000000000004</v>
      </c>
      <c r="F232" s="362">
        <f>E232*43560</f>
        <v>193406.40000000002</v>
      </c>
      <c r="G232" s="376">
        <f>C232/F232</f>
        <v>6.2045516590971133</v>
      </c>
      <c r="H232" s="376">
        <f>C232/E232</f>
        <v>270270.27027027024</v>
      </c>
      <c r="I232" s="362"/>
      <c r="J232" s="377">
        <f>D232/F232</f>
        <v>7.6863515413657435</v>
      </c>
      <c r="K232" s="378">
        <f>D232/E232</f>
        <v>334817.47314189182</v>
      </c>
      <c r="L232" s="362"/>
    </row>
    <row r="233" spans="1:12">
      <c r="A233" s="368" t="s">
        <v>24</v>
      </c>
      <c r="B233" s="362">
        <v>2022</v>
      </c>
      <c r="C233" s="376">
        <v>1350000</v>
      </c>
      <c r="D233" s="375">
        <f>C233*(1+$D$223)^($D$222-B233)</f>
        <v>1350000</v>
      </c>
      <c r="E233" s="375">
        <v>3.59</v>
      </c>
      <c r="F233" s="380">
        <f>E233*43560</f>
        <v>156380.4</v>
      </c>
      <c r="G233" s="376">
        <f>C233/F233</f>
        <v>8.6327954142590766</v>
      </c>
      <c r="H233" s="376">
        <f>C233/E233</f>
        <v>376044.56824512535</v>
      </c>
      <c r="I233" s="362"/>
      <c r="J233" s="377">
        <f>D233/F233</f>
        <v>8.6327954142590766</v>
      </c>
      <c r="K233" s="378">
        <f>D233/E233</f>
        <v>376044.56824512535</v>
      </c>
      <c r="L233" s="362"/>
    </row>
    <row r="234" spans="1:12">
      <c r="A234" s="368"/>
      <c r="B234" s="362"/>
      <c r="C234" s="362"/>
      <c r="D234" s="362"/>
      <c r="E234" s="362"/>
      <c r="F234" s="362"/>
      <c r="G234" s="362"/>
      <c r="H234" s="362"/>
      <c r="I234" s="362"/>
      <c r="J234" s="362"/>
      <c r="K234" s="371"/>
      <c r="L234" s="362"/>
    </row>
    <row r="235" spans="1:12" ht="15" thickBot="1">
      <c r="A235" s="381"/>
      <c r="B235" s="382"/>
      <c r="C235" s="382"/>
      <c r="D235" s="382"/>
      <c r="E235" s="382"/>
      <c r="F235" s="382"/>
      <c r="G235" s="382"/>
      <c r="H235" s="382"/>
      <c r="I235" s="382" t="s">
        <v>25</v>
      </c>
      <c r="J235" s="383">
        <f>AVERAGE(J227:J233)</f>
        <v>10.494449320870499</v>
      </c>
      <c r="K235" s="384">
        <f>AVERAGE(K227:K233)</f>
        <v>457138.21241711895</v>
      </c>
    </row>
  </sheetData>
  <pageMargins left="0.7" right="0.7" top="0.75" bottom="0.75" header="0.3" footer="0.3"/>
  <pageSetup scale="38" fitToHeight="0" orientation="landscape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1D294-7B10-40C8-B79C-51837EAB7369}">
  <sheetPr>
    <tabColor theme="6" tint="-0.249977111117893"/>
    <pageSetUpPr fitToPage="1"/>
  </sheetPr>
  <dimension ref="A1:G98"/>
  <sheetViews>
    <sheetView showOutlineSymbols="0" showWhiteSpace="0" zoomScale="70" zoomScaleNormal="70" workbookViewId="0">
      <selection activeCell="D34" sqref="D34"/>
    </sheetView>
  </sheetViews>
  <sheetFormatPr defaultColWidth="8.85546875" defaultRowHeight="52.35" customHeight="1"/>
  <cols>
    <col min="1" max="1" width="36.5703125" style="6" bestFit="1" customWidth="1"/>
    <col min="2" max="2" width="23.7109375" style="6" bestFit="1" customWidth="1"/>
    <col min="3" max="3" width="22.42578125" style="6" bestFit="1" customWidth="1"/>
    <col min="4" max="4" width="11.85546875" style="6" bestFit="1" customWidth="1"/>
    <col min="5" max="5" width="18.140625" style="6" bestFit="1" customWidth="1"/>
    <col min="6" max="6" width="31.5703125" style="6" customWidth="1"/>
    <col min="7" max="7" width="12" style="6" bestFit="1" customWidth="1"/>
    <col min="8" max="8" width="24.5703125" style="6" customWidth="1"/>
    <col min="9" max="9" width="32.42578125" style="6" customWidth="1"/>
    <col min="10" max="10" width="20.140625" style="6" customWidth="1"/>
    <col min="11" max="16384" width="8.85546875" style="6"/>
  </cols>
  <sheetData>
    <row r="1" spans="1:5" ht="13.5" thickBot="1">
      <c r="A1" s="2"/>
      <c r="B1" s="3"/>
      <c r="C1" s="4"/>
      <c r="D1" s="5"/>
    </row>
    <row r="2" spans="1:5" ht="15.95" thickBot="1">
      <c r="A2" s="428" t="s">
        <v>265</v>
      </c>
      <c r="B2" s="429"/>
      <c r="C2" s="429"/>
      <c r="D2" s="427" t="str">
        <f>'Development Program'!A7</f>
        <v>Retail/Office</v>
      </c>
      <c r="E2" s="427"/>
    </row>
    <row r="3" spans="1:5" ht="12.95">
      <c r="A3" s="7"/>
      <c r="B3" s="8"/>
      <c r="C3" s="8"/>
      <c r="D3" s="628">
        <v>0</v>
      </c>
      <c r="E3" s="629" t="s">
        <v>266</v>
      </c>
    </row>
    <row r="4" spans="1:5" ht="12.95">
      <c r="A4" s="9" t="s">
        <v>363</v>
      </c>
      <c r="B4" s="10" t="s">
        <v>268</v>
      </c>
      <c r="C4" s="10" t="s">
        <v>398</v>
      </c>
      <c r="D4" s="10" t="s">
        <v>365</v>
      </c>
      <c r="E4" s="11" t="s">
        <v>278</v>
      </c>
    </row>
    <row r="5" spans="1:5" ht="13.5" thickBot="1">
      <c r="A5" s="630"/>
      <c r="B5" s="631">
        <v>0</v>
      </c>
      <c r="C5" s="882">
        <v>0</v>
      </c>
      <c r="D5" s="883">
        <v>0</v>
      </c>
      <c r="E5" s="633">
        <f>12*B5*C5*D5</f>
        <v>0</v>
      </c>
    </row>
    <row r="6" spans="1:5" ht="12.95" hidden="1">
      <c r="A6" s="630"/>
      <c r="B6" s="631">
        <v>0</v>
      </c>
      <c r="C6" s="882">
        <v>0</v>
      </c>
      <c r="D6" s="883" t="e">
        <f>(Assumptions!C66/'CD Financial'!C6)*(1+D$3)</f>
        <v>#DIV/0!</v>
      </c>
      <c r="E6" s="633" t="e">
        <f>12*B6*C6*D6</f>
        <v>#DIV/0!</v>
      </c>
    </row>
    <row r="7" spans="1:5" ht="12.95" hidden="1">
      <c r="A7" s="232"/>
      <c r="B7" s="635">
        <v>0</v>
      </c>
      <c r="C7" s="882">
        <v>0</v>
      </c>
      <c r="D7" s="883" t="e">
        <f>(Assumptions!D66/'CD Financial'!C7)*(1+D$3)</f>
        <v>#DIV/0!</v>
      </c>
      <c r="E7" s="633" t="e">
        <f t="shared" ref="E7" si="0">12*B7*C7*D7</f>
        <v>#DIV/0!</v>
      </c>
    </row>
    <row r="8" spans="1:5" ht="12.95" hidden="1">
      <c r="A8" s="232"/>
      <c r="B8" s="631">
        <v>0</v>
      </c>
      <c r="C8" s="882">
        <v>0</v>
      </c>
      <c r="D8" s="883" t="e">
        <f>(Assumptions!E66/'CD Financial'!C8)*(1+D$3)</f>
        <v>#DIV/0!</v>
      </c>
      <c r="E8" s="633" t="e">
        <f>12*B8*C8*D8</f>
        <v>#DIV/0!</v>
      </c>
    </row>
    <row r="9" spans="1:5" ht="12.95" hidden="1">
      <c r="A9" s="232"/>
      <c r="B9" s="634"/>
      <c r="C9" s="882"/>
      <c r="D9" s="637"/>
      <c r="E9" s="633"/>
    </row>
    <row r="10" spans="1:5" ht="12.95" hidden="1" thickBot="1">
      <c r="A10" s="232"/>
      <c r="B10" s="634"/>
      <c r="C10" s="634"/>
      <c r="D10" s="637"/>
      <c r="E10" s="638"/>
    </row>
    <row r="11" spans="1:5" ht="14.1" thickTop="1" thickBot="1">
      <c r="A11" s="12" t="s">
        <v>273</v>
      </c>
      <c r="B11" s="13">
        <f>SUM(B5:B10)</f>
        <v>0</v>
      </c>
      <c r="C11" s="14">
        <f>B5*C5+B6*C6+B7*C7+B8*C8+B9*C9+B10*C10</f>
        <v>0</v>
      </c>
      <c r="D11" s="15"/>
      <c r="E11" s="639">
        <v>0</v>
      </c>
    </row>
    <row r="12" spans="1:5" ht="14.1" thickTop="1" thickBot="1">
      <c r="A12" s="16" t="s">
        <v>274</v>
      </c>
      <c r="B12" s="17"/>
      <c r="C12" s="18">
        <v>0</v>
      </c>
      <c r="D12" s="19">
        <v>0</v>
      </c>
      <c r="E12" s="20"/>
    </row>
    <row r="13" spans="1:5" ht="12.95">
      <c r="A13" s="21"/>
      <c r="B13" s="22"/>
      <c r="C13" s="23"/>
      <c r="D13" s="24"/>
    </row>
    <row r="14" spans="1:5" ht="12.95">
      <c r="A14" s="9" t="s">
        <v>275</v>
      </c>
      <c r="B14" s="10" t="s">
        <v>276</v>
      </c>
      <c r="C14" s="10" t="s">
        <v>277</v>
      </c>
      <c r="D14" s="10" t="s">
        <v>278</v>
      </c>
    </row>
    <row r="15" spans="1:5" ht="12.95">
      <c r="A15" s="640" t="s">
        <v>399</v>
      </c>
      <c r="B15" s="641">
        <f>8361.37+6568.33+6548.48+5567.49</f>
        <v>27045.67</v>
      </c>
      <c r="C15" s="884">
        <f>Assumptions!F11</f>
        <v>30</v>
      </c>
      <c r="D15" s="643">
        <f>B15*C15</f>
        <v>811370.1</v>
      </c>
    </row>
    <row r="16" spans="1:5" ht="13.5" thickBot="1">
      <c r="A16" s="644" t="s">
        <v>29</v>
      </c>
      <c r="B16" s="645">
        <f>8361.37*4+6568.33*2+6548.48*2+5567.49*4</f>
        <v>81949.06</v>
      </c>
      <c r="C16" s="885">
        <f>Assumptions!F6</f>
        <v>38</v>
      </c>
      <c r="D16" s="647">
        <f>B16*C16</f>
        <v>3114064.28</v>
      </c>
    </row>
    <row r="17" spans="1:5" ht="13.5" thickTop="1" thickBot="1">
      <c r="A17" s="25" t="s">
        <v>279</v>
      </c>
      <c r="B17" s="648">
        <f>SUM(B15:B16)</f>
        <v>108994.73</v>
      </c>
      <c r="C17" s="26">
        <f>IF(B17=0,0,D17/B17)</f>
        <v>36.014900720429324</v>
      </c>
      <c r="D17" s="27">
        <f>SUM(D15:D16)</f>
        <v>3925434.38</v>
      </c>
      <c r="E17" s="28"/>
    </row>
    <row r="18" spans="1:5" ht="12.95">
      <c r="A18" s="652" t="s">
        <v>280</v>
      </c>
      <c r="B18" s="650"/>
    </row>
    <row r="19" spans="1:5" ht="12.95">
      <c r="A19" s="514" t="s">
        <v>372</v>
      </c>
      <c r="B19" s="886">
        <v>0</v>
      </c>
      <c r="C19" s="29"/>
      <c r="D19" s="30"/>
    </row>
    <row r="20" spans="1:5" ht="13.5" thickBot="1">
      <c r="A20" s="515" t="s">
        <v>373</v>
      </c>
      <c r="B20" s="886">
        <f>B17/Assumptions!C28</f>
        <v>363.31576666666666</v>
      </c>
      <c r="C20" s="29" t="s">
        <v>400</v>
      </c>
      <c r="D20" s="30"/>
    </row>
    <row r="21" spans="1:5" ht="13.5" thickTop="1" thickBot="1">
      <c r="A21" s="31" t="s">
        <v>284</v>
      </c>
      <c r="B21" s="32">
        <f>SUM(B19:B20)</f>
        <v>363.31576666666666</v>
      </c>
      <c r="C21" s="29"/>
      <c r="D21" s="30"/>
    </row>
    <row r="22" spans="1:5" ht="12.95">
      <c r="A22" s="652" t="s">
        <v>285</v>
      </c>
      <c r="B22" s="653" t="str">
        <f>D2</f>
        <v>Retail/Office</v>
      </c>
      <c r="C22" s="33"/>
      <c r="D22" s="33"/>
      <c r="E22" s="33"/>
    </row>
    <row r="23" spans="1:5" ht="12.95">
      <c r="A23" s="654" t="s">
        <v>286</v>
      </c>
      <c r="B23" s="655">
        <f>'Development Program'!C7</f>
        <v>62499.380000000005</v>
      </c>
      <c r="C23" s="34"/>
      <c r="D23" s="35"/>
      <c r="E23" s="33"/>
    </row>
    <row r="24" spans="1:5" ht="12.95">
      <c r="A24" s="654" t="s">
        <v>374</v>
      </c>
      <c r="B24" s="655">
        <f>C11+B17</f>
        <v>108994.73</v>
      </c>
      <c r="C24" s="34"/>
      <c r="D24" s="35"/>
      <c r="E24" s="33"/>
    </row>
    <row r="25" spans="1:5" ht="12.95">
      <c r="A25" s="656">
        <v>171</v>
      </c>
      <c r="B25" s="655">
        <f>B21*A25</f>
        <v>62126.996099999997</v>
      </c>
      <c r="C25" s="34"/>
      <c r="D25" s="35"/>
      <c r="E25" s="33"/>
    </row>
    <row r="26" spans="1:5" ht="12.95">
      <c r="A26" s="810">
        <v>0.15</v>
      </c>
      <c r="B26" s="655">
        <f>(1+A26)*(B24+B25)</f>
        <v>196789.98501499998</v>
      </c>
      <c r="C26" s="34"/>
      <c r="D26" s="35"/>
      <c r="E26" s="33"/>
    </row>
    <row r="27" spans="1:5" ht="13.5" thickBot="1">
      <c r="A27" s="811">
        <f>3</f>
        <v>3</v>
      </c>
      <c r="B27" s="659">
        <f>B26/A27</f>
        <v>65596.661671666661</v>
      </c>
      <c r="C27" s="34"/>
      <c r="D27" s="35"/>
      <c r="E27" s="33"/>
    </row>
    <row r="28" spans="1:5" ht="33.75" customHeight="1" thickBot="1">
      <c r="A28" s="436" t="s">
        <v>289</v>
      </c>
      <c r="B28" s="437"/>
      <c r="C28" s="456" t="str">
        <f>D2</f>
        <v>Retail/Office</v>
      </c>
      <c r="D28" s="452"/>
      <c r="E28" s="33"/>
    </row>
    <row r="29" spans="1:5" ht="13.5" thickBot="1">
      <c r="A29" s="662" t="s">
        <v>290</v>
      </c>
      <c r="B29" s="663" t="s">
        <v>291</v>
      </c>
      <c r="C29" s="663" t="s">
        <v>401</v>
      </c>
      <c r="D29" s="664" t="s">
        <v>293</v>
      </c>
      <c r="E29" s="33"/>
    </row>
    <row r="30" spans="1:5" ht="12.6">
      <c r="A30" s="665" t="s">
        <v>375</v>
      </c>
      <c r="B30" s="666">
        <v>0</v>
      </c>
      <c r="C30" s="667">
        <v>0</v>
      </c>
      <c r="D30" s="36">
        <f>E11</f>
        <v>0</v>
      </c>
      <c r="E30" s="33"/>
    </row>
    <row r="31" spans="1:5" ht="12.6">
      <c r="A31" s="812">
        <f>B17</f>
        <v>108994.73</v>
      </c>
      <c r="B31" s="669" t="s">
        <v>376</v>
      </c>
      <c r="C31" s="435"/>
      <c r="D31" s="670">
        <f>D17</f>
        <v>3925434.38</v>
      </c>
      <c r="E31" s="33"/>
    </row>
    <row r="32" spans="1:5" ht="12.95">
      <c r="A32" s="671"/>
      <c r="B32" s="813" t="s">
        <v>377</v>
      </c>
      <c r="C32" s="813"/>
      <c r="D32" s="673">
        <f>SUM(D30:D31)</f>
        <v>3925434.38</v>
      </c>
      <c r="E32" s="33"/>
    </row>
    <row r="33" spans="1:5" ht="12.95">
      <c r="A33" s="814" t="s">
        <v>378</v>
      </c>
      <c r="B33" s="673" t="s">
        <v>379</v>
      </c>
      <c r="C33" s="673" t="s">
        <v>380</v>
      </c>
      <c r="D33" s="673"/>
      <c r="E33" s="33"/>
    </row>
    <row r="34" spans="1:5" ht="12.6">
      <c r="A34" s="671" t="s">
        <v>402</v>
      </c>
      <c r="B34" s="677">
        <f>Assumptions!C38</f>
        <v>18</v>
      </c>
      <c r="C34" s="815"/>
      <c r="D34" s="677">
        <f>B34*B21*365*(1-Assumptions!I11)</f>
        <v>1909587.6695999999</v>
      </c>
      <c r="E34" s="33"/>
    </row>
    <row r="35" spans="1:5" ht="12.6">
      <c r="A35" s="671" t="s">
        <v>382</v>
      </c>
      <c r="B35" s="677"/>
      <c r="C35" s="815"/>
      <c r="D35" s="677">
        <f>Assumptions!F15*D32</f>
        <v>137390.20330000002</v>
      </c>
      <c r="E35" s="33"/>
    </row>
    <row r="36" spans="1:5" ht="13.5" thickBot="1">
      <c r="A36" s="37" t="s">
        <v>383</v>
      </c>
      <c r="B36" s="444"/>
      <c r="C36" s="816"/>
      <c r="D36" s="38">
        <f>SUM(D34:D35)</f>
        <v>2046977.8728999998</v>
      </c>
      <c r="E36" s="33"/>
    </row>
    <row r="37" spans="1:5" ht="13.5" thickTop="1" thickBot="1">
      <c r="A37" s="39">
        <f>Assumptions!I9*(B16/B17)+(B15/B17)*Assumptions!I10</f>
        <v>0.12255587770161</v>
      </c>
      <c r="B37" s="445"/>
      <c r="C37" s="446"/>
      <c r="D37" s="40">
        <f>-A37*D32</f>
        <v>-481085.05580097524</v>
      </c>
      <c r="E37" s="33"/>
    </row>
    <row r="38" spans="1:5" ht="14.1" thickTop="1" thickBot="1">
      <c r="A38" s="817" t="s">
        <v>384</v>
      </c>
      <c r="B38" s="41">
        <v>0</v>
      </c>
      <c r="C38" s="818">
        <f>D38/B17</f>
        <v>50.381584477515787</v>
      </c>
      <c r="D38" s="42">
        <f>D32+D36+D37</f>
        <v>5491327.1970990244</v>
      </c>
      <c r="E38" s="33"/>
    </row>
    <row r="39" spans="1:5" ht="12.95">
      <c r="A39" s="9" t="s">
        <v>385</v>
      </c>
      <c r="B39" s="10" t="s">
        <v>291</v>
      </c>
      <c r="C39" s="10" t="s">
        <v>386</v>
      </c>
      <c r="D39" s="43" t="s">
        <v>293</v>
      </c>
      <c r="E39" s="33"/>
    </row>
    <row r="40" spans="1:5" ht="13.5" thickBot="1">
      <c r="A40" s="44" t="s">
        <v>387</v>
      </c>
      <c r="B40" s="45">
        <v>0</v>
      </c>
      <c r="C40" s="45">
        <f>D40/B17</f>
        <v>-10.804470216128799</v>
      </c>
      <c r="D40" s="45">
        <f>-0.3*D32</f>
        <v>-1177630.314</v>
      </c>
      <c r="E40" s="33"/>
    </row>
    <row r="41" spans="1:5" ht="13.5" thickBot="1">
      <c r="A41" s="819" t="s">
        <v>388</v>
      </c>
      <c r="B41" s="820">
        <f>D41/B17</f>
        <v>39.577114261386988</v>
      </c>
      <c r="C41" s="821"/>
      <c r="D41" s="820">
        <f>D38+D40</f>
        <v>4313696.8830990242</v>
      </c>
      <c r="E41" s="33"/>
    </row>
    <row r="42" spans="1:5" ht="13.5" thickBot="1">
      <c r="A42" s="822" t="s">
        <v>389</v>
      </c>
      <c r="B42" s="46" t="s">
        <v>390</v>
      </c>
      <c r="C42" s="47">
        <f>(Assumptions!H10*1/3)+(Assumptions!H9*2/3)</f>
        <v>6.9999999999999993E-2</v>
      </c>
      <c r="D42" s="823">
        <f>D41/C42</f>
        <v>61624241.187128924</v>
      </c>
      <c r="E42" s="33"/>
    </row>
    <row r="43" spans="1:5" ht="13.5" thickBot="1">
      <c r="A43" s="438" t="s">
        <v>403</v>
      </c>
      <c r="B43" s="439"/>
      <c r="C43" s="430" t="str">
        <f>D2</f>
        <v>Retail/Office</v>
      </c>
      <c r="D43" s="454"/>
    </row>
    <row r="44" spans="1:5" ht="13.5" thickBot="1">
      <c r="A44" s="652"/>
      <c r="B44" s="48" t="s">
        <v>297</v>
      </c>
      <c r="C44" s="48" t="s">
        <v>298</v>
      </c>
      <c r="D44" s="48" t="s">
        <v>386</v>
      </c>
    </row>
    <row r="45" spans="1:5" ht="12.6">
      <c r="A45" s="674" t="s">
        <v>299</v>
      </c>
      <c r="B45" s="675">
        <f>Assumptions!F24</f>
        <v>207</v>
      </c>
      <c r="C45" s="824">
        <f>B45*(C11+B17)</f>
        <v>22561909.109999999</v>
      </c>
      <c r="D45" s="677">
        <f>C45/$B$17</f>
        <v>207</v>
      </c>
    </row>
    <row r="46" spans="1:5" ht="12.6">
      <c r="A46" s="49" t="s">
        <v>391</v>
      </c>
      <c r="B46" s="887">
        <f>Assumptions!C32</f>
        <v>66</v>
      </c>
      <c r="C46" s="50">
        <f>B46*5*(6015.8+5928.85)</f>
        <v>3941734.5000000005</v>
      </c>
      <c r="D46" s="677">
        <f t="shared" ref="D46:D66" si="1">C46/$B$17</f>
        <v>36.164450336268558</v>
      </c>
    </row>
    <row r="47" spans="1:5" ht="12.95">
      <c r="A47" s="49" t="s">
        <v>300</v>
      </c>
      <c r="B47" s="825">
        <v>0.08</v>
      </c>
      <c r="C47" s="50">
        <f>B47*C45</f>
        <v>1804952.7287999999</v>
      </c>
      <c r="D47" s="677">
        <f t="shared" si="1"/>
        <v>16.559999999999999</v>
      </c>
    </row>
    <row r="48" spans="1:5" ht="12.95">
      <c r="A48" s="49" t="s">
        <v>191</v>
      </c>
      <c r="B48" s="826" t="s">
        <v>101</v>
      </c>
      <c r="C48" s="326">
        <f>Assumptions!F48/2</f>
        <v>348500</v>
      </c>
      <c r="D48" s="677">
        <f t="shared" si="1"/>
        <v>3.1974022964229558</v>
      </c>
    </row>
    <row r="49" spans="1:7" ht="12.6">
      <c r="A49" s="49" t="s">
        <v>301</v>
      </c>
      <c r="B49" s="827">
        <f>'A Financial'!B39</f>
        <v>10.5</v>
      </c>
      <c r="C49" s="50">
        <f>B49*'Development Program'!C7</f>
        <v>656243.49</v>
      </c>
      <c r="D49" s="677">
        <f t="shared" si="1"/>
        <v>6.0208735780161113</v>
      </c>
    </row>
    <row r="50" spans="1:7" ht="24.95">
      <c r="A50" s="49" t="s">
        <v>79</v>
      </c>
      <c r="B50" s="828" t="str">
        <f>'B Financial'!B51</f>
        <v>(Non Residential SF/3000 ) * $72</v>
      </c>
      <c r="C50" s="50">
        <f>(B17/3000)*72</f>
        <v>2615.8735199999996</v>
      </c>
      <c r="D50" s="677">
        <f t="shared" si="1"/>
        <v>2.3999999999999997E-2</v>
      </c>
    </row>
    <row r="51" spans="1:7" ht="12.95">
      <c r="A51" s="49" t="s">
        <v>302</v>
      </c>
      <c r="B51" s="829" t="s">
        <v>83</v>
      </c>
      <c r="C51" s="50">
        <f>1799.5+((C45-500000)/1000)*3</f>
        <v>67985.227329999994</v>
      </c>
      <c r="D51" s="677">
        <f t="shared" si="1"/>
        <v>0.62374783927626587</v>
      </c>
    </row>
    <row r="52" spans="1:7" ht="12.6">
      <c r="A52" s="49" t="s">
        <v>303</v>
      </c>
      <c r="B52" s="684" t="s">
        <v>304</v>
      </c>
      <c r="C52" s="50">
        <f>'Development Program'!E24</f>
        <v>433408.45</v>
      </c>
      <c r="D52" s="677">
        <f t="shared" si="1"/>
        <v>3.9764165661954483</v>
      </c>
    </row>
    <row r="53" spans="1:7" ht="12.6">
      <c r="A53" s="514" t="s">
        <v>88</v>
      </c>
      <c r="B53" s="830">
        <f>'B Financial'!B54</f>
        <v>7.4999999999999997E-3</v>
      </c>
      <c r="C53" s="686">
        <f>B53*C45</f>
        <v>169214.318325</v>
      </c>
      <c r="D53" s="677">
        <f t="shared" si="1"/>
        <v>1.5525</v>
      </c>
    </row>
    <row r="54" spans="1:7" ht="12.6">
      <c r="A54" s="514" t="s">
        <v>90</v>
      </c>
      <c r="B54" s="831">
        <f>'B Financial'!B55</f>
        <v>1.4999999999999999E-2</v>
      </c>
      <c r="C54" s="686">
        <f>C49*B54</f>
        <v>9843.6523500000003</v>
      </c>
      <c r="D54" s="677">
        <f t="shared" si="1"/>
        <v>9.0313103670241673E-2</v>
      </c>
      <c r="E54" s="51"/>
    </row>
    <row r="55" spans="1:7" ht="12.6">
      <c r="A55" s="514" t="s">
        <v>305</v>
      </c>
      <c r="B55" s="688">
        <v>0.04</v>
      </c>
      <c r="C55" s="686">
        <f>B55*(C45+C47)</f>
        <v>974674.47355199989</v>
      </c>
      <c r="D55" s="677">
        <f t="shared" si="1"/>
        <v>8.9423999999999992</v>
      </c>
    </row>
    <row r="56" spans="1:7" ht="12.6">
      <c r="A56" s="514" t="s">
        <v>94</v>
      </c>
      <c r="B56" s="689">
        <v>0.03</v>
      </c>
      <c r="C56" s="686">
        <f>B56*SUM(C45:C55)</f>
        <v>929132.45471630991</v>
      </c>
      <c r="D56" s="677">
        <f t="shared" si="1"/>
        <v>8.5245631115954872</v>
      </c>
    </row>
    <row r="57" spans="1:7" ht="12.6">
      <c r="A57" s="514" t="s">
        <v>306</v>
      </c>
      <c r="B57" s="688">
        <v>0.02</v>
      </c>
      <c r="C57" s="686">
        <f>B57*(C45+C47)</f>
        <v>487337.23677599995</v>
      </c>
      <c r="D57" s="677">
        <f t="shared" si="1"/>
        <v>4.4711999999999996</v>
      </c>
    </row>
    <row r="58" spans="1:7" ht="12.6">
      <c r="A58" s="514" t="s">
        <v>307</v>
      </c>
      <c r="B58" s="832">
        <f>'B Financial'!B59</f>
        <v>0.06</v>
      </c>
      <c r="C58" s="686">
        <f>B58*C49</f>
        <v>39374.609400000001</v>
      </c>
      <c r="D58" s="677">
        <f t="shared" si="1"/>
        <v>0.36125241468096669</v>
      </c>
    </row>
    <row r="59" spans="1:7" ht="12.6">
      <c r="A59" s="514" t="s">
        <v>100</v>
      </c>
      <c r="B59" s="684" t="s">
        <v>101</v>
      </c>
      <c r="C59" s="686">
        <f>'Insurance Calculations'!G34</f>
        <v>112786.69852118549</v>
      </c>
      <c r="D59" s="677">
        <f t="shared" si="1"/>
        <v>1.0347903840964192</v>
      </c>
    </row>
    <row r="60" spans="1:7" ht="12.95">
      <c r="A60" s="514" t="s">
        <v>308</v>
      </c>
      <c r="B60" s="833" t="s">
        <v>101</v>
      </c>
      <c r="C60" s="834">
        <v>750000</v>
      </c>
      <c r="D60" s="677">
        <f t="shared" si="1"/>
        <v>6.8810666350565759</v>
      </c>
    </row>
    <row r="61" spans="1:7" ht="12.6">
      <c r="A61" s="514" t="s">
        <v>105</v>
      </c>
      <c r="B61" s="835">
        <v>6</v>
      </c>
      <c r="C61" s="686">
        <f>-B61*(D40/12)</f>
        <v>588815.15700000001</v>
      </c>
      <c r="D61" s="677">
        <f t="shared" si="1"/>
        <v>5.4022351080643993</v>
      </c>
    </row>
    <row r="62" spans="1:7" ht="12.6">
      <c r="A62" s="514" t="s">
        <v>309</v>
      </c>
      <c r="B62" s="329">
        <f>Assumptions!F39</f>
        <v>45</v>
      </c>
      <c r="C62" s="686">
        <f>B62*B15</f>
        <v>1217055.1499999999</v>
      </c>
      <c r="D62" s="677">
        <f t="shared" si="1"/>
        <v>11.166183447585034</v>
      </c>
    </row>
    <row r="63" spans="1:7" ht="12.6">
      <c r="A63" s="514" t="s">
        <v>310</v>
      </c>
      <c r="B63" s="836">
        <f>Assumptions!F40</f>
        <v>0.06</v>
      </c>
      <c r="C63" s="686">
        <f>B63*D15*5</f>
        <v>243411.03</v>
      </c>
      <c r="D63" s="677">
        <f t="shared" si="1"/>
        <v>2.2332366895170068</v>
      </c>
    </row>
    <row r="64" spans="1:7" ht="12.6">
      <c r="A64" s="514" t="s">
        <v>108</v>
      </c>
      <c r="B64" s="837">
        <v>1.4999999999999999E-2</v>
      </c>
      <c r="C64" s="686">
        <v>318045</v>
      </c>
      <c r="D64" s="677">
        <f t="shared" si="1"/>
        <v>2.9179851172620914</v>
      </c>
      <c r="E64" s="449" t="s">
        <v>392</v>
      </c>
      <c r="F64" s="450"/>
      <c r="G64" s="52">
        <f>B64*B77</f>
        <v>334275</v>
      </c>
    </row>
    <row r="65" spans="1:7" ht="12.6">
      <c r="A65" s="694" t="s">
        <v>109</v>
      </c>
      <c r="B65" s="838">
        <v>7.0000000000000007E-2</v>
      </c>
      <c r="C65" s="686">
        <v>1484210.0000000002</v>
      </c>
      <c r="D65" s="677">
        <f t="shared" si="1"/>
        <v>13.617263880556429</v>
      </c>
      <c r="E65" s="449" t="s">
        <v>392</v>
      </c>
      <c r="F65" s="450"/>
      <c r="G65" s="53">
        <f>B65*B77</f>
        <v>1559950.0000000002</v>
      </c>
    </row>
    <row r="66" spans="1:7" ht="13.5" thickBot="1">
      <c r="A66" s="515" t="s">
        <v>312</v>
      </c>
      <c r="B66" s="888"/>
      <c r="C66" s="840"/>
      <c r="D66" s="677">
        <f t="shared" si="1"/>
        <v>0</v>
      </c>
    </row>
    <row r="67" spans="1:7" ht="14.1" thickTop="1" thickBot="1">
      <c r="A67" s="698" t="s">
        <v>313</v>
      </c>
      <c r="B67" s="699"/>
      <c r="C67" s="54">
        <f>SUM(C45:C66)</f>
        <v>37141249.160290495</v>
      </c>
      <c r="D67" s="54">
        <f>ROUND(C67/$B$17,2)</f>
        <v>340.76</v>
      </c>
    </row>
    <row r="68" spans="1:7" ht="12.95">
      <c r="A68" s="700" t="s">
        <v>393</v>
      </c>
      <c r="B68" s="701">
        <f>D41/C67</f>
        <v>0.11614302105140303</v>
      </c>
    </row>
    <row r="69" spans="1:7" ht="12.95">
      <c r="A69" s="702" t="s">
        <v>314</v>
      </c>
      <c r="B69" s="703">
        <f>(D42/C67)-1</f>
        <v>0.65918601502004348</v>
      </c>
      <c r="C69" s="55"/>
      <c r="D69" s="56"/>
    </row>
    <row r="70" spans="1:7" ht="13.5" thickBot="1">
      <c r="A70" s="704">
        <v>30</v>
      </c>
      <c r="B70" s="705">
        <f>(D42/(1+A70))</f>
        <v>1987878.7479719007</v>
      </c>
    </row>
    <row r="71" spans="1:7" ht="13.5" thickBot="1">
      <c r="A71" s="841">
        <v>0.3</v>
      </c>
      <c r="B71" s="705">
        <f>ROUND((D42/(1+A71))-C67,-3)</f>
        <v>10262000</v>
      </c>
      <c r="C71" s="57" t="s">
        <v>315</v>
      </c>
    </row>
    <row r="72" spans="1:7" ht="13.5" thickBot="1">
      <c r="A72" s="58"/>
      <c r="B72" s="59"/>
    </row>
    <row r="73" spans="1:7" ht="32.450000000000003" customHeight="1">
      <c r="A73" s="457" t="s">
        <v>316</v>
      </c>
      <c r="B73" s="458"/>
      <c r="C73" s="205" t="str">
        <f>D2</f>
        <v>Retail/Office</v>
      </c>
    </row>
    <row r="74" spans="1:7" ht="13.5" thickBot="1">
      <c r="A74" s="889"/>
      <c r="B74" s="890" t="s">
        <v>211</v>
      </c>
      <c r="C74" s="891" t="s">
        <v>386</v>
      </c>
    </row>
    <row r="75" spans="1:7" ht="12.95">
      <c r="A75" s="60" t="s">
        <v>317</v>
      </c>
      <c r="B75" s="61">
        <f>IF(B71&lt;0,B71,0)</f>
        <v>0</v>
      </c>
      <c r="C75" s="153"/>
    </row>
    <row r="76" spans="1:7" ht="12.95">
      <c r="A76" s="62" t="s">
        <v>318</v>
      </c>
      <c r="B76" s="61">
        <f>C67+B75</f>
        <v>37141249.160290495</v>
      </c>
      <c r="C76" s="154"/>
    </row>
    <row r="77" spans="1:7" ht="12.95">
      <c r="A77" s="843">
        <f>Assumptions!H16</f>
        <v>0.6</v>
      </c>
      <c r="B77" s="63">
        <f>ROUND(A77*B$76,-3)</f>
        <v>22285000</v>
      </c>
      <c r="C77" s="64">
        <f>B77/$B$17</f>
        <v>204.4594266163144</v>
      </c>
    </row>
    <row r="78" spans="1:7" ht="12.95" thickBot="1">
      <c r="A78" s="713">
        <f>1-A77</f>
        <v>0.4</v>
      </c>
      <c r="B78" s="892">
        <f>ROUND(A78*B$76,-3)</f>
        <v>14856000</v>
      </c>
      <c r="C78" s="64">
        <f>B78/$B$17</f>
        <v>136.30016790720066</v>
      </c>
      <c r="D78" s="56"/>
    </row>
    <row r="79" spans="1:7" ht="13.5" thickTop="1">
      <c r="A79" s="97" t="s">
        <v>319</v>
      </c>
      <c r="B79" s="845">
        <f>B77+B78</f>
        <v>37141000</v>
      </c>
      <c r="C79" s="65">
        <f>ROUND((C78+C77),0)</f>
        <v>341</v>
      </c>
    </row>
    <row r="80" spans="1:7" ht="13.5" thickBot="1">
      <c r="A80" s="716"/>
      <c r="B80" s="717"/>
      <c r="C80" s="718"/>
    </row>
    <row r="81" spans="1:5" ht="33.75" customHeight="1" thickBot="1">
      <c r="A81" s="431" t="s">
        <v>320</v>
      </c>
      <c r="B81" s="432"/>
      <c r="C81" s="707" t="str">
        <f>D2</f>
        <v>Retail/Office</v>
      </c>
    </row>
    <row r="82" spans="1:5" ht="13.5" thickBot="1">
      <c r="A82" s="66"/>
      <c r="B82" s="719" t="s">
        <v>321</v>
      </c>
      <c r="C82" s="719"/>
    </row>
    <row r="83" spans="1:5" ht="12.6">
      <c r="A83" s="720" t="s">
        <v>294</v>
      </c>
      <c r="B83" s="722">
        <f>ROUND(D42,-2)</f>
        <v>61624200</v>
      </c>
      <c r="C83" s="722"/>
    </row>
    <row r="84" spans="1:5" ht="13.5" thickBot="1">
      <c r="A84" s="893">
        <v>0.02</v>
      </c>
      <c r="B84" s="894">
        <f>(-ROUND(A84*B83,-2))</f>
        <v>-1232500</v>
      </c>
      <c r="C84" s="895"/>
    </row>
    <row r="85" spans="1:5" ht="13.5" thickTop="1" thickBot="1">
      <c r="A85" s="155" t="s">
        <v>295</v>
      </c>
      <c r="B85" s="156">
        <f>SUM(B83:B84)</f>
        <v>60391700</v>
      </c>
      <c r="C85" s="157"/>
      <c r="E85" s="68"/>
    </row>
    <row r="86" spans="1:5" ht="12.6">
      <c r="A86" s="158" t="s">
        <v>322</v>
      </c>
      <c r="B86" s="159">
        <f>-B77</f>
        <v>-22285000</v>
      </c>
      <c r="C86" s="896"/>
    </row>
    <row r="87" spans="1:5" ht="12.95" thickBot="1">
      <c r="A87" s="727" t="s">
        <v>323</v>
      </c>
      <c r="B87" s="725">
        <f>-B78</f>
        <v>-14856000</v>
      </c>
      <c r="C87" s="897"/>
    </row>
    <row r="88" spans="1:5" ht="14.1" thickTop="1" thickBot="1">
      <c r="A88" s="109" t="s">
        <v>324</v>
      </c>
      <c r="B88" s="69">
        <f>ROUND(B85+B86+B87,-2)</f>
        <v>23250700</v>
      </c>
      <c r="C88" s="160"/>
      <c r="D88" s="70"/>
    </row>
    <row r="89" spans="1:5" ht="13.5" thickBot="1">
      <c r="A89" s="729" t="s">
        <v>404</v>
      </c>
      <c r="B89" s="730"/>
      <c r="C89" s="731"/>
    </row>
    <row r="90" spans="1:5" ht="12.6">
      <c r="A90" s="732" t="s">
        <v>326</v>
      </c>
      <c r="B90" s="733">
        <f>B83/B17</f>
        <v>565.38696870940464</v>
      </c>
      <c r="C90" s="733"/>
    </row>
    <row r="91" spans="1:5" ht="12.95" thickBot="1">
      <c r="A91" s="734" t="s">
        <v>327</v>
      </c>
      <c r="B91" s="735">
        <f>B85/B17</f>
        <v>554.07908253912831</v>
      </c>
      <c r="C91" s="735"/>
    </row>
    <row r="92" spans="1:5" ht="12.95">
      <c r="A92" s="736" t="s">
        <v>328</v>
      </c>
      <c r="B92" s="737"/>
      <c r="C92" s="738"/>
    </row>
    <row r="93" spans="1:5" ht="13.5" thickBot="1">
      <c r="A93" s="716"/>
      <c r="B93" s="71"/>
      <c r="C93" s="71"/>
    </row>
    <row r="94" spans="1:5" ht="12.95">
      <c r="A94" s="72"/>
      <c r="B94" s="719" t="s">
        <v>321</v>
      </c>
      <c r="C94" s="719"/>
    </row>
    <row r="95" spans="1:5" ht="12.6">
      <c r="A95" s="739" t="s">
        <v>329</v>
      </c>
      <c r="B95" s="740">
        <f>(B88+B78)/B78</f>
        <v>2.5650713516424339</v>
      </c>
      <c r="C95" s="740"/>
    </row>
    <row r="96" spans="1:5" ht="12.95">
      <c r="A96" s="741" t="s">
        <v>330</v>
      </c>
      <c r="B96" s="742">
        <f>'CD Draw'!B39</f>
        <v>0.25603535322080306</v>
      </c>
      <c r="C96" s="742"/>
      <c r="D96" s="73"/>
    </row>
    <row r="97" spans="1:3" ht="12.6">
      <c r="A97" s="739" t="s">
        <v>332</v>
      </c>
      <c r="B97" s="743">
        <f>D41/B77</f>
        <v>0.1935695258289892</v>
      </c>
      <c r="C97" s="743"/>
    </row>
    <row r="98" spans="1:3" ht="12.6">
      <c r="A98" s="739" t="s">
        <v>333</v>
      </c>
      <c r="B98" s="744">
        <f>C42</f>
        <v>6.9999999999999993E-2</v>
      </c>
      <c r="C98" s="744"/>
    </row>
  </sheetData>
  <mergeCells count="16">
    <mergeCell ref="A89:C89"/>
    <mergeCell ref="A92:C92"/>
    <mergeCell ref="B37:C37"/>
    <mergeCell ref="E64:F64"/>
    <mergeCell ref="E65:F65"/>
    <mergeCell ref="A43:B43"/>
    <mergeCell ref="C43:D43"/>
    <mergeCell ref="A73:B73"/>
    <mergeCell ref="A81:B81"/>
    <mergeCell ref="B36:C36"/>
    <mergeCell ref="B31:C31"/>
    <mergeCell ref="B32:C32"/>
    <mergeCell ref="A2:C2"/>
    <mergeCell ref="D2:E2"/>
    <mergeCell ref="C28:D28"/>
    <mergeCell ref="A28:B28"/>
  </mergeCells>
  <printOptions horizontalCentered="1" verticalCentered="1"/>
  <pageMargins left="0.7" right="0.7" top="0.75" bottom="0.75" header="0.3" footer="0.3"/>
  <pageSetup scale="51"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ignoredErrors>
    <ignoredError sqref="C17" formula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DB75A-F282-4C6B-8AB2-C98A1ACEC3CD}">
  <sheetPr>
    <tabColor rgb="FF0070C0"/>
  </sheetPr>
  <dimension ref="A1:BX599"/>
  <sheetViews>
    <sheetView showOutlineSymbols="0" showWhiteSpace="0" topLeftCell="A28" workbookViewId="0">
      <pane xSplit="2" topLeftCell="AG1" activePane="topRight" state="frozen"/>
      <selection pane="topRight" activeCell="AV10" sqref="AV10:AX10"/>
    </sheetView>
  </sheetViews>
  <sheetFormatPr defaultColWidth="8.85546875" defaultRowHeight="12.6"/>
  <cols>
    <col min="1" max="1" width="45.5703125" style="6" customWidth="1"/>
    <col min="2" max="2" width="21.42578125" style="6" customWidth="1"/>
    <col min="3" max="3" width="19" style="6" hidden="1" customWidth="1"/>
    <col min="4" max="5" width="20" style="6" hidden="1" customWidth="1"/>
    <col min="6" max="6" width="19" style="6" hidden="1" customWidth="1"/>
    <col min="7" max="7" width="22.28515625" style="116" bestFit="1" customWidth="1"/>
    <col min="8" max="8" width="19" style="6" customWidth="1"/>
    <col min="9" max="9" width="13.42578125" style="6" customWidth="1"/>
    <col min="10" max="10" width="16.42578125" style="6" customWidth="1"/>
    <col min="11" max="11" width="12.42578125" style="6" customWidth="1"/>
    <col min="12" max="12" width="14.140625" style="6" customWidth="1"/>
    <col min="13" max="13" width="14.42578125" style="6" customWidth="1"/>
    <col min="14" max="14" width="15.42578125" style="6" customWidth="1"/>
    <col min="15" max="15" width="16.140625" style="6" customWidth="1"/>
    <col min="16" max="16" width="22.140625" style="6" customWidth="1"/>
    <col min="17" max="17" width="19.42578125" style="6" customWidth="1"/>
    <col min="18" max="19" width="14" style="6" customWidth="1"/>
    <col min="20" max="20" width="12.85546875" style="6" customWidth="1"/>
    <col min="21" max="21" width="14.42578125" style="6" customWidth="1"/>
    <col min="22" max="22" width="12.5703125" style="6" customWidth="1"/>
    <col min="23" max="23" width="17" style="6" customWidth="1"/>
    <col min="24" max="24" width="16.42578125" style="6" customWidth="1"/>
    <col min="25" max="25" width="13.42578125" style="6" customWidth="1"/>
    <col min="26" max="26" width="15" style="6" customWidth="1"/>
    <col min="27" max="27" width="13.42578125" style="6" customWidth="1"/>
    <col min="28" max="28" width="16.85546875" style="117" customWidth="1"/>
    <col min="29" max="29" width="15" style="6" customWidth="1"/>
    <col min="30" max="30" width="16.140625" style="6" customWidth="1"/>
    <col min="31" max="31" width="13.42578125" style="117" customWidth="1"/>
    <col min="32" max="32" width="17.140625" style="6" customWidth="1"/>
    <col min="33" max="33" width="14.42578125" style="6" customWidth="1"/>
    <col min="34" max="34" width="17.5703125" style="6" customWidth="1"/>
    <col min="35" max="35" width="14.42578125" style="6" customWidth="1"/>
    <col min="36" max="36" width="14.85546875" style="6" customWidth="1"/>
    <col min="37" max="37" width="15" style="6" hidden="1" customWidth="1"/>
    <col min="38" max="38" width="15.140625" style="6" hidden="1" customWidth="1"/>
    <col min="39" max="39" width="13.5703125" style="6" hidden="1" customWidth="1"/>
    <col min="40" max="40" width="13.85546875" style="6" hidden="1" customWidth="1"/>
    <col min="41" max="41" width="15.5703125" style="6" hidden="1" customWidth="1"/>
    <col min="42" max="43" width="15" style="6" hidden="1" customWidth="1"/>
    <col min="44" max="44" width="15.140625" style="6" hidden="1" customWidth="1"/>
    <col min="45" max="47" width="13.42578125" style="6" hidden="1" customWidth="1"/>
    <col min="48" max="73" width="17" style="6" customWidth="1"/>
    <col min="74" max="74" width="16.5703125" style="6" customWidth="1"/>
    <col min="75" max="75" width="15" style="6" customWidth="1"/>
    <col min="76" max="76" width="17.85546875" style="6" bestFit="1" customWidth="1"/>
    <col min="77" max="77" width="9.5703125" style="6" bestFit="1" customWidth="1"/>
    <col min="78" max="78" width="11.85546875" style="6" bestFit="1" customWidth="1"/>
    <col min="79" max="80" width="9.5703125" style="6" bestFit="1" customWidth="1"/>
    <col min="81" max="16384" width="8.85546875" style="6"/>
  </cols>
  <sheetData>
    <row r="1" spans="1:76" ht="15" thickBot="1">
      <c r="A1" s="440" t="str">
        <f>'Development Program'!A31</f>
        <v>Retail/Hotel</v>
      </c>
      <c r="B1" s="199" t="s">
        <v>334</v>
      </c>
      <c r="C1" s="184" t="str">
        <f>'Development Program'!B27</f>
        <v>Pre-Development</v>
      </c>
      <c r="D1" s="184" t="str">
        <f>'Development Program'!C27</f>
        <v>Demolition</v>
      </c>
      <c r="E1" s="184" t="str">
        <f>'Development Program'!D27</f>
        <v>Construction</v>
      </c>
      <c r="F1" s="185" t="str">
        <f>'Development Program'!E27</f>
        <v>Close-out</v>
      </c>
      <c r="G1" s="6"/>
      <c r="AB1" s="6"/>
      <c r="AE1" s="6"/>
      <c r="BV1"/>
      <c r="BW1"/>
      <c r="BX1"/>
    </row>
    <row r="2" spans="1:76" ht="15" thickBot="1">
      <c r="A2" s="441"/>
      <c r="B2" s="745" t="s">
        <v>335</v>
      </c>
      <c r="C2" s="746" t="str">
        <f>_xlfn.XLOOKUP($A$1,'Development Program'!$A$28:$A$33,'Development Program'!$B$28:$B$33)</f>
        <v>1/1/2025 to 8/31/2027</v>
      </c>
      <c r="D2" s="746" t="str">
        <f>_xlfn.XLOOKUP($A$1,'Development Program'!$A$28:$A$33,'Development Program'!$C$28:$C$33)</f>
        <v>9/1/2027 to 12/31/2027</v>
      </c>
      <c r="E2" s="746" t="str">
        <f>_xlfn.XLOOKUP($A$1,'Development Program'!$A$28:$A$33,'Development Program'!$D$28:$D$33)</f>
        <v>1/1/2028 to 12/31/2030</v>
      </c>
      <c r="F2" s="849" t="str">
        <f>_xlfn.XLOOKUP($A$1,'Development Program'!$A$28:$A$33,'Development Program'!$E$28:$E$33)</f>
        <v>1/1/2031 to 6/30/2032</v>
      </c>
      <c r="G2" s="266" t="s">
        <v>405</v>
      </c>
      <c r="P2" s="188"/>
      <c r="Q2" s="266" t="s">
        <v>406</v>
      </c>
      <c r="R2" s="266" t="s">
        <v>191</v>
      </c>
      <c r="S2" s="266" t="s">
        <v>337</v>
      </c>
      <c r="AB2" s="6"/>
      <c r="AD2" s="266" t="s">
        <v>407</v>
      </c>
      <c r="AE2" s="266" t="s">
        <v>395</v>
      </c>
      <c r="AF2" s="188"/>
      <c r="AG2" s="188"/>
      <c r="AJ2" s="266" t="s">
        <v>408</v>
      </c>
      <c r="AV2" s="443" t="s">
        <v>341</v>
      </c>
      <c r="AW2" s="443"/>
      <c r="AX2" s="443"/>
      <c r="AY2" s="203"/>
      <c r="BV2"/>
      <c r="BW2"/>
      <c r="BX2"/>
    </row>
    <row r="3" spans="1:76" ht="15" thickBot="1">
      <c r="A3" s="442"/>
      <c r="B3" s="120" t="s">
        <v>188</v>
      </c>
      <c r="C3" s="186">
        <v>45292</v>
      </c>
      <c r="D3" s="187">
        <f>EOMONTH(C3,3)</f>
        <v>45412</v>
      </c>
      <c r="E3" s="187">
        <f t="shared" ref="E3:AU3" si="0">EOMONTH(D3,3)</f>
        <v>45504</v>
      </c>
      <c r="F3" s="187">
        <f t="shared" si="0"/>
        <v>45596</v>
      </c>
      <c r="G3" s="187">
        <f t="shared" si="0"/>
        <v>45688</v>
      </c>
      <c r="H3" s="749">
        <f t="shared" si="0"/>
        <v>45777</v>
      </c>
      <c r="I3" s="749">
        <f t="shared" si="0"/>
        <v>45869</v>
      </c>
      <c r="J3" s="749">
        <f t="shared" si="0"/>
        <v>45961</v>
      </c>
      <c r="K3" s="749">
        <f t="shared" si="0"/>
        <v>46053</v>
      </c>
      <c r="L3" s="749">
        <f t="shared" si="0"/>
        <v>46142</v>
      </c>
      <c r="M3" s="749">
        <f t="shared" si="0"/>
        <v>46234</v>
      </c>
      <c r="N3" s="749">
        <f t="shared" si="0"/>
        <v>46326</v>
      </c>
      <c r="O3" s="749">
        <f t="shared" si="0"/>
        <v>46418</v>
      </c>
      <c r="P3" s="749">
        <f t="shared" si="0"/>
        <v>46507</v>
      </c>
      <c r="Q3" s="187">
        <f t="shared" si="0"/>
        <v>46599</v>
      </c>
      <c r="R3" s="187">
        <f t="shared" si="0"/>
        <v>46691</v>
      </c>
      <c r="S3" s="187">
        <f t="shared" si="0"/>
        <v>46783</v>
      </c>
      <c r="T3" s="749">
        <f t="shared" si="0"/>
        <v>46873</v>
      </c>
      <c r="U3" s="749">
        <f t="shared" si="0"/>
        <v>46965</v>
      </c>
      <c r="V3" s="749">
        <f t="shared" si="0"/>
        <v>47057</v>
      </c>
      <c r="W3" s="749">
        <f t="shared" si="0"/>
        <v>47149</v>
      </c>
      <c r="X3" s="749">
        <f t="shared" si="0"/>
        <v>47238</v>
      </c>
      <c r="Y3" s="749">
        <f t="shared" si="0"/>
        <v>47330</v>
      </c>
      <c r="Z3" s="749">
        <f t="shared" si="0"/>
        <v>47422</v>
      </c>
      <c r="AA3" s="749">
        <f t="shared" si="0"/>
        <v>47514</v>
      </c>
      <c r="AB3" s="749">
        <f t="shared" si="0"/>
        <v>47603</v>
      </c>
      <c r="AC3" s="749">
        <f t="shared" si="0"/>
        <v>47695</v>
      </c>
      <c r="AD3" s="187">
        <f t="shared" si="0"/>
        <v>47787</v>
      </c>
      <c r="AE3" s="187">
        <f t="shared" si="0"/>
        <v>47879</v>
      </c>
      <c r="AF3" s="749">
        <f t="shared" si="0"/>
        <v>47968</v>
      </c>
      <c r="AG3" s="749">
        <f t="shared" si="0"/>
        <v>48060</v>
      </c>
      <c r="AH3" s="749">
        <f t="shared" si="0"/>
        <v>48152</v>
      </c>
      <c r="AI3" s="749">
        <f t="shared" si="0"/>
        <v>48244</v>
      </c>
      <c r="AJ3" s="187">
        <f t="shared" si="0"/>
        <v>48334</v>
      </c>
      <c r="AK3" s="749">
        <f t="shared" si="0"/>
        <v>48426</v>
      </c>
      <c r="AL3" s="749">
        <f t="shared" si="0"/>
        <v>48518</v>
      </c>
      <c r="AM3" s="749">
        <f t="shared" si="0"/>
        <v>48610</v>
      </c>
      <c r="AN3" s="749">
        <f t="shared" si="0"/>
        <v>48699</v>
      </c>
      <c r="AO3" s="749">
        <f t="shared" si="0"/>
        <v>48791</v>
      </c>
      <c r="AP3" s="749">
        <f t="shared" si="0"/>
        <v>48883</v>
      </c>
      <c r="AQ3" s="749">
        <f t="shared" si="0"/>
        <v>48975</v>
      </c>
      <c r="AR3" s="749">
        <f t="shared" si="0"/>
        <v>49064</v>
      </c>
      <c r="AS3" s="749">
        <f t="shared" si="0"/>
        <v>49156</v>
      </c>
      <c r="AT3" s="749">
        <f t="shared" si="0"/>
        <v>49248</v>
      </c>
      <c r="AU3" s="749">
        <f t="shared" si="0"/>
        <v>49340</v>
      </c>
      <c r="AV3" s="898" t="s">
        <v>342</v>
      </c>
      <c r="AW3" s="755" t="s">
        <v>343</v>
      </c>
      <c r="AX3" s="754"/>
      <c r="AY3" s="754"/>
      <c r="AZ3" s="754"/>
      <c r="BA3" s="754"/>
      <c r="BB3" s="754"/>
      <c r="BC3" s="899"/>
      <c r="BD3" s="899"/>
      <c r="BE3" s="899"/>
      <c r="BF3" s="899"/>
      <c r="BG3" s="899"/>
      <c r="BH3" s="899"/>
      <c r="BI3" s="899"/>
      <c r="BJ3" s="899"/>
      <c r="BK3" s="899"/>
      <c r="BL3" s="899"/>
      <c r="BM3" s="899"/>
      <c r="BN3" s="899"/>
      <c r="BO3" s="899"/>
      <c r="BP3" s="899"/>
      <c r="BQ3" s="899"/>
      <c r="BR3" s="899"/>
      <c r="BS3" s="899"/>
      <c r="BT3" s="899"/>
      <c r="BU3" s="899"/>
      <c r="BV3"/>
      <c r="BW3"/>
      <c r="BX3"/>
    </row>
    <row r="4" spans="1:76" ht="15" thickBot="1">
      <c r="A4" s="756" t="s">
        <v>344</v>
      </c>
      <c r="B4" s="757">
        <v>1</v>
      </c>
      <c r="C4" s="213"/>
      <c r="D4" s="213"/>
      <c r="E4" s="213"/>
      <c r="F4" s="213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12"/>
      <c r="S4" s="212">
        <v>0.05</v>
      </c>
      <c r="T4" s="212">
        <v>0.05</v>
      </c>
      <c r="U4" s="212">
        <v>0.1</v>
      </c>
      <c r="V4" s="212">
        <v>0.1</v>
      </c>
      <c r="W4" s="212">
        <v>0.1</v>
      </c>
      <c r="X4" s="212">
        <v>0.1</v>
      </c>
      <c r="Y4" s="212">
        <v>0.1</v>
      </c>
      <c r="Z4" s="212">
        <v>0.1</v>
      </c>
      <c r="AA4" s="212">
        <v>0.1</v>
      </c>
      <c r="AB4" s="212">
        <v>0.1</v>
      </c>
      <c r="AC4" s="212">
        <v>0.05</v>
      </c>
      <c r="AD4" s="212">
        <v>0.05</v>
      </c>
      <c r="AE4" s="212"/>
      <c r="AF4" s="212"/>
      <c r="AG4" s="212"/>
      <c r="AH4" s="212"/>
      <c r="AI4" s="212"/>
      <c r="AJ4" s="212"/>
      <c r="AK4" s="212"/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224">
        <f t="shared" ref="AV4:AV26" si="1">SUM(C4:AU4)</f>
        <v>1</v>
      </c>
      <c r="AW4" s="759"/>
      <c r="AX4" s="760" t="s">
        <v>345</v>
      </c>
      <c r="AY4" s="900"/>
      <c r="AZ4" s="900"/>
      <c r="BA4" s="900"/>
      <c r="BB4" s="900"/>
      <c r="BC4" s="900"/>
      <c r="BD4" s="900"/>
      <c r="BE4" s="900"/>
      <c r="BF4" s="900"/>
      <c r="BG4" s="900"/>
      <c r="BH4" s="900"/>
      <c r="BI4" s="900"/>
      <c r="BJ4" s="900"/>
      <c r="BK4" s="900"/>
      <c r="BL4" s="900"/>
      <c r="BM4" s="900"/>
      <c r="BN4" s="900"/>
      <c r="BO4" s="900"/>
      <c r="BP4" s="900"/>
      <c r="BQ4" s="900"/>
      <c r="BR4" s="900"/>
      <c r="BS4" s="900"/>
      <c r="BT4" s="900"/>
      <c r="BU4" s="900"/>
      <c r="BV4"/>
      <c r="BW4"/>
      <c r="BX4"/>
    </row>
    <row r="5" spans="1:76" ht="14.45">
      <c r="A5" s="761" t="str">
        <f>'CD Financial'!A45</f>
        <v>Hard Costs for Construction</v>
      </c>
      <c r="B5" s="901">
        <f>'CD Financial'!C45</f>
        <v>22561909.109999999</v>
      </c>
      <c r="C5" s="763"/>
      <c r="D5" s="763"/>
      <c r="E5" s="763"/>
      <c r="F5" s="763"/>
      <c r="G5" s="763"/>
      <c r="H5" s="763"/>
      <c r="I5" s="763"/>
      <c r="J5" s="763"/>
      <c r="K5" s="763"/>
      <c r="L5" s="763"/>
      <c r="M5" s="763"/>
      <c r="N5" s="763"/>
      <c r="O5" s="763"/>
      <c r="P5" s="763"/>
      <c r="Q5" s="763"/>
      <c r="R5" s="763"/>
      <c r="S5" s="763">
        <f>$B5*S$4</f>
        <v>1128095.4554999999</v>
      </c>
      <c r="T5" s="763">
        <f t="shared" ref="T5:AD19" si="2">$B5*T$4</f>
        <v>1128095.4554999999</v>
      </c>
      <c r="U5" s="763">
        <f t="shared" si="2"/>
        <v>2256190.9109999998</v>
      </c>
      <c r="V5" s="763">
        <f t="shared" si="2"/>
        <v>2256190.9109999998</v>
      </c>
      <c r="W5" s="763">
        <f t="shared" si="2"/>
        <v>2256190.9109999998</v>
      </c>
      <c r="X5" s="763">
        <f t="shared" si="2"/>
        <v>2256190.9109999998</v>
      </c>
      <c r="Y5" s="763">
        <f t="shared" si="2"/>
        <v>2256190.9109999998</v>
      </c>
      <c r="Z5" s="763">
        <f t="shared" si="2"/>
        <v>2256190.9109999998</v>
      </c>
      <c r="AA5" s="763">
        <f t="shared" si="2"/>
        <v>2256190.9109999998</v>
      </c>
      <c r="AB5" s="763">
        <f t="shared" si="2"/>
        <v>2256190.9109999998</v>
      </c>
      <c r="AC5" s="763">
        <f t="shared" si="2"/>
        <v>1128095.4554999999</v>
      </c>
      <c r="AD5" s="763">
        <f t="shared" si="2"/>
        <v>1128095.4554999999</v>
      </c>
      <c r="AE5" s="763"/>
      <c r="AF5" s="763"/>
      <c r="AG5" s="763"/>
      <c r="AH5" s="763"/>
      <c r="AI5" s="763"/>
      <c r="AJ5" s="763"/>
      <c r="AK5" s="763"/>
      <c r="AL5" s="763"/>
      <c r="AM5" s="763"/>
      <c r="AN5" s="763"/>
      <c r="AO5" s="763"/>
      <c r="AP5" s="763"/>
      <c r="AQ5" s="763"/>
      <c r="AR5" s="763"/>
      <c r="AS5" s="763"/>
      <c r="AT5" s="763"/>
      <c r="AU5" s="763"/>
      <c r="AV5" s="200">
        <f t="shared" si="1"/>
        <v>22561909.109999996</v>
      </c>
      <c r="AW5" s="764">
        <f t="shared" ref="AW5:AW26" si="3">B5</f>
        <v>22561909.109999999</v>
      </c>
      <c r="AX5" s="764">
        <f>AW5-AV5</f>
        <v>0</v>
      </c>
      <c r="AY5" s="764"/>
      <c r="AZ5" s="764"/>
      <c r="BA5" s="764"/>
      <c r="BB5" s="764"/>
      <c r="BC5" s="764"/>
      <c r="BD5" s="764"/>
      <c r="BE5" s="764"/>
      <c r="BF5" s="764"/>
      <c r="BG5" s="764"/>
      <c r="BH5" s="764"/>
      <c r="BI5" s="764"/>
      <c r="BJ5" s="764"/>
      <c r="BK5" s="764"/>
      <c r="BL5" s="764"/>
      <c r="BM5" s="764"/>
      <c r="BN5" s="764"/>
      <c r="BO5" s="764"/>
      <c r="BP5" s="764"/>
      <c r="BQ5" s="764"/>
      <c r="BR5" s="764"/>
      <c r="BS5" s="764"/>
      <c r="BT5" s="764"/>
      <c r="BU5" s="764"/>
      <c r="BV5"/>
      <c r="BW5"/>
      <c r="BX5"/>
    </row>
    <row r="6" spans="1:76" ht="14.45">
      <c r="A6" s="761" t="str">
        <f>'CD Financial'!A46</f>
        <v>Parking stalls</v>
      </c>
      <c r="B6" s="901">
        <f>'CD Financial'!C46</f>
        <v>3941734.5000000005</v>
      </c>
      <c r="C6" s="763"/>
      <c r="D6" s="763"/>
      <c r="E6" s="763"/>
      <c r="F6" s="763"/>
      <c r="G6" s="763"/>
      <c r="H6" s="763"/>
      <c r="I6" s="763"/>
      <c r="J6" s="763"/>
      <c r="K6" s="763"/>
      <c r="L6" s="763"/>
      <c r="M6" s="763"/>
      <c r="N6" s="763"/>
      <c r="O6" s="763"/>
      <c r="P6" s="763"/>
      <c r="Q6" s="763"/>
      <c r="R6" s="763"/>
      <c r="S6" s="763">
        <f t="shared" ref="S6:AD26" si="4">$B6*S$4</f>
        <v>197086.72500000003</v>
      </c>
      <c r="T6" s="763">
        <f t="shared" si="2"/>
        <v>197086.72500000003</v>
      </c>
      <c r="U6" s="763">
        <f t="shared" si="2"/>
        <v>394173.45000000007</v>
      </c>
      <c r="V6" s="763">
        <f t="shared" si="2"/>
        <v>394173.45000000007</v>
      </c>
      <c r="W6" s="763">
        <f t="shared" si="2"/>
        <v>394173.45000000007</v>
      </c>
      <c r="X6" s="763">
        <f t="shared" si="2"/>
        <v>394173.45000000007</v>
      </c>
      <c r="Y6" s="763">
        <f t="shared" si="2"/>
        <v>394173.45000000007</v>
      </c>
      <c r="Z6" s="763">
        <f t="shared" si="2"/>
        <v>394173.45000000007</v>
      </c>
      <c r="AA6" s="763">
        <f t="shared" si="2"/>
        <v>394173.45000000007</v>
      </c>
      <c r="AB6" s="763">
        <f t="shared" si="2"/>
        <v>394173.45000000007</v>
      </c>
      <c r="AC6" s="763">
        <f t="shared" si="2"/>
        <v>197086.72500000003</v>
      </c>
      <c r="AD6" s="763">
        <f t="shared" si="2"/>
        <v>197086.72500000003</v>
      </c>
      <c r="AE6" s="763"/>
      <c r="AF6" s="763"/>
      <c r="AG6" s="763"/>
      <c r="AH6" s="763"/>
      <c r="AI6" s="763"/>
      <c r="AJ6" s="763"/>
      <c r="AK6" s="763"/>
      <c r="AL6" s="763"/>
      <c r="AM6" s="763"/>
      <c r="AN6" s="763"/>
      <c r="AO6" s="763"/>
      <c r="AP6" s="763"/>
      <c r="AQ6" s="763"/>
      <c r="AR6" s="763"/>
      <c r="AS6" s="763"/>
      <c r="AT6" s="763"/>
      <c r="AU6" s="763"/>
      <c r="AV6" s="764">
        <f t="shared" si="1"/>
        <v>3941734.5000000014</v>
      </c>
      <c r="AW6" s="764">
        <f t="shared" si="3"/>
        <v>3941734.5000000005</v>
      </c>
      <c r="AX6" s="764">
        <f t="shared" ref="AX6:AX26" si="5">AW6-AV6</f>
        <v>0</v>
      </c>
      <c r="AY6" s="764"/>
      <c r="AZ6" s="764"/>
      <c r="BA6" s="764"/>
      <c r="BB6" s="764"/>
      <c r="BC6" s="764"/>
      <c r="BD6" s="764"/>
      <c r="BE6" s="764"/>
      <c r="BF6" s="764"/>
      <c r="BG6" s="764"/>
      <c r="BH6" s="764"/>
      <c r="BI6" s="764"/>
      <c r="BJ6" s="764"/>
      <c r="BK6" s="764"/>
      <c r="BL6" s="764"/>
      <c r="BM6" s="764"/>
      <c r="BN6" s="764"/>
      <c r="BO6" s="764"/>
      <c r="BP6" s="764"/>
      <c r="BQ6" s="764"/>
      <c r="BR6" s="764"/>
      <c r="BS6" s="764"/>
      <c r="BT6" s="764"/>
      <c r="BU6" s="764"/>
      <c r="BV6"/>
      <c r="BW6"/>
      <c r="BX6"/>
    </row>
    <row r="7" spans="1:76" ht="14.45">
      <c r="A7" s="761" t="str">
        <f>'CD Financial'!A47</f>
        <v>Hard Cost Contingency</v>
      </c>
      <c r="B7" s="901">
        <f>'CD Financial'!C47</f>
        <v>1804952.7287999999</v>
      </c>
      <c r="C7" s="763"/>
      <c r="D7" s="763"/>
      <c r="E7" s="763"/>
      <c r="F7" s="763"/>
      <c r="G7" s="763"/>
      <c r="H7" s="763"/>
      <c r="I7" s="763"/>
      <c r="J7" s="763"/>
      <c r="K7" s="763"/>
      <c r="L7" s="763"/>
      <c r="M7" s="763"/>
      <c r="N7" s="763"/>
      <c r="O7" s="763"/>
      <c r="P7" s="763"/>
      <c r="Q7" s="763"/>
      <c r="R7" s="763"/>
      <c r="S7" s="763">
        <f t="shared" si="4"/>
        <v>90247.636440000002</v>
      </c>
      <c r="T7" s="763">
        <f t="shared" si="2"/>
        <v>90247.636440000002</v>
      </c>
      <c r="U7" s="763">
        <f t="shared" si="2"/>
        <v>180495.27288</v>
      </c>
      <c r="V7" s="763">
        <f t="shared" si="2"/>
        <v>180495.27288</v>
      </c>
      <c r="W7" s="763">
        <f t="shared" si="2"/>
        <v>180495.27288</v>
      </c>
      <c r="X7" s="763">
        <f t="shared" si="2"/>
        <v>180495.27288</v>
      </c>
      <c r="Y7" s="763">
        <f t="shared" si="2"/>
        <v>180495.27288</v>
      </c>
      <c r="Z7" s="763">
        <f t="shared" si="2"/>
        <v>180495.27288</v>
      </c>
      <c r="AA7" s="763">
        <f t="shared" si="2"/>
        <v>180495.27288</v>
      </c>
      <c r="AB7" s="763">
        <f t="shared" si="2"/>
        <v>180495.27288</v>
      </c>
      <c r="AC7" s="763">
        <f t="shared" si="2"/>
        <v>90247.636440000002</v>
      </c>
      <c r="AD7" s="763">
        <f t="shared" si="2"/>
        <v>90247.636440000002</v>
      </c>
      <c r="AE7" s="763"/>
      <c r="AF7" s="763"/>
      <c r="AG7" s="763"/>
      <c r="AH7" s="763"/>
      <c r="AI7" s="763"/>
      <c r="AJ7" s="763"/>
      <c r="AK7" s="763"/>
      <c r="AL7" s="763"/>
      <c r="AM7" s="763"/>
      <c r="AN7" s="763"/>
      <c r="AO7" s="763"/>
      <c r="AP7" s="763"/>
      <c r="AQ7" s="763"/>
      <c r="AR7" s="763"/>
      <c r="AS7" s="763"/>
      <c r="AT7" s="763"/>
      <c r="AU7" s="763"/>
      <c r="AV7" s="764">
        <f t="shared" si="1"/>
        <v>1804952.7288000004</v>
      </c>
      <c r="AW7" s="764">
        <f t="shared" si="3"/>
        <v>1804952.7287999999</v>
      </c>
      <c r="AX7" s="764">
        <f t="shared" si="5"/>
        <v>0</v>
      </c>
      <c r="AY7" s="764"/>
      <c r="AZ7" s="764"/>
      <c r="BA7" s="764"/>
      <c r="BB7" s="764"/>
      <c r="BC7" s="764"/>
      <c r="BD7" s="764"/>
      <c r="BE7" s="764"/>
      <c r="BF7" s="764"/>
      <c r="BG7" s="764"/>
      <c r="BH7" s="764"/>
      <c r="BI7" s="764"/>
      <c r="BJ7" s="764"/>
      <c r="BK7" s="764"/>
      <c r="BL7" s="764"/>
      <c r="BM7" s="764"/>
      <c r="BN7" s="764"/>
      <c r="BO7" s="764"/>
      <c r="BP7" s="764"/>
      <c r="BQ7" s="764"/>
      <c r="BR7" s="764"/>
      <c r="BS7" s="764"/>
      <c r="BT7" s="764"/>
      <c r="BU7" s="764"/>
      <c r="BV7"/>
      <c r="BW7"/>
      <c r="BX7"/>
    </row>
    <row r="8" spans="1:76" ht="14.45">
      <c r="A8" s="761" t="str">
        <f>'CD Financial'!A48</f>
        <v>Demolition</v>
      </c>
      <c r="B8" s="901">
        <f>'CD Financial'!C48</f>
        <v>348500</v>
      </c>
      <c r="C8" s="763"/>
      <c r="D8" s="763"/>
      <c r="E8" s="763"/>
      <c r="F8" s="763"/>
      <c r="G8" s="763"/>
      <c r="H8" s="763"/>
      <c r="I8" s="763"/>
      <c r="J8" s="763"/>
      <c r="K8" s="763"/>
      <c r="L8" s="763"/>
      <c r="M8" s="763"/>
      <c r="N8" s="763"/>
      <c r="O8" s="763"/>
      <c r="P8" s="763"/>
      <c r="Q8" s="763"/>
      <c r="R8" s="763"/>
      <c r="S8" s="763">
        <f t="shared" si="4"/>
        <v>17425</v>
      </c>
      <c r="T8" s="763">
        <f t="shared" si="2"/>
        <v>17425</v>
      </c>
      <c r="U8" s="763">
        <f t="shared" si="2"/>
        <v>34850</v>
      </c>
      <c r="V8" s="763">
        <f t="shared" si="2"/>
        <v>34850</v>
      </c>
      <c r="W8" s="763">
        <f t="shared" si="2"/>
        <v>34850</v>
      </c>
      <c r="X8" s="763">
        <f t="shared" si="2"/>
        <v>34850</v>
      </c>
      <c r="Y8" s="763">
        <f t="shared" si="2"/>
        <v>34850</v>
      </c>
      <c r="Z8" s="763">
        <f t="shared" si="2"/>
        <v>34850</v>
      </c>
      <c r="AA8" s="763">
        <f t="shared" si="2"/>
        <v>34850</v>
      </c>
      <c r="AB8" s="763">
        <f t="shared" si="2"/>
        <v>34850</v>
      </c>
      <c r="AC8" s="763">
        <f t="shared" si="2"/>
        <v>17425</v>
      </c>
      <c r="AD8" s="763">
        <f t="shared" si="2"/>
        <v>17425</v>
      </c>
      <c r="AE8" s="763"/>
      <c r="AF8" s="763"/>
      <c r="AG8" s="763"/>
      <c r="AH8" s="763"/>
      <c r="AI8" s="763"/>
      <c r="AJ8" s="763"/>
      <c r="AK8" s="763"/>
      <c r="AL8" s="763"/>
      <c r="AM8" s="763"/>
      <c r="AN8" s="763"/>
      <c r="AO8" s="763"/>
      <c r="AP8" s="763"/>
      <c r="AQ8" s="763"/>
      <c r="AR8" s="763"/>
      <c r="AS8" s="763"/>
      <c r="AT8" s="763"/>
      <c r="AU8" s="763"/>
      <c r="AV8" s="764">
        <f t="shared" si="1"/>
        <v>348500</v>
      </c>
      <c r="AW8" s="764">
        <f t="shared" si="3"/>
        <v>348500</v>
      </c>
      <c r="AX8" s="764">
        <f t="shared" si="5"/>
        <v>0</v>
      </c>
      <c r="AY8" s="764"/>
      <c r="AZ8" s="764"/>
      <c r="BA8" s="764"/>
      <c r="BB8" s="764"/>
      <c r="BC8" s="764"/>
      <c r="BD8" s="764"/>
      <c r="BE8" s="764"/>
      <c r="BF8" s="764"/>
      <c r="BG8" s="764"/>
      <c r="BH8" s="764"/>
      <c r="BI8" s="764"/>
      <c r="BJ8" s="764"/>
      <c r="BK8" s="764"/>
      <c r="BL8" s="764"/>
      <c r="BM8" s="764"/>
      <c r="BN8" s="764"/>
      <c r="BO8" s="764"/>
      <c r="BP8" s="764"/>
      <c r="BQ8" s="764"/>
      <c r="BR8" s="764"/>
      <c r="BS8" s="764"/>
      <c r="BT8" s="764"/>
      <c r="BU8" s="764"/>
      <c r="BV8"/>
      <c r="BW8"/>
      <c r="BX8"/>
    </row>
    <row r="9" spans="1:76" ht="14.45">
      <c r="A9" s="761" t="str">
        <f>'CD Financial'!A49</f>
        <v>LAND</v>
      </c>
      <c r="B9" s="901">
        <f>'CD Financial'!C49</f>
        <v>656243.49</v>
      </c>
      <c r="C9" s="768"/>
      <c r="D9" s="765"/>
      <c r="E9" s="765"/>
      <c r="F9" s="765"/>
      <c r="G9" s="902">
        <f>B9</f>
        <v>656243.49</v>
      </c>
      <c r="H9" s="768"/>
      <c r="I9" s="902"/>
      <c r="J9" s="768"/>
      <c r="K9" s="765"/>
      <c r="L9" s="765"/>
      <c r="M9" s="768"/>
      <c r="N9" s="765"/>
      <c r="O9" s="765"/>
      <c r="P9" s="765"/>
      <c r="Q9" s="765"/>
      <c r="R9" s="765"/>
      <c r="S9" s="763"/>
      <c r="T9" s="763"/>
      <c r="U9" s="763"/>
      <c r="V9" s="763"/>
      <c r="W9" s="763"/>
      <c r="X9" s="763"/>
      <c r="Y9" s="763"/>
      <c r="Z9" s="763"/>
      <c r="AA9" s="763"/>
      <c r="AB9" s="763"/>
      <c r="AC9" s="763"/>
      <c r="AD9" s="763"/>
      <c r="AE9" s="853"/>
      <c r="AF9" s="853"/>
      <c r="AG9" s="853"/>
      <c r="AH9" s="853"/>
      <c r="AI9" s="853"/>
      <c r="AJ9" s="853"/>
      <c r="AK9" s="853"/>
      <c r="AL9" s="853"/>
      <c r="AM9" s="853"/>
      <c r="AN9" s="853"/>
      <c r="AO9" s="853"/>
      <c r="AP9" s="853"/>
      <c r="AQ9" s="853"/>
      <c r="AR9" s="853"/>
      <c r="AS9" s="853"/>
      <c r="AT9" s="853"/>
      <c r="AU9" s="853"/>
      <c r="AV9" s="764">
        <f t="shared" si="1"/>
        <v>656243.49</v>
      </c>
      <c r="AW9" s="764">
        <f t="shared" si="3"/>
        <v>656243.49</v>
      </c>
      <c r="AX9" s="764">
        <f t="shared" si="5"/>
        <v>0</v>
      </c>
      <c r="AY9" s="903"/>
      <c r="AZ9" s="903"/>
      <c r="BA9" s="903"/>
      <c r="BB9" s="903"/>
      <c r="BC9" s="903"/>
      <c r="BD9" s="903"/>
      <c r="BE9" s="903"/>
      <c r="BF9" s="903"/>
      <c r="BG9" s="903"/>
      <c r="BH9" s="903"/>
      <c r="BI9" s="903"/>
      <c r="BJ9" s="903"/>
      <c r="BK9" s="903"/>
      <c r="BL9" s="903"/>
      <c r="BM9" s="903"/>
      <c r="BN9" s="903"/>
      <c r="BO9" s="903"/>
      <c r="BP9" s="903"/>
      <c r="BQ9" s="903"/>
      <c r="BR9" s="903"/>
      <c r="BS9" s="903"/>
      <c r="BT9" s="903"/>
      <c r="BU9" s="903"/>
      <c r="BV9"/>
      <c r="BW9"/>
      <c r="BX9"/>
    </row>
    <row r="10" spans="1:76" ht="14.45">
      <c r="A10" s="761" t="str">
        <f>'CD Financial'!A50</f>
        <v>Stormwater Utility Fee</v>
      </c>
      <c r="B10" s="901">
        <f>'CD Financial'!C50</f>
        <v>2615.8735199999996</v>
      </c>
      <c r="C10" s="768"/>
      <c r="D10" s="765"/>
      <c r="E10" s="765"/>
      <c r="F10" s="765"/>
      <c r="G10" s="902"/>
      <c r="H10" s="768"/>
      <c r="I10" s="902"/>
      <c r="J10" s="768"/>
      <c r="K10" s="765"/>
      <c r="L10" s="765"/>
      <c r="M10" s="768"/>
      <c r="N10" s="765"/>
      <c r="O10" s="765"/>
      <c r="P10" s="765"/>
      <c r="Q10" s="765"/>
      <c r="R10" s="765"/>
      <c r="S10" s="763">
        <f>B10</f>
        <v>2615.8735199999996</v>
      </c>
      <c r="T10" s="763"/>
      <c r="U10" s="763"/>
      <c r="V10" s="763"/>
      <c r="W10" s="763"/>
      <c r="X10" s="763"/>
      <c r="Y10" s="763"/>
      <c r="Z10" s="763"/>
      <c r="AA10" s="763"/>
      <c r="AB10" s="763"/>
      <c r="AC10" s="763"/>
      <c r="AD10" s="763"/>
      <c r="AE10" s="853"/>
      <c r="AF10" s="853"/>
      <c r="AG10" s="853"/>
      <c r="AH10" s="853"/>
      <c r="AI10" s="853"/>
      <c r="AJ10" s="853"/>
      <c r="AK10" s="854"/>
      <c r="AL10" s="855"/>
      <c r="AM10" s="853"/>
      <c r="AN10" s="853"/>
      <c r="AO10" s="853"/>
      <c r="AP10" s="854"/>
      <c r="AQ10" s="853"/>
      <c r="AR10" s="853"/>
      <c r="AS10" s="853"/>
      <c r="AT10" s="854"/>
      <c r="AU10" s="854"/>
      <c r="AV10" s="764">
        <f t="shared" ref="AV10" si="6">SUM(C10:AU10)</f>
        <v>2615.8735199999996</v>
      </c>
      <c r="AW10" s="764">
        <f t="shared" ref="AW10" si="7">B10</f>
        <v>2615.8735199999996</v>
      </c>
      <c r="AX10" s="764">
        <f t="shared" ref="AX10" si="8">AW10-AV10</f>
        <v>0</v>
      </c>
      <c r="AY10" s="904"/>
      <c r="AZ10" s="904"/>
      <c r="BA10" s="904"/>
      <c r="BB10" s="904"/>
      <c r="BC10" s="904"/>
      <c r="BD10" s="904"/>
      <c r="BE10" s="904"/>
      <c r="BF10" s="904"/>
      <c r="BG10" s="904"/>
      <c r="BH10" s="904"/>
      <c r="BI10" s="904"/>
      <c r="BJ10" s="904"/>
      <c r="BK10" s="904"/>
      <c r="BL10" s="904"/>
      <c r="BM10" s="904"/>
      <c r="BN10" s="904"/>
      <c r="BO10" s="904"/>
      <c r="BP10" s="904"/>
      <c r="BQ10" s="904"/>
      <c r="BR10" s="904"/>
      <c r="BS10" s="904"/>
      <c r="BT10" s="904"/>
      <c r="BU10" s="904"/>
      <c r="BV10"/>
      <c r="BW10"/>
      <c r="BX10"/>
    </row>
    <row r="11" spans="1:76" ht="14.45">
      <c r="A11" s="761" t="str">
        <f>'CD Financial'!A51</f>
        <v>Municipal Fees and Allowances</v>
      </c>
      <c r="B11" s="901">
        <f>'CD Financial'!C51</f>
        <v>67985.227329999994</v>
      </c>
      <c r="C11" s="768"/>
      <c r="D11" s="765"/>
      <c r="E11" s="765"/>
      <c r="F11" s="765"/>
      <c r="G11" s="765"/>
      <c r="H11" s="765"/>
      <c r="I11" s="765"/>
      <c r="J11" s="765"/>
      <c r="K11" s="765"/>
      <c r="L11" s="765"/>
      <c r="M11" s="765"/>
      <c r="N11" s="765"/>
      <c r="O11" s="765"/>
      <c r="P11" s="765"/>
      <c r="Q11" s="765"/>
      <c r="R11" s="765"/>
      <c r="S11" s="763">
        <f>B11</f>
        <v>67985.227329999994</v>
      </c>
      <c r="T11" s="763"/>
      <c r="U11" s="763"/>
      <c r="V11" s="763"/>
      <c r="W11" s="763"/>
      <c r="X11" s="763"/>
      <c r="Y11" s="763"/>
      <c r="Z11" s="763"/>
      <c r="AA11" s="763"/>
      <c r="AB11" s="763"/>
      <c r="AC11" s="763"/>
      <c r="AD11" s="763"/>
      <c r="AE11" s="853"/>
      <c r="AF11" s="853"/>
      <c r="AG11" s="853"/>
      <c r="AH11" s="853"/>
      <c r="AI11" s="853"/>
      <c r="AJ11" s="853"/>
      <c r="AK11" s="854"/>
      <c r="AL11" s="855"/>
      <c r="AM11" s="853"/>
      <c r="AN11" s="853"/>
      <c r="AO11" s="853"/>
      <c r="AP11" s="854"/>
      <c r="AQ11" s="853"/>
      <c r="AR11" s="853"/>
      <c r="AS11" s="853"/>
      <c r="AT11" s="854"/>
      <c r="AU11" s="854"/>
      <c r="AV11" s="764">
        <f t="shared" si="1"/>
        <v>67985.227329999994</v>
      </c>
      <c r="AW11" s="764">
        <f t="shared" si="3"/>
        <v>67985.227329999994</v>
      </c>
      <c r="AX11" s="764">
        <f t="shared" si="5"/>
        <v>0</v>
      </c>
      <c r="AY11" s="904"/>
      <c r="AZ11" s="904"/>
      <c r="BA11" s="904"/>
      <c r="BB11" s="904"/>
      <c r="BC11" s="904"/>
      <c r="BD11" s="904"/>
      <c r="BE11" s="904"/>
      <c r="BF11" s="904"/>
      <c r="BG11" s="904"/>
      <c r="BH11" s="904"/>
      <c r="BI11" s="904"/>
      <c r="BJ11" s="904"/>
      <c r="BK11" s="904"/>
      <c r="BL11" s="904"/>
      <c r="BM11" s="904"/>
      <c r="BN11" s="904"/>
      <c r="BO11" s="904"/>
      <c r="BP11" s="904"/>
      <c r="BQ11" s="904"/>
      <c r="BR11" s="904"/>
      <c r="BS11" s="904"/>
      <c r="BT11" s="904"/>
      <c r="BU11" s="904"/>
      <c r="BV11"/>
      <c r="BW11"/>
      <c r="BX11"/>
    </row>
    <row r="12" spans="1:76" ht="14.45">
      <c r="A12" s="761" t="str">
        <f>'CD Financial'!A52</f>
        <v>Infrastructure allocation</v>
      </c>
      <c r="B12" s="901">
        <f>'CD Financial'!C52</f>
        <v>433408.45</v>
      </c>
      <c r="C12" s="768"/>
      <c r="D12" s="765"/>
      <c r="E12" s="765"/>
      <c r="F12" s="765"/>
      <c r="G12" s="765"/>
      <c r="H12" s="765"/>
      <c r="I12" s="763"/>
      <c r="J12" s="763"/>
      <c r="K12" s="763"/>
      <c r="L12" s="763"/>
      <c r="M12" s="763"/>
      <c r="N12" s="763"/>
      <c r="O12" s="763"/>
      <c r="P12" s="763"/>
      <c r="Q12" s="763"/>
      <c r="R12" s="765"/>
      <c r="S12" s="763">
        <f t="shared" si="4"/>
        <v>21670.422500000001</v>
      </c>
      <c r="T12" s="763">
        <f t="shared" si="2"/>
        <v>21670.422500000001</v>
      </c>
      <c r="U12" s="763">
        <f t="shared" si="2"/>
        <v>43340.845000000001</v>
      </c>
      <c r="V12" s="763">
        <f t="shared" si="2"/>
        <v>43340.845000000001</v>
      </c>
      <c r="W12" s="763">
        <f t="shared" si="2"/>
        <v>43340.845000000001</v>
      </c>
      <c r="X12" s="763">
        <f t="shared" si="2"/>
        <v>43340.845000000001</v>
      </c>
      <c r="Y12" s="763">
        <f t="shared" si="2"/>
        <v>43340.845000000001</v>
      </c>
      <c r="Z12" s="763">
        <f t="shared" si="2"/>
        <v>43340.845000000001</v>
      </c>
      <c r="AA12" s="763">
        <f t="shared" si="2"/>
        <v>43340.845000000001</v>
      </c>
      <c r="AB12" s="763">
        <f t="shared" si="2"/>
        <v>43340.845000000001</v>
      </c>
      <c r="AC12" s="763">
        <f t="shared" si="2"/>
        <v>21670.422500000001</v>
      </c>
      <c r="AD12" s="763">
        <f t="shared" si="2"/>
        <v>21670.422500000001</v>
      </c>
      <c r="AE12" s="853"/>
      <c r="AF12" s="853"/>
      <c r="AG12" s="853"/>
      <c r="AH12" s="853"/>
      <c r="AI12" s="853"/>
      <c r="AJ12" s="853"/>
      <c r="AK12" s="854"/>
      <c r="AL12" s="855"/>
      <c r="AM12" s="853"/>
      <c r="AN12" s="853"/>
      <c r="AO12" s="853"/>
      <c r="AP12" s="854"/>
      <c r="AQ12" s="853"/>
      <c r="AR12" s="856"/>
      <c r="AS12" s="853"/>
      <c r="AT12" s="854"/>
      <c r="AU12" s="854"/>
      <c r="AV12" s="764">
        <f t="shared" si="1"/>
        <v>433408.44999999995</v>
      </c>
      <c r="AW12" s="764">
        <f t="shared" si="3"/>
        <v>433408.45</v>
      </c>
      <c r="AX12" s="764">
        <f t="shared" si="5"/>
        <v>0</v>
      </c>
      <c r="AY12" s="904"/>
      <c r="AZ12" s="904"/>
      <c r="BA12" s="904"/>
      <c r="BB12" s="904"/>
      <c r="BC12" s="904"/>
      <c r="BD12" s="904"/>
      <c r="BE12" s="904"/>
      <c r="BF12" s="904"/>
      <c r="BG12" s="904"/>
      <c r="BH12" s="904"/>
      <c r="BI12" s="904"/>
      <c r="BJ12" s="904"/>
      <c r="BK12" s="904"/>
      <c r="BL12" s="904"/>
      <c r="BM12" s="904"/>
      <c r="BN12" s="904"/>
      <c r="BO12" s="904"/>
      <c r="BP12" s="904"/>
      <c r="BQ12" s="904"/>
      <c r="BR12" s="904"/>
      <c r="BS12" s="904"/>
      <c r="BT12" s="904"/>
      <c r="BU12" s="904"/>
      <c r="BV12"/>
      <c r="BW12"/>
      <c r="BX12"/>
    </row>
    <row r="13" spans="1:76" ht="14.45">
      <c r="A13" s="761" t="str">
        <f>'CD Financial'!A53</f>
        <v>Legal</v>
      </c>
      <c r="B13" s="901">
        <f>'CD Financial'!C53</f>
        <v>169214.318325</v>
      </c>
      <c r="C13" s="768"/>
      <c r="D13" s="768"/>
      <c r="E13" s="767"/>
      <c r="F13" s="767"/>
      <c r="G13" s="767"/>
      <c r="H13" s="767"/>
      <c r="I13" s="767"/>
      <c r="J13" s="767"/>
      <c r="K13" s="763"/>
      <c r="L13" s="763"/>
      <c r="M13" s="763"/>
      <c r="N13" s="763"/>
      <c r="O13" s="763"/>
      <c r="P13" s="763"/>
      <c r="Q13" s="763"/>
      <c r="R13" s="765"/>
      <c r="S13" s="763">
        <f t="shared" si="4"/>
        <v>8460.7159162500011</v>
      </c>
      <c r="T13" s="763">
        <f t="shared" si="2"/>
        <v>8460.7159162500011</v>
      </c>
      <c r="U13" s="763">
        <f t="shared" si="2"/>
        <v>16921.431832500002</v>
      </c>
      <c r="V13" s="763">
        <f t="shared" si="2"/>
        <v>16921.431832500002</v>
      </c>
      <c r="W13" s="763">
        <f t="shared" si="2"/>
        <v>16921.431832500002</v>
      </c>
      <c r="X13" s="763">
        <f t="shared" si="2"/>
        <v>16921.431832500002</v>
      </c>
      <c r="Y13" s="763">
        <f t="shared" si="2"/>
        <v>16921.431832500002</v>
      </c>
      <c r="Z13" s="763">
        <f t="shared" si="2"/>
        <v>16921.431832500002</v>
      </c>
      <c r="AA13" s="763">
        <f t="shared" si="2"/>
        <v>16921.431832500002</v>
      </c>
      <c r="AB13" s="763">
        <f t="shared" si="2"/>
        <v>16921.431832500002</v>
      </c>
      <c r="AC13" s="763">
        <f t="shared" si="2"/>
        <v>8460.7159162500011</v>
      </c>
      <c r="AD13" s="763">
        <f t="shared" si="2"/>
        <v>8460.7159162500011</v>
      </c>
      <c r="AE13" s="765"/>
      <c r="AF13" s="765"/>
      <c r="AG13" s="765"/>
      <c r="AH13" s="765"/>
      <c r="AI13" s="765"/>
      <c r="AJ13" s="765"/>
      <c r="AK13" s="857"/>
      <c r="AL13" s="858"/>
      <c r="AM13" s="765"/>
      <c r="AN13" s="765"/>
      <c r="AO13" s="765"/>
      <c r="AP13" s="857"/>
      <c r="AQ13" s="765"/>
      <c r="AR13" s="765"/>
      <c r="AS13" s="905"/>
      <c r="AT13" s="857"/>
      <c r="AU13" s="857"/>
      <c r="AV13" s="764">
        <f t="shared" si="1"/>
        <v>169214.318325</v>
      </c>
      <c r="AW13" s="764">
        <f t="shared" si="3"/>
        <v>169214.318325</v>
      </c>
      <c r="AX13" s="764">
        <f t="shared" si="5"/>
        <v>0</v>
      </c>
      <c r="AY13" s="906"/>
      <c r="AZ13" s="906"/>
      <c r="BA13" s="906"/>
      <c r="BB13" s="906"/>
      <c r="BC13" s="906"/>
      <c r="BD13" s="906"/>
      <c r="BE13" s="906"/>
      <c r="BF13" s="906"/>
      <c r="BG13" s="906"/>
      <c r="BH13" s="906"/>
      <c r="BI13" s="906"/>
      <c r="BJ13" s="906"/>
      <c r="BK13" s="906"/>
      <c r="BL13" s="906"/>
      <c r="BM13" s="906"/>
      <c r="BN13" s="906"/>
      <c r="BO13" s="906"/>
      <c r="BP13" s="906"/>
      <c r="BQ13" s="906"/>
      <c r="BR13" s="906"/>
      <c r="BS13" s="906"/>
      <c r="BT13" s="906"/>
      <c r="BU13" s="906"/>
      <c r="BV13"/>
      <c r="BW13"/>
      <c r="BX13"/>
    </row>
    <row r="14" spans="1:76" ht="14.45">
      <c r="A14" s="761" t="str">
        <f>'CD Financial'!A54</f>
        <v>Land Closing Costs/commissions</v>
      </c>
      <c r="B14" s="901">
        <f>'CD Financial'!C54</f>
        <v>9843.6523500000003</v>
      </c>
      <c r="C14" s="767"/>
      <c r="D14" s="763"/>
      <c r="E14" s="763"/>
      <c r="F14" s="763"/>
      <c r="G14" s="268">
        <f>B14</f>
        <v>9843.6523500000003</v>
      </c>
      <c r="H14" s="763"/>
      <c r="I14" s="763"/>
      <c r="J14" s="763"/>
      <c r="K14" s="763"/>
      <c r="L14" s="763"/>
      <c r="M14" s="763"/>
      <c r="N14" s="763"/>
      <c r="O14" s="763"/>
      <c r="P14" s="763"/>
      <c r="Q14" s="763"/>
      <c r="R14" s="763"/>
      <c r="S14" s="763"/>
      <c r="T14" s="763"/>
      <c r="U14" s="763"/>
      <c r="V14" s="763"/>
      <c r="W14" s="763"/>
      <c r="X14" s="763"/>
      <c r="Y14" s="763"/>
      <c r="Z14" s="763"/>
      <c r="AA14" s="763"/>
      <c r="AB14" s="763"/>
      <c r="AC14" s="763"/>
      <c r="AD14" s="763"/>
      <c r="AE14" s="766"/>
      <c r="AF14" s="766"/>
      <c r="AG14" s="766"/>
      <c r="AH14" s="766"/>
      <c r="AI14" s="766"/>
      <c r="AJ14" s="766"/>
      <c r="AK14" s="859"/>
      <c r="AL14" s="860"/>
      <c r="AM14" s="766"/>
      <c r="AN14" s="766"/>
      <c r="AO14" s="766"/>
      <c r="AP14" s="859"/>
      <c r="AQ14" s="766"/>
      <c r="AR14" s="766"/>
      <c r="AS14" s="766"/>
      <c r="AT14" s="859"/>
      <c r="AU14" s="859"/>
      <c r="AV14" s="764">
        <f t="shared" si="1"/>
        <v>9843.6523500000003</v>
      </c>
      <c r="AW14" s="764">
        <f t="shared" si="3"/>
        <v>9843.6523500000003</v>
      </c>
      <c r="AX14" s="764">
        <f t="shared" si="5"/>
        <v>0</v>
      </c>
      <c r="AY14" s="780"/>
      <c r="AZ14" s="780"/>
      <c r="BA14" s="780"/>
      <c r="BB14" s="780"/>
      <c r="BC14" s="780"/>
      <c r="BD14" s="780"/>
      <c r="BE14" s="780"/>
      <c r="BF14" s="780"/>
      <c r="BG14" s="780"/>
      <c r="BH14" s="780"/>
      <c r="BI14" s="780"/>
      <c r="BJ14" s="780"/>
      <c r="BK14" s="780"/>
      <c r="BL14" s="780"/>
      <c r="BM14" s="780"/>
      <c r="BN14" s="780"/>
      <c r="BO14" s="780"/>
      <c r="BP14" s="780"/>
      <c r="BQ14" s="780"/>
      <c r="BR14" s="780"/>
      <c r="BS14" s="780"/>
      <c r="BT14" s="780"/>
      <c r="BU14" s="780"/>
      <c r="BV14"/>
      <c r="BW14"/>
      <c r="BX14"/>
    </row>
    <row r="15" spans="1:76" ht="14.45">
      <c r="A15" s="761" t="str">
        <f>'CD Financial'!A55</f>
        <v xml:space="preserve">Design </v>
      </c>
      <c r="B15" s="901">
        <f>'CD Financial'!C55</f>
        <v>974674.47355199989</v>
      </c>
      <c r="C15" s="763"/>
      <c r="D15" s="763"/>
      <c r="E15" s="763"/>
      <c r="F15" s="763"/>
      <c r="G15" s="763">
        <f>B15*0.1</f>
        <v>97467.447355199998</v>
      </c>
      <c r="H15" s="763">
        <f>$B$15*0.1</f>
        <v>97467.447355199998</v>
      </c>
      <c r="I15" s="763">
        <f t="shared" ref="I15:O15" si="9">$B$15*0.1</f>
        <v>97467.447355199998</v>
      </c>
      <c r="J15" s="763">
        <f t="shared" si="9"/>
        <v>97467.447355199998</v>
      </c>
      <c r="K15" s="763">
        <f t="shared" si="9"/>
        <v>97467.447355199998</v>
      </c>
      <c r="L15" s="763">
        <f t="shared" si="9"/>
        <v>97467.447355199998</v>
      </c>
      <c r="M15" s="763">
        <f t="shared" si="9"/>
        <v>97467.447355199998</v>
      </c>
      <c r="N15" s="763">
        <f t="shared" si="9"/>
        <v>97467.447355199998</v>
      </c>
      <c r="O15" s="763">
        <f t="shared" si="9"/>
        <v>97467.447355199998</v>
      </c>
      <c r="P15" s="763">
        <f>$B$15*0.05</f>
        <v>48733.723677599999</v>
      </c>
      <c r="Q15" s="763">
        <f>$B$15*0.05</f>
        <v>48733.723677599999</v>
      </c>
      <c r="R15" s="763"/>
      <c r="S15" s="763"/>
      <c r="T15" s="763"/>
      <c r="U15" s="763"/>
      <c r="V15" s="763"/>
      <c r="W15" s="763"/>
      <c r="X15" s="763"/>
      <c r="Y15" s="763"/>
      <c r="Z15" s="763"/>
      <c r="AA15" s="763"/>
      <c r="AB15" s="763"/>
      <c r="AC15" s="763"/>
      <c r="AD15" s="763"/>
      <c r="AE15" s="763"/>
      <c r="AF15" s="763"/>
      <c r="AG15" s="763"/>
      <c r="AH15" s="763"/>
      <c r="AI15" s="763"/>
      <c r="AJ15" s="763"/>
      <c r="AK15" s="763"/>
      <c r="AL15" s="763"/>
      <c r="AM15" s="763"/>
      <c r="AN15" s="763"/>
      <c r="AO15" s="763"/>
      <c r="AP15" s="763"/>
      <c r="AQ15" s="766"/>
      <c r="AR15" s="766"/>
      <c r="AS15" s="766"/>
      <c r="AT15" s="859"/>
      <c r="AU15" s="859"/>
      <c r="AV15" s="764">
        <f t="shared" si="1"/>
        <v>974674.47355199989</v>
      </c>
      <c r="AW15" s="764">
        <f t="shared" si="3"/>
        <v>974674.47355199989</v>
      </c>
      <c r="AX15" s="764">
        <f t="shared" si="5"/>
        <v>0</v>
      </c>
      <c r="AY15" s="780"/>
      <c r="AZ15" s="780"/>
      <c r="BA15" s="780"/>
      <c r="BB15" s="780"/>
      <c r="BC15" s="780"/>
      <c r="BD15" s="780"/>
      <c r="BE15" s="780"/>
      <c r="BF15" s="780"/>
      <c r="BG15" s="780"/>
      <c r="BH15" s="780"/>
      <c r="BI15" s="780"/>
      <c r="BJ15" s="780"/>
      <c r="BK15" s="780"/>
      <c r="BL15" s="780"/>
      <c r="BM15" s="780"/>
      <c r="BN15" s="780"/>
      <c r="BO15" s="780"/>
      <c r="BP15" s="780"/>
      <c r="BQ15" s="780"/>
      <c r="BR15" s="780"/>
      <c r="BS15" s="780"/>
      <c r="BT15" s="780"/>
      <c r="BU15" s="780"/>
      <c r="BV15"/>
      <c r="BW15"/>
      <c r="BX15"/>
    </row>
    <row r="16" spans="1:76" ht="14.45">
      <c r="A16" s="761" t="str">
        <f>'CD Financial'!A56</f>
        <v>Developer Fee</v>
      </c>
      <c r="B16" s="901">
        <f>'CD Financial'!C56</f>
        <v>929132.45471630991</v>
      </c>
      <c r="C16" s="763"/>
      <c r="D16" s="763"/>
      <c r="E16" s="763"/>
      <c r="F16" s="763"/>
      <c r="G16" s="763"/>
      <c r="H16" s="763"/>
      <c r="I16" s="763"/>
      <c r="J16" s="763"/>
      <c r="K16" s="763"/>
      <c r="L16" s="763"/>
      <c r="M16" s="763"/>
      <c r="N16" s="763"/>
      <c r="O16" s="763"/>
      <c r="P16" s="763"/>
      <c r="Q16" s="763"/>
      <c r="R16" s="763"/>
      <c r="S16" s="763">
        <f t="shared" si="4"/>
        <v>46456.622735815501</v>
      </c>
      <c r="T16" s="763">
        <f t="shared" si="2"/>
        <v>46456.622735815501</v>
      </c>
      <c r="U16" s="763">
        <f t="shared" si="2"/>
        <v>92913.245471631002</v>
      </c>
      <c r="V16" s="763">
        <f t="shared" si="2"/>
        <v>92913.245471631002</v>
      </c>
      <c r="W16" s="763">
        <f t="shared" si="2"/>
        <v>92913.245471631002</v>
      </c>
      <c r="X16" s="763">
        <f t="shared" si="2"/>
        <v>92913.245471631002</v>
      </c>
      <c r="Y16" s="763">
        <f t="shared" si="2"/>
        <v>92913.245471631002</v>
      </c>
      <c r="Z16" s="763">
        <f t="shared" si="2"/>
        <v>92913.245471631002</v>
      </c>
      <c r="AA16" s="763">
        <f t="shared" si="2"/>
        <v>92913.245471631002</v>
      </c>
      <c r="AB16" s="763">
        <f t="shared" si="2"/>
        <v>92913.245471631002</v>
      </c>
      <c r="AC16" s="763">
        <f t="shared" si="2"/>
        <v>46456.622735815501</v>
      </c>
      <c r="AD16" s="763">
        <f t="shared" si="2"/>
        <v>46456.622735815501</v>
      </c>
      <c r="AE16" s="763"/>
      <c r="AF16" s="763"/>
      <c r="AG16" s="763"/>
      <c r="AH16" s="763"/>
      <c r="AI16" s="763"/>
      <c r="AJ16" s="763"/>
      <c r="AK16" s="763"/>
      <c r="AL16" s="763"/>
      <c r="AM16" s="763"/>
      <c r="AN16" s="763"/>
      <c r="AO16" s="763"/>
      <c r="AP16" s="763"/>
      <c r="AQ16" s="763"/>
      <c r="AR16" s="763"/>
      <c r="AS16" s="763"/>
      <c r="AT16" s="861"/>
      <c r="AU16" s="861"/>
      <c r="AV16" s="764">
        <f t="shared" si="1"/>
        <v>929132.45471630991</v>
      </c>
      <c r="AW16" s="764">
        <f t="shared" si="3"/>
        <v>929132.45471630991</v>
      </c>
      <c r="AX16" s="764">
        <f t="shared" si="5"/>
        <v>0</v>
      </c>
      <c r="AY16" s="783"/>
      <c r="AZ16" s="783"/>
      <c r="BA16" s="783"/>
      <c r="BB16" s="783"/>
      <c r="BC16" s="783"/>
      <c r="BD16" s="783"/>
      <c r="BE16" s="783"/>
      <c r="BF16" s="783"/>
      <c r="BG16" s="783"/>
      <c r="BH16" s="783"/>
      <c r="BI16" s="783"/>
      <c r="BJ16" s="783"/>
      <c r="BK16" s="783"/>
      <c r="BL16" s="783"/>
      <c r="BM16" s="783"/>
      <c r="BN16" s="783"/>
      <c r="BO16" s="783"/>
      <c r="BP16" s="783"/>
      <c r="BQ16" s="783"/>
      <c r="BR16" s="783"/>
      <c r="BS16" s="783"/>
      <c r="BT16" s="783"/>
      <c r="BU16" s="783"/>
      <c r="BV16"/>
      <c r="BW16"/>
      <c r="BX16"/>
    </row>
    <row r="17" spans="1:76" ht="14.45">
      <c r="A17" s="761" t="str">
        <f>'CD Financial'!A57</f>
        <v>Construction Management Fee</v>
      </c>
      <c r="B17" s="901">
        <f>'CD Financial'!C57</f>
        <v>487337.23677599995</v>
      </c>
      <c r="C17" s="763"/>
      <c r="D17" s="763"/>
      <c r="E17" s="763"/>
      <c r="F17" s="763"/>
      <c r="G17" s="763"/>
      <c r="H17" s="763"/>
      <c r="I17" s="763"/>
      <c r="J17" s="763"/>
      <c r="K17" s="763"/>
      <c r="L17" s="763"/>
      <c r="M17" s="763"/>
      <c r="N17" s="763"/>
      <c r="O17" s="763"/>
      <c r="P17" s="763"/>
      <c r="Q17" s="763"/>
      <c r="R17" s="763"/>
      <c r="S17" s="763">
        <f t="shared" si="4"/>
        <v>24366.8618388</v>
      </c>
      <c r="T17" s="763">
        <f t="shared" si="2"/>
        <v>24366.8618388</v>
      </c>
      <c r="U17" s="763">
        <f t="shared" si="2"/>
        <v>48733.723677599999</v>
      </c>
      <c r="V17" s="763">
        <f t="shared" si="2"/>
        <v>48733.723677599999</v>
      </c>
      <c r="W17" s="763">
        <f t="shared" si="2"/>
        <v>48733.723677599999</v>
      </c>
      <c r="X17" s="763">
        <f t="shared" si="2"/>
        <v>48733.723677599999</v>
      </c>
      <c r="Y17" s="763">
        <f t="shared" si="2"/>
        <v>48733.723677599999</v>
      </c>
      <c r="Z17" s="763">
        <f t="shared" si="2"/>
        <v>48733.723677599999</v>
      </c>
      <c r="AA17" s="763">
        <f t="shared" si="2"/>
        <v>48733.723677599999</v>
      </c>
      <c r="AB17" s="763">
        <f t="shared" si="2"/>
        <v>48733.723677599999</v>
      </c>
      <c r="AC17" s="763">
        <f t="shared" si="2"/>
        <v>24366.8618388</v>
      </c>
      <c r="AD17" s="763">
        <f t="shared" si="2"/>
        <v>24366.8618388</v>
      </c>
      <c r="AE17" s="763"/>
      <c r="AF17" s="763"/>
      <c r="AG17" s="763"/>
      <c r="AH17" s="763"/>
      <c r="AI17" s="763"/>
      <c r="AJ17" s="763"/>
      <c r="AK17" s="763"/>
      <c r="AL17" s="763"/>
      <c r="AM17" s="763"/>
      <c r="AN17" s="763"/>
      <c r="AO17" s="763"/>
      <c r="AP17" s="763"/>
      <c r="AQ17" s="763"/>
      <c r="AR17" s="763"/>
      <c r="AS17" s="763"/>
      <c r="AT17" s="861"/>
      <c r="AU17" s="861"/>
      <c r="AV17" s="764">
        <f t="shared" si="1"/>
        <v>487337.23677599995</v>
      </c>
      <c r="AW17" s="764">
        <f t="shared" si="3"/>
        <v>487337.23677599995</v>
      </c>
      <c r="AX17" s="764">
        <f t="shared" si="5"/>
        <v>0</v>
      </c>
      <c r="AY17" s="783"/>
      <c r="AZ17" s="783"/>
      <c r="BA17" s="783"/>
      <c r="BB17" s="783"/>
      <c r="BC17" s="783"/>
      <c r="BD17" s="783"/>
      <c r="BE17" s="783"/>
      <c r="BF17" s="783"/>
      <c r="BG17" s="783"/>
      <c r="BH17" s="783"/>
      <c r="BI17" s="783"/>
      <c r="BJ17" s="783"/>
      <c r="BK17" s="783"/>
      <c r="BL17" s="783"/>
      <c r="BM17" s="783"/>
      <c r="BN17" s="783"/>
      <c r="BO17" s="783"/>
      <c r="BP17" s="783"/>
      <c r="BQ17" s="783"/>
      <c r="BR17" s="783"/>
      <c r="BS17" s="783"/>
      <c r="BT17" s="783"/>
      <c r="BU17" s="783"/>
      <c r="BV17"/>
      <c r="BW17"/>
      <c r="BX17"/>
    </row>
    <row r="18" spans="1:76" ht="14.45">
      <c r="A18" s="761" t="str">
        <f>'CD Financial'!A58</f>
        <v>Taxes</v>
      </c>
      <c r="B18" s="901">
        <f>'CD Financial'!C58</f>
        <v>39374.609400000001</v>
      </c>
      <c r="C18" s="767"/>
      <c r="D18" s="763"/>
      <c r="E18" s="763"/>
      <c r="F18" s="763"/>
      <c r="G18" s="766"/>
      <c r="H18" s="763"/>
      <c r="I18" s="763"/>
      <c r="J18" s="907"/>
      <c r="K18" s="763"/>
      <c r="L18" s="766"/>
      <c r="M18" s="763"/>
      <c r="N18" s="763"/>
      <c r="O18" s="763"/>
      <c r="P18" s="763"/>
      <c r="Q18" s="214"/>
      <c r="R18" s="763"/>
      <c r="S18" s="763">
        <f t="shared" si="4"/>
        <v>1968.7304700000002</v>
      </c>
      <c r="T18" s="763">
        <f t="shared" si="2"/>
        <v>1968.7304700000002</v>
      </c>
      <c r="U18" s="763">
        <f t="shared" si="2"/>
        <v>3937.4609400000004</v>
      </c>
      <c r="V18" s="763">
        <f t="shared" si="2"/>
        <v>3937.4609400000004</v>
      </c>
      <c r="W18" s="763">
        <f t="shared" si="2"/>
        <v>3937.4609400000004</v>
      </c>
      <c r="X18" s="763">
        <f t="shared" si="2"/>
        <v>3937.4609400000004</v>
      </c>
      <c r="Y18" s="763">
        <f t="shared" si="2"/>
        <v>3937.4609400000004</v>
      </c>
      <c r="Z18" s="763">
        <f t="shared" si="2"/>
        <v>3937.4609400000004</v>
      </c>
      <c r="AA18" s="763">
        <f t="shared" si="2"/>
        <v>3937.4609400000004</v>
      </c>
      <c r="AB18" s="763">
        <f t="shared" si="2"/>
        <v>3937.4609400000004</v>
      </c>
      <c r="AC18" s="763">
        <f t="shared" si="2"/>
        <v>1968.7304700000002</v>
      </c>
      <c r="AD18" s="763">
        <f t="shared" si="2"/>
        <v>1968.7304700000002</v>
      </c>
      <c r="AE18" s="214"/>
      <c r="AF18" s="763"/>
      <c r="AG18" s="214"/>
      <c r="AH18" s="763"/>
      <c r="AI18" s="766"/>
      <c r="AJ18" s="763"/>
      <c r="AK18" s="763"/>
      <c r="AL18" s="763"/>
      <c r="AM18" s="763"/>
      <c r="AN18" s="763"/>
      <c r="AO18" s="763"/>
      <c r="AP18" s="861"/>
      <c r="AQ18" s="763"/>
      <c r="AR18" s="763"/>
      <c r="AS18" s="763"/>
      <c r="AT18" s="861"/>
      <c r="AU18" s="861"/>
      <c r="AV18" s="764">
        <f t="shared" si="1"/>
        <v>39374.609400000008</v>
      </c>
      <c r="AW18" s="764">
        <f t="shared" si="3"/>
        <v>39374.609400000001</v>
      </c>
      <c r="AX18" s="764">
        <f t="shared" si="5"/>
        <v>0</v>
      </c>
      <c r="AY18" s="783"/>
      <c r="AZ18" s="783"/>
      <c r="BA18" s="783"/>
      <c r="BB18" s="783"/>
      <c r="BC18" s="783"/>
      <c r="BD18" s="783"/>
      <c r="BE18" s="783"/>
      <c r="BF18" s="783"/>
      <c r="BG18" s="783"/>
      <c r="BH18" s="783"/>
      <c r="BI18" s="783"/>
      <c r="BJ18" s="783"/>
      <c r="BK18" s="783"/>
      <c r="BL18" s="783"/>
      <c r="BM18" s="783"/>
      <c r="BN18" s="783"/>
      <c r="BO18" s="783"/>
      <c r="BP18" s="783"/>
      <c r="BQ18" s="783"/>
      <c r="BR18" s="783"/>
      <c r="BS18" s="783"/>
      <c r="BT18" s="783"/>
      <c r="BU18" s="783"/>
      <c r="BV18"/>
      <c r="BW18"/>
      <c r="BX18"/>
    </row>
    <row r="19" spans="1:76" ht="14.45">
      <c r="A19" s="761" t="str">
        <f>'CD Financial'!A59</f>
        <v>Insurance</v>
      </c>
      <c r="B19" s="901">
        <f>'CD Financial'!C59</f>
        <v>112786.69852118549</v>
      </c>
      <c r="C19" s="767"/>
      <c r="D19" s="214"/>
      <c r="E19" s="214"/>
      <c r="F19" s="763"/>
      <c r="G19" s="763"/>
      <c r="H19" s="763"/>
      <c r="I19" s="763"/>
      <c r="J19" s="214"/>
      <c r="K19" s="766"/>
      <c r="L19" s="766"/>
      <c r="M19" s="763"/>
      <c r="N19" s="763"/>
      <c r="O19" s="763"/>
      <c r="P19" s="767"/>
      <c r="Q19" s="763"/>
      <c r="R19" s="763"/>
      <c r="S19" s="763">
        <f t="shared" si="4"/>
        <v>5639.3349260592749</v>
      </c>
      <c r="T19" s="763">
        <f t="shared" si="2"/>
        <v>5639.3349260592749</v>
      </c>
      <c r="U19" s="763">
        <f t="shared" si="2"/>
        <v>11278.66985211855</v>
      </c>
      <c r="V19" s="763">
        <f t="shared" si="2"/>
        <v>11278.66985211855</v>
      </c>
      <c r="W19" s="763">
        <f t="shared" si="2"/>
        <v>11278.66985211855</v>
      </c>
      <c r="X19" s="763">
        <f t="shared" si="2"/>
        <v>11278.66985211855</v>
      </c>
      <c r="Y19" s="763">
        <f t="shared" si="2"/>
        <v>11278.66985211855</v>
      </c>
      <c r="Z19" s="763">
        <f t="shared" si="2"/>
        <v>11278.66985211855</v>
      </c>
      <c r="AA19" s="763">
        <f t="shared" si="2"/>
        <v>11278.66985211855</v>
      </c>
      <c r="AB19" s="763">
        <f t="shared" si="2"/>
        <v>11278.66985211855</v>
      </c>
      <c r="AC19" s="763">
        <f t="shared" si="2"/>
        <v>5639.3349260592749</v>
      </c>
      <c r="AD19" s="763">
        <f t="shared" si="2"/>
        <v>5639.3349260592749</v>
      </c>
      <c r="AE19" s="763"/>
      <c r="AF19" s="763"/>
      <c r="AG19" s="763"/>
      <c r="AH19" s="763"/>
      <c r="AI19" s="763"/>
      <c r="AJ19" s="763"/>
      <c r="AK19" s="861"/>
      <c r="AL19" s="862"/>
      <c r="AM19" s="763"/>
      <c r="AN19" s="763"/>
      <c r="AO19" s="763"/>
      <c r="AP19" s="861"/>
      <c r="AQ19" s="763"/>
      <c r="AR19" s="763"/>
      <c r="AS19" s="763"/>
      <c r="AT19" s="861"/>
      <c r="AU19" s="861"/>
      <c r="AV19" s="764">
        <f t="shared" si="1"/>
        <v>112786.69852118549</v>
      </c>
      <c r="AW19" s="764">
        <f t="shared" si="3"/>
        <v>112786.69852118549</v>
      </c>
      <c r="AX19" s="764">
        <f t="shared" si="5"/>
        <v>0</v>
      </c>
      <c r="AY19" s="783"/>
      <c r="AZ19" s="783"/>
      <c r="BA19" s="783"/>
      <c r="BB19" s="783"/>
      <c r="BC19" s="783"/>
      <c r="BD19" s="783"/>
      <c r="BE19" s="783"/>
      <c r="BF19" s="783"/>
      <c r="BG19" s="783"/>
      <c r="BH19" s="783"/>
      <c r="BI19" s="783"/>
      <c r="BJ19" s="783"/>
      <c r="BK19" s="783"/>
      <c r="BL19" s="783"/>
      <c r="BM19" s="783"/>
      <c r="BN19" s="783"/>
      <c r="BO19" s="783"/>
      <c r="BP19" s="783"/>
      <c r="BQ19" s="783"/>
      <c r="BR19" s="783"/>
      <c r="BS19" s="783"/>
      <c r="BT19" s="783"/>
      <c r="BU19" s="783"/>
      <c r="BV19"/>
      <c r="BW19"/>
      <c r="BX19"/>
    </row>
    <row r="20" spans="1:76" ht="14.45">
      <c r="A20" s="761" t="str">
        <f>'CD Financial'!A60</f>
        <v>Marketing, FFE and Preleasing</v>
      </c>
      <c r="B20" s="901">
        <f>'CD Financial'!C60</f>
        <v>750000</v>
      </c>
      <c r="C20" s="767"/>
      <c r="D20" s="763"/>
      <c r="E20" s="763"/>
      <c r="F20" s="763"/>
      <c r="G20" s="763"/>
      <c r="H20" s="763"/>
      <c r="I20" s="763"/>
      <c r="J20" s="763"/>
      <c r="K20" s="763"/>
      <c r="L20" s="763"/>
      <c r="M20" s="763"/>
      <c r="N20" s="763"/>
      <c r="O20" s="763"/>
      <c r="P20" s="763"/>
      <c r="Q20" s="763"/>
      <c r="R20" s="763"/>
      <c r="S20" s="763"/>
      <c r="T20" s="763"/>
      <c r="U20" s="763"/>
      <c r="V20" s="763"/>
      <c r="W20" s="763"/>
      <c r="X20" s="763"/>
      <c r="Y20" s="763"/>
      <c r="Z20" s="763"/>
      <c r="AA20" s="763"/>
      <c r="AB20" s="763"/>
      <c r="AC20" s="763"/>
      <c r="AD20" s="763"/>
      <c r="AE20" s="763">
        <f>$B20*0.15</f>
        <v>112500</v>
      </c>
      <c r="AF20" s="763">
        <f t="shared" ref="AF20:AI23" si="10">$B20*0.15</f>
        <v>112500</v>
      </c>
      <c r="AG20" s="763">
        <f t="shared" si="10"/>
        <v>112500</v>
      </c>
      <c r="AH20" s="763">
        <f t="shared" si="10"/>
        <v>112500</v>
      </c>
      <c r="AI20" s="763">
        <f t="shared" si="10"/>
        <v>112500</v>
      </c>
      <c r="AJ20" s="763">
        <f>$B20*0.25</f>
        <v>187500</v>
      </c>
      <c r="AK20" s="863"/>
      <c r="AL20" s="863"/>
      <c r="AM20" s="766"/>
      <c r="AN20" s="766"/>
      <c r="AO20" s="766"/>
      <c r="AP20" s="859"/>
      <c r="AQ20" s="766"/>
      <c r="AR20" s="766"/>
      <c r="AS20" s="766"/>
      <c r="AT20" s="859"/>
      <c r="AU20" s="859"/>
      <c r="AV20" s="764">
        <f t="shared" si="1"/>
        <v>750000</v>
      </c>
      <c r="AW20" s="764">
        <f t="shared" si="3"/>
        <v>750000</v>
      </c>
      <c r="AX20" s="764">
        <f t="shared" si="5"/>
        <v>0</v>
      </c>
      <c r="AY20" s="780"/>
      <c r="AZ20" s="780"/>
      <c r="BA20" s="780"/>
      <c r="BB20" s="780"/>
      <c r="BC20" s="780"/>
      <c r="BD20" s="780"/>
      <c r="BE20" s="780"/>
      <c r="BF20" s="780"/>
      <c r="BG20" s="780"/>
      <c r="BH20" s="780"/>
      <c r="BI20" s="780"/>
      <c r="BJ20" s="780"/>
      <c r="BK20" s="780"/>
      <c r="BL20" s="780"/>
      <c r="BM20" s="780"/>
      <c r="BN20" s="780"/>
      <c r="BO20" s="780"/>
      <c r="BP20" s="780"/>
      <c r="BQ20" s="780"/>
      <c r="BR20" s="780"/>
      <c r="BS20" s="780"/>
      <c r="BT20" s="780"/>
      <c r="BU20" s="780"/>
      <c r="BV20"/>
      <c r="BW20"/>
      <c r="BX20"/>
    </row>
    <row r="21" spans="1:76" ht="14.45">
      <c r="A21" s="761" t="str">
        <f>'CD Financial'!A61</f>
        <v>Operating Deficit</v>
      </c>
      <c r="B21" s="901">
        <f>'CD Financial'!C61</f>
        <v>588815.15700000001</v>
      </c>
      <c r="C21" s="767"/>
      <c r="D21" s="763"/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>
        <f>$B21*0.15</f>
        <v>88322.273549999998</v>
      </c>
      <c r="AF21" s="763">
        <f t="shared" si="10"/>
        <v>88322.273549999998</v>
      </c>
      <c r="AG21" s="763">
        <f t="shared" si="10"/>
        <v>88322.273549999998</v>
      </c>
      <c r="AH21" s="763">
        <f t="shared" si="10"/>
        <v>88322.273549999998</v>
      </c>
      <c r="AI21" s="763">
        <f t="shared" si="10"/>
        <v>88322.273549999998</v>
      </c>
      <c r="AJ21" s="763">
        <f>$B21*0.25</f>
        <v>147203.78925</v>
      </c>
      <c r="AK21" s="220"/>
      <c r="AL21" s="220"/>
      <c r="AM21" s="220"/>
      <c r="AN21" s="220"/>
      <c r="AO21" s="220"/>
      <c r="AP21" s="220"/>
      <c r="AQ21" s="766"/>
      <c r="AR21" s="767"/>
      <c r="AS21" s="863"/>
      <c r="AT21" s="863"/>
      <c r="AU21" s="863"/>
      <c r="AV21" s="764">
        <f t="shared" si="1"/>
        <v>588815.15700000001</v>
      </c>
      <c r="AW21" s="764">
        <f t="shared" si="3"/>
        <v>588815.15700000001</v>
      </c>
      <c r="AX21" s="764">
        <f t="shared" si="5"/>
        <v>0</v>
      </c>
      <c r="AY21" s="780"/>
      <c r="AZ21" s="780"/>
      <c r="BA21" s="780"/>
      <c r="BB21" s="780"/>
      <c r="BC21" s="780"/>
      <c r="BD21" s="780"/>
      <c r="BE21" s="780"/>
      <c r="BF21" s="780"/>
      <c r="BG21" s="780"/>
      <c r="BH21" s="780"/>
      <c r="BI21" s="780"/>
      <c r="BJ21" s="780"/>
      <c r="BK21" s="780"/>
      <c r="BL21" s="780"/>
      <c r="BM21" s="780"/>
      <c r="BN21" s="780"/>
      <c r="BO21" s="780"/>
      <c r="BP21" s="780"/>
      <c r="BQ21" s="780"/>
      <c r="BR21" s="780"/>
      <c r="BS21" s="780"/>
      <c r="BT21" s="780"/>
      <c r="BU21" s="780"/>
      <c r="BV21"/>
      <c r="BW21"/>
      <c r="BX21"/>
    </row>
    <row r="22" spans="1:76" ht="14.45">
      <c r="A22" s="761" t="str">
        <f>'CD Financial'!A62</f>
        <v>Retail Tenant Improvements</v>
      </c>
      <c r="B22" s="901">
        <f>'CD Financial'!C62</f>
        <v>1217055.1499999999</v>
      </c>
      <c r="C22" s="767"/>
      <c r="D22" s="763"/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>
        <f>$B22*0.15</f>
        <v>182558.27249999999</v>
      </c>
      <c r="AF22" s="763">
        <f t="shared" si="10"/>
        <v>182558.27249999999</v>
      </c>
      <c r="AG22" s="763">
        <f t="shared" si="10"/>
        <v>182558.27249999999</v>
      </c>
      <c r="AH22" s="763">
        <f t="shared" si="10"/>
        <v>182558.27249999999</v>
      </c>
      <c r="AI22" s="763">
        <f t="shared" si="10"/>
        <v>182558.27249999999</v>
      </c>
      <c r="AJ22" s="763">
        <f>$B22*0.25</f>
        <v>304263.78749999998</v>
      </c>
      <c r="AK22" s="866"/>
      <c r="AL22" s="860"/>
      <c r="AM22" s="766"/>
      <c r="AN22" s="766"/>
      <c r="AO22" s="766"/>
      <c r="AP22" s="859"/>
      <c r="AQ22" s="766"/>
      <c r="AR22" s="766"/>
      <c r="AS22" s="766"/>
      <c r="AT22" s="859"/>
      <c r="AU22" s="859"/>
      <c r="AV22" s="764">
        <f t="shared" si="1"/>
        <v>1217055.1499999999</v>
      </c>
      <c r="AW22" s="764">
        <f t="shared" si="3"/>
        <v>1217055.1499999999</v>
      </c>
      <c r="AX22" s="764">
        <f t="shared" si="5"/>
        <v>0</v>
      </c>
      <c r="AY22" s="780"/>
      <c r="AZ22" s="780"/>
      <c r="BA22" s="780"/>
      <c r="BB22" s="780"/>
      <c r="BC22" s="780"/>
      <c r="BD22" s="780"/>
      <c r="BE22" s="780"/>
      <c r="BF22" s="780"/>
      <c r="BG22" s="780"/>
      <c r="BH22" s="780"/>
      <c r="BI22" s="780"/>
      <c r="BJ22" s="780"/>
      <c r="BK22" s="780"/>
      <c r="BL22" s="780"/>
      <c r="BM22" s="780"/>
      <c r="BN22" s="780"/>
      <c r="BO22" s="780"/>
      <c r="BP22" s="780"/>
      <c r="BQ22" s="780"/>
      <c r="BR22" s="780"/>
      <c r="BS22" s="780"/>
      <c r="BT22" s="780"/>
      <c r="BU22" s="780"/>
      <c r="BV22"/>
      <c r="BW22"/>
      <c r="BX22"/>
    </row>
    <row r="23" spans="1:76" ht="14.45">
      <c r="A23" s="761" t="str">
        <f>'CD Financial'!A63</f>
        <v>Retail brokerage</v>
      </c>
      <c r="B23" s="901">
        <f>'CD Financial'!C63</f>
        <v>243411.03</v>
      </c>
      <c r="C23" s="767"/>
      <c r="D23" s="763"/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>
        <f>$B23*0.15</f>
        <v>36511.654499999997</v>
      </c>
      <c r="AF23" s="763">
        <f t="shared" si="10"/>
        <v>36511.654499999997</v>
      </c>
      <c r="AG23" s="763">
        <f t="shared" si="10"/>
        <v>36511.654499999997</v>
      </c>
      <c r="AH23" s="763">
        <f t="shared" si="10"/>
        <v>36511.654499999997</v>
      </c>
      <c r="AI23" s="763">
        <f t="shared" si="10"/>
        <v>36511.654499999997</v>
      </c>
      <c r="AJ23" s="763">
        <f>$B23*0.25</f>
        <v>60852.7575</v>
      </c>
      <c r="AK23" s="861"/>
      <c r="AL23" s="860"/>
      <c r="AM23" s="766"/>
      <c r="AN23" s="763"/>
      <c r="AO23" s="763"/>
      <c r="AP23" s="861"/>
      <c r="AQ23" s="763"/>
      <c r="AR23" s="763"/>
      <c r="AS23" s="763"/>
      <c r="AT23" s="861"/>
      <c r="AU23" s="861"/>
      <c r="AV23" s="764">
        <f t="shared" si="1"/>
        <v>243411.03</v>
      </c>
      <c r="AW23" s="764">
        <f t="shared" si="3"/>
        <v>243411.03</v>
      </c>
      <c r="AX23" s="764">
        <f t="shared" si="5"/>
        <v>0</v>
      </c>
      <c r="AY23" s="783"/>
      <c r="AZ23" s="783"/>
      <c r="BA23" s="783"/>
      <c r="BB23" s="783"/>
      <c r="BC23" s="783"/>
      <c r="BD23" s="783"/>
      <c r="BE23" s="783"/>
      <c r="BF23" s="783"/>
      <c r="BG23" s="783"/>
      <c r="BH23" s="783"/>
      <c r="BI23" s="783"/>
      <c r="BJ23" s="783"/>
      <c r="BK23" s="783"/>
      <c r="BL23" s="783"/>
      <c r="BM23" s="783"/>
      <c r="BN23" s="783"/>
      <c r="BO23" s="783"/>
      <c r="BP23" s="783"/>
      <c r="BQ23" s="783"/>
      <c r="BR23" s="783"/>
      <c r="BS23" s="783"/>
      <c r="BT23" s="783"/>
      <c r="BU23" s="783"/>
      <c r="BV23"/>
      <c r="BW23"/>
      <c r="BX23"/>
    </row>
    <row r="24" spans="1:76" ht="14.45">
      <c r="A24" s="761" t="str">
        <f>'CD Financial'!A64</f>
        <v>Construction Loan Origination</v>
      </c>
      <c r="B24" s="901">
        <f>'CD Financial'!C64</f>
        <v>318045</v>
      </c>
      <c r="C24" s="763"/>
      <c r="D24" s="763"/>
      <c r="E24" s="763"/>
      <c r="F24" s="763"/>
      <c r="G24" s="763"/>
      <c r="H24" s="763"/>
      <c r="I24" s="763"/>
      <c r="J24" s="763"/>
      <c r="K24" s="763"/>
      <c r="L24" s="763"/>
      <c r="M24" s="214"/>
      <c r="N24" s="763"/>
      <c r="O24" s="763"/>
      <c r="P24" s="763"/>
      <c r="Q24" s="763"/>
      <c r="R24" s="763"/>
      <c r="S24" s="763">
        <f>B24</f>
        <v>318045</v>
      </c>
      <c r="T24" s="763"/>
      <c r="U24" s="763"/>
      <c r="V24" s="763"/>
      <c r="W24" s="763"/>
      <c r="X24" s="763"/>
      <c r="Y24" s="763"/>
      <c r="Z24" s="763"/>
      <c r="AA24" s="763"/>
      <c r="AB24" s="763"/>
      <c r="AC24" s="763"/>
      <c r="AD24" s="763"/>
      <c r="AE24" s="763"/>
      <c r="AF24" s="763"/>
      <c r="AG24" s="763"/>
      <c r="AH24" s="763"/>
      <c r="AI24" s="763"/>
      <c r="AJ24" s="763"/>
      <c r="AK24" s="861"/>
      <c r="AL24" s="862"/>
      <c r="AM24" s="763"/>
      <c r="AN24" s="763"/>
      <c r="AO24" s="763"/>
      <c r="AP24" s="861"/>
      <c r="AQ24" s="763"/>
      <c r="AR24" s="763"/>
      <c r="AS24" s="763"/>
      <c r="AT24" s="861"/>
      <c r="AU24" s="861"/>
      <c r="AV24" s="764">
        <f t="shared" si="1"/>
        <v>318045</v>
      </c>
      <c r="AW24" s="764">
        <f t="shared" si="3"/>
        <v>318045</v>
      </c>
      <c r="AX24" s="764">
        <f t="shared" si="5"/>
        <v>0</v>
      </c>
      <c r="AY24" s="783"/>
      <c r="AZ24" s="783"/>
      <c r="BA24" s="783"/>
      <c r="BB24" s="783"/>
      <c r="BC24" s="783"/>
      <c r="BD24" s="783"/>
      <c r="BE24" s="783"/>
      <c r="BF24" s="783"/>
      <c r="BG24" s="783"/>
      <c r="BH24" s="783"/>
      <c r="BI24" s="783"/>
      <c r="BJ24" s="783"/>
      <c r="BK24" s="783"/>
      <c r="BL24" s="783"/>
      <c r="BM24" s="783"/>
      <c r="BN24" s="783"/>
      <c r="BO24" s="783"/>
      <c r="BP24" s="783"/>
      <c r="BQ24" s="783"/>
      <c r="BR24" s="783"/>
      <c r="BS24" s="783"/>
      <c r="BT24" s="783"/>
      <c r="BU24" s="783"/>
      <c r="BV24"/>
      <c r="BW24"/>
      <c r="BX24"/>
    </row>
    <row r="25" spans="1:76" ht="14.45">
      <c r="A25" s="761" t="str">
        <f>'CD Financial'!A65</f>
        <v>Construction Interest</v>
      </c>
      <c r="B25" s="901">
        <f>'CD Financial'!C65</f>
        <v>1484210.0000000002</v>
      </c>
      <c r="C25" s="773"/>
      <c r="D25" s="763"/>
      <c r="E25" s="763"/>
      <c r="F25" s="763"/>
      <c r="G25" s="763"/>
      <c r="H25" s="763"/>
      <c r="I25" s="763"/>
      <c r="J25" s="763"/>
      <c r="K25" s="763"/>
      <c r="L25" s="763"/>
      <c r="M25" s="763"/>
      <c r="N25" s="763"/>
      <c r="O25" s="763"/>
      <c r="P25" s="763"/>
      <c r="Q25" s="763"/>
      <c r="R25" s="763"/>
      <c r="S25" s="763">
        <f t="shared" si="4"/>
        <v>74210.500000000015</v>
      </c>
      <c r="T25" s="763">
        <f t="shared" si="4"/>
        <v>74210.500000000015</v>
      </c>
      <c r="U25" s="763">
        <f t="shared" si="4"/>
        <v>148421.00000000003</v>
      </c>
      <c r="V25" s="763">
        <f t="shared" si="4"/>
        <v>148421.00000000003</v>
      </c>
      <c r="W25" s="763">
        <f t="shared" si="4"/>
        <v>148421.00000000003</v>
      </c>
      <c r="X25" s="763">
        <f t="shared" si="4"/>
        <v>148421.00000000003</v>
      </c>
      <c r="Y25" s="763">
        <f t="shared" si="4"/>
        <v>148421.00000000003</v>
      </c>
      <c r="Z25" s="763">
        <f t="shared" si="4"/>
        <v>148421.00000000003</v>
      </c>
      <c r="AA25" s="763">
        <f t="shared" si="4"/>
        <v>148421.00000000003</v>
      </c>
      <c r="AB25" s="763">
        <f t="shared" si="4"/>
        <v>148421.00000000003</v>
      </c>
      <c r="AC25" s="763">
        <f t="shared" si="4"/>
        <v>74210.500000000015</v>
      </c>
      <c r="AD25" s="763">
        <f t="shared" si="4"/>
        <v>74210.500000000015</v>
      </c>
      <c r="AE25" s="763"/>
      <c r="AF25" s="763"/>
      <c r="AG25" s="763"/>
      <c r="AH25" s="763"/>
      <c r="AI25" s="763"/>
      <c r="AJ25" s="763"/>
      <c r="AK25" s="763"/>
      <c r="AL25" s="763"/>
      <c r="AM25" s="763"/>
      <c r="AN25" s="763"/>
      <c r="AO25" s="763"/>
      <c r="AP25" s="763"/>
      <c r="AQ25" s="763"/>
      <c r="AR25" s="763"/>
      <c r="AS25" s="214"/>
      <c r="AT25" s="763"/>
      <c r="AU25" s="763"/>
      <c r="AV25" s="764">
        <f t="shared" si="1"/>
        <v>1484210.0000000002</v>
      </c>
      <c r="AW25" s="764">
        <f t="shared" si="3"/>
        <v>1484210.0000000002</v>
      </c>
      <c r="AX25" s="764">
        <f t="shared" si="5"/>
        <v>0</v>
      </c>
      <c r="AY25" s="764"/>
      <c r="AZ25" s="764"/>
      <c r="BA25" s="764"/>
      <c r="BB25" s="764"/>
      <c r="BC25" s="764"/>
      <c r="BD25" s="764"/>
      <c r="BE25" s="764"/>
      <c r="BF25" s="764"/>
      <c r="BG25" s="764"/>
      <c r="BH25" s="764"/>
      <c r="BI25" s="764"/>
      <c r="BJ25" s="764"/>
      <c r="BK25" s="764"/>
      <c r="BL25" s="764"/>
      <c r="BM25" s="764"/>
      <c r="BN25" s="764"/>
      <c r="BO25" s="764"/>
      <c r="BP25" s="764"/>
      <c r="BQ25" s="764"/>
      <c r="BR25" s="764"/>
      <c r="BS25" s="764"/>
      <c r="BT25" s="764"/>
      <c r="BU25" s="764"/>
      <c r="BV25"/>
      <c r="BW25"/>
      <c r="BX25"/>
    </row>
    <row r="26" spans="1:76" ht="15" thickBot="1">
      <c r="A26" s="908" t="str">
        <f>'CD Financial'!A66</f>
        <v>Additional Contingency</v>
      </c>
      <c r="B26" s="776">
        <f>'CD Financial'!C66</f>
        <v>0</v>
      </c>
      <c r="C26" s="775"/>
      <c r="D26" s="775"/>
      <c r="E26" s="775"/>
      <c r="F26" s="775"/>
      <c r="G26" s="775"/>
      <c r="H26" s="775"/>
      <c r="I26" s="775"/>
      <c r="J26" s="775"/>
      <c r="K26" s="775"/>
      <c r="L26" s="775"/>
      <c r="M26" s="775"/>
      <c r="N26" s="775"/>
      <c r="O26" s="775"/>
      <c r="P26" s="775"/>
      <c r="Q26" s="775"/>
      <c r="R26" s="775"/>
      <c r="S26" s="763">
        <f t="shared" si="4"/>
        <v>0</v>
      </c>
      <c r="T26" s="763">
        <f t="shared" si="4"/>
        <v>0</v>
      </c>
      <c r="U26" s="763">
        <f t="shared" si="4"/>
        <v>0</v>
      </c>
      <c r="V26" s="763">
        <f t="shared" si="4"/>
        <v>0</v>
      </c>
      <c r="W26" s="763">
        <f t="shared" si="4"/>
        <v>0</v>
      </c>
      <c r="X26" s="763">
        <f t="shared" si="4"/>
        <v>0</v>
      </c>
      <c r="Y26" s="763">
        <f t="shared" si="4"/>
        <v>0</v>
      </c>
      <c r="Z26" s="763">
        <f t="shared" si="4"/>
        <v>0</v>
      </c>
      <c r="AA26" s="763">
        <f t="shared" si="4"/>
        <v>0</v>
      </c>
      <c r="AB26" s="763">
        <f t="shared" si="4"/>
        <v>0</v>
      </c>
      <c r="AC26" s="763">
        <f t="shared" si="4"/>
        <v>0</v>
      </c>
      <c r="AD26" s="763">
        <f t="shared" si="4"/>
        <v>0</v>
      </c>
      <c r="AE26" s="775"/>
      <c r="AF26" s="775"/>
      <c r="AG26" s="775"/>
      <c r="AH26" s="775"/>
      <c r="AI26" s="775"/>
      <c r="AJ26" s="775"/>
      <c r="AK26" s="775"/>
      <c r="AL26" s="775"/>
      <c r="AM26" s="868"/>
      <c r="AN26" s="868"/>
      <c r="AO26" s="868"/>
      <c r="AP26" s="868"/>
      <c r="AQ26" s="869"/>
      <c r="AR26" s="869"/>
      <c r="AS26" s="909"/>
      <c r="AT26" s="222"/>
      <c r="AU26" s="222"/>
      <c r="AV26" s="776">
        <f t="shared" si="1"/>
        <v>0</v>
      </c>
      <c r="AW26" s="764">
        <f t="shared" si="3"/>
        <v>0</v>
      </c>
      <c r="AX26" s="764">
        <f t="shared" si="5"/>
        <v>0</v>
      </c>
      <c r="AY26" s="910"/>
      <c r="AZ26" s="910"/>
      <c r="BA26" s="910"/>
      <c r="BB26" s="910"/>
      <c r="BC26" s="910"/>
      <c r="BD26" s="910"/>
      <c r="BE26" s="910"/>
      <c r="BF26" s="910"/>
      <c r="BG26" s="910"/>
      <c r="BH26" s="910"/>
      <c r="BI26" s="910"/>
      <c r="BJ26" s="910"/>
      <c r="BK26" s="910"/>
      <c r="BL26" s="910"/>
      <c r="BM26" s="910"/>
      <c r="BN26" s="910"/>
      <c r="BO26" s="910"/>
      <c r="BP26" s="910"/>
      <c r="BQ26" s="910"/>
      <c r="BR26" s="910"/>
      <c r="BS26" s="910"/>
      <c r="BT26" s="910"/>
      <c r="BU26" s="910"/>
      <c r="BV26"/>
      <c r="BW26"/>
      <c r="BX26"/>
    </row>
    <row r="27" spans="1:76" ht="15.6" thickTop="1" thickBot="1">
      <c r="A27" s="911" t="str">
        <f>'A Financial'!A57</f>
        <v>Total Project Cost</v>
      </c>
      <c r="B27" s="912">
        <f t="shared" ref="B27:AJ27" si="11">SUM(B5:B26)</f>
        <v>37141249.160290495</v>
      </c>
      <c r="C27" s="128">
        <f t="shared" si="11"/>
        <v>0</v>
      </c>
      <c r="D27" s="128">
        <f t="shared" si="11"/>
        <v>0</v>
      </c>
      <c r="E27" s="128">
        <f t="shared" si="11"/>
        <v>0</v>
      </c>
      <c r="F27" s="128">
        <f t="shared" si="11"/>
        <v>0</v>
      </c>
      <c r="G27" s="128">
        <f t="shared" si="11"/>
        <v>763554.58970519993</v>
      </c>
      <c r="H27" s="128">
        <f t="shared" si="11"/>
        <v>97467.447355199998</v>
      </c>
      <c r="I27" s="128">
        <f t="shared" si="11"/>
        <v>97467.447355199998</v>
      </c>
      <c r="J27" s="128">
        <f t="shared" si="11"/>
        <v>97467.447355199998</v>
      </c>
      <c r="K27" s="128">
        <f t="shared" si="11"/>
        <v>97467.447355199998</v>
      </c>
      <c r="L27" s="128">
        <f t="shared" si="11"/>
        <v>97467.447355199998</v>
      </c>
      <c r="M27" s="128">
        <f t="shared" si="11"/>
        <v>97467.447355199998</v>
      </c>
      <c r="N27" s="128">
        <f t="shared" si="11"/>
        <v>97467.447355199998</v>
      </c>
      <c r="O27" s="128">
        <f t="shared" si="11"/>
        <v>97467.447355199998</v>
      </c>
      <c r="P27" s="128">
        <f t="shared" si="11"/>
        <v>48733.723677599999</v>
      </c>
      <c r="Q27" s="128">
        <f t="shared" si="11"/>
        <v>48733.723677599999</v>
      </c>
      <c r="R27" s="128">
        <f t="shared" si="11"/>
        <v>0</v>
      </c>
      <c r="S27" s="128">
        <f t="shared" si="11"/>
        <v>2004274.1061769247</v>
      </c>
      <c r="T27" s="128">
        <f t="shared" si="11"/>
        <v>1615628.0053269248</v>
      </c>
      <c r="U27" s="128">
        <f t="shared" si="11"/>
        <v>3231256.0106538497</v>
      </c>
      <c r="V27" s="128">
        <f t="shared" si="11"/>
        <v>3231256.0106538497</v>
      </c>
      <c r="W27" s="128">
        <f t="shared" si="11"/>
        <v>3231256.0106538497</v>
      </c>
      <c r="X27" s="128">
        <f t="shared" si="11"/>
        <v>3231256.0106538497</v>
      </c>
      <c r="Y27" s="128">
        <f t="shared" si="11"/>
        <v>3231256.0106538497</v>
      </c>
      <c r="Z27" s="128">
        <f t="shared" si="11"/>
        <v>3231256.0106538497</v>
      </c>
      <c r="AA27" s="128">
        <f t="shared" si="11"/>
        <v>3231256.0106538497</v>
      </c>
      <c r="AB27" s="128">
        <f t="shared" si="11"/>
        <v>3231256.0106538497</v>
      </c>
      <c r="AC27" s="128">
        <f t="shared" si="11"/>
        <v>1615628.0053269248</v>
      </c>
      <c r="AD27" s="128">
        <f t="shared" si="11"/>
        <v>1615628.0053269248</v>
      </c>
      <c r="AE27" s="128">
        <f t="shared" si="11"/>
        <v>419892.20055000001</v>
      </c>
      <c r="AF27" s="128">
        <f t="shared" si="11"/>
        <v>419892.20055000001</v>
      </c>
      <c r="AG27" s="128">
        <f t="shared" si="11"/>
        <v>419892.20055000001</v>
      </c>
      <c r="AH27" s="128">
        <f t="shared" si="11"/>
        <v>419892.20055000001</v>
      </c>
      <c r="AI27" s="128">
        <f t="shared" si="11"/>
        <v>419892.20055000001</v>
      </c>
      <c r="AJ27" s="128">
        <f t="shared" si="11"/>
        <v>699820.33424999996</v>
      </c>
      <c r="AK27" s="128"/>
      <c r="AL27" s="128"/>
      <c r="AM27" s="128"/>
      <c r="AN27" s="128"/>
      <c r="AO27" s="128"/>
      <c r="AP27" s="128"/>
      <c r="AQ27" s="128"/>
      <c r="AR27" s="121"/>
      <c r="AS27" s="122"/>
      <c r="AT27" s="123"/>
      <c r="AU27" s="123"/>
      <c r="AV27" s="125">
        <f>SUM(AV5:AV26)</f>
        <v>37141249.160290495</v>
      </c>
      <c r="AW27" s="124">
        <f>SUM(AW5:AW26)</f>
        <v>37141249.160290495</v>
      </c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/>
      <c r="BW27"/>
      <c r="BX27"/>
    </row>
    <row r="28" spans="1:76" ht="14.45">
      <c r="A28" s="126" t="s">
        <v>346</v>
      </c>
      <c r="B28" s="149">
        <f>IF('CD Financial'!B75&lt;0,'CD Financial'!B75,0)</f>
        <v>0</v>
      </c>
      <c r="C28" s="913"/>
      <c r="D28" s="793"/>
      <c r="E28" s="793"/>
      <c r="F28" s="793"/>
      <c r="G28" s="793"/>
      <c r="H28" s="793"/>
      <c r="I28" s="793"/>
      <c r="J28" s="793"/>
      <c r="K28" s="793"/>
      <c r="L28" s="793"/>
      <c r="M28" s="793"/>
      <c r="N28" s="793"/>
      <c r="O28" s="793"/>
      <c r="P28" s="793"/>
      <c r="Q28" s="793"/>
      <c r="R28" s="793"/>
      <c r="S28" s="793"/>
      <c r="T28" s="793"/>
      <c r="U28" s="793"/>
      <c r="V28" s="793"/>
      <c r="W28" s="793"/>
      <c r="X28" s="793"/>
      <c r="Y28" s="793"/>
      <c r="Z28" s="791"/>
      <c r="AA28" s="791"/>
      <c r="AB28" s="791"/>
      <c r="AC28" s="791"/>
      <c r="AD28" s="791"/>
      <c r="AE28" s="791"/>
      <c r="AF28" s="791"/>
      <c r="AG28" s="791"/>
      <c r="AH28" s="793"/>
      <c r="AI28" s="793"/>
      <c r="AJ28" s="793"/>
      <c r="AK28" s="913"/>
      <c r="AL28" s="914"/>
      <c r="AM28" s="793"/>
      <c r="AN28" s="793"/>
      <c r="AO28" s="793"/>
      <c r="AP28" s="913"/>
      <c r="AQ28" s="793"/>
      <c r="AR28" s="793"/>
      <c r="AS28" s="162"/>
      <c r="AT28" s="163"/>
      <c r="AU28" s="163"/>
      <c r="AV28" s="913"/>
      <c r="AW28" s="913"/>
      <c r="AX28" s="780"/>
      <c r="AY28" s="780"/>
      <c r="AZ28" s="780"/>
      <c r="BA28" s="780"/>
      <c r="BB28" s="780"/>
      <c r="BC28" s="780"/>
      <c r="BD28" s="780"/>
      <c r="BE28" s="780"/>
      <c r="BF28" s="780"/>
      <c r="BG28" s="780"/>
      <c r="BH28" s="780"/>
      <c r="BI28" s="780"/>
      <c r="BJ28" s="780"/>
      <c r="BK28" s="780"/>
      <c r="BL28" s="780"/>
      <c r="BM28" s="780"/>
      <c r="BN28" s="780"/>
      <c r="BO28" s="780"/>
      <c r="BP28" s="780"/>
      <c r="BQ28" s="780"/>
      <c r="BR28" s="780"/>
      <c r="BS28" s="780"/>
      <c r="BT28" s="780"/>
      <c r="BU28" s="780"/>
      <c r="BV28"/>
      <c r="BW28"/>
      <c r="BX28"/>
    </row>
    <row r="29" spans="1:76" ht="15" thickBot="1">
      <c r="A29" s="778" t="s">
        <v>347</v>
      </c>
      <c r="B29" s="915">
        <f>B27+B28</f>
        <v>37141249.160290495</v>
      </c>
      <c r="C29" s="164"/>
      <c r="D29" s="916"/>
      <c r="E29" s="916"/>
      <c r="F29" s="916"/>
      <c r="G29" s="916"/>
      <c r="H29" s="916"/>
      <c r="I29" s="916"/>
      <c r="J29" s="916"/>
      <c r="K29" s="916"/>
      <c r="L29" s="916"/>
      <c r="M29" s="916"/>
      <c r="N29" s="916"/>
      <c r="O29" s="916"/>
      <c r="P29" s="916"/>
      <c r="Q29" s="916"/>
      <c r="R29" s="916"/>
      <c r="S29" s="916"/>
      <c r="T29" s="916"/>
      <c r="U29" s="916"/>
      <c r="V29" s="916"/>
      <c r="W29" s="916"/>
      <c r="X29" s="916"/>
      <c r="Y29" s="916"/>
      <c r="Z29" s="917"/>
      <c r="AA29" s="917"/>
      <c r="AB29" s="917"/>
      <c r="AC29" s="917"/>
      <c r="AD29" s="917"/>
      <c r="AE29" s="917"/>
      <c r="AF29" s="917"/>
      <c r="AG29" s="917"/>
      <c r="AH29" s="916"/>
      <c r="AI29" s="916"/>
      <c r="AJ29" s="916"/>
      <c r="AK29" s="164"/>
      <c r="AL29" s="918"/>
      <c r="AM29" s="916"/>
      <c r="AN29" s="916"/>
      <c r="AO29" s="916"/>
      <c r="AP29" s="164"/>
      <c r="AQ29" s="916"/>
      <c r="AR29" s="916"/>
      <c r="AS29" s="919"/>
      <c r="AT29" s="165"/>
      <c r="AU29" s="165"/>
      <c r="AV29" s="913"/>
      <c r="AW29" s="913"/>
      <c r="AX29" s="780"/>
      <c r="AY29" s="780"/>
      <c r="AZ29" s="780"/>
      <c r="BA29" s="780"/>
      <c r="BB29" s="780"/>
      <c r="BC29" s="780"/>
      <c r="BD29" s="780"/>
      <c r="BE29" s="780"/>
      <c r="BF29" s="780"/>
      <c r="BG29" s="780"/>
      <c r="BH29" s="780"/>
      <c r="BI29" s="780"/>
      <c r="BJ29" s="780"/>
      <c r="BK29" s="780"/>
      <c r="BL29" s="780"/>
      <c r="BM29" s="780"/>
      <c r="BN29" s="780"/>
      <c r="BO29" s="780"/>
      <c r="BP29" s="780"/>
      <c r="BQ29" s="780"/>
      <c r="BR29" s="780"/>
      <c r="BS29" s="780"/>
      <c r="BT29" s="780"/>
      <c r="BU29" s="780"/>
      <c r="BV29"/>
      <c r="BW29"/>
      <c r="BX29"/>
    </row>
    <row r="30" spans="1:76" ht="14.45">
      <c r="A30" s="130" t="s">
        <v>348</v>
      </c>
      <c r="B30" s="166">
        <f>SUM(C30:AS30)</f>
        <v>14856000</v>
      </c>
      <c r="C30" s="167">
        <f>C27</f>
        <v>0</v>
      </c>
      <c r="D30" s="167">
        <f t="shared" ref="D30:AF30" si="12">IF(C31+D27&lt;=$B$31,D27,($B$31-C31))</f>
        <v>0</v>
      </c>
      <c r="E30" s="167">
        <f t="shared" si="12"/>
        <v>0</v>
      </c>
      <c r="F30" s="167">
        <f t="shared" si="12"/>
        <v>0</v>
      </c>
      <c r="G30" s="167">
        <f t="shared" si="12"/>
        <v>763554.58970519993</v>
      </c>
      <c r="H30" s="167">
        <f t="shared" si="12"/>
        <v>97467.447355199998</v>
      </c>
      <c r="I30" s="167">
        <f t="shared" si="12"/>
        <v>97467.447355199998</v>
      </c>
      <c r="J30" s="167">
        <f t="shared" si="12"/>
        <v>97467.447355199998</v>
      </c>
      <c r="K30" s="167">
        <f t="shared" si="12"/>
        <v>97467.447355199998</v>
      </c>
      <c r="L30" s="167">
        <f t="shared" si="12"/>
        <v>97467.447355199998</v>
      </c>
      <c r="M30" s="167">
        <f t="shared" si="12"/>
        <v>97467.447355199998</v>
      </c>
      <c r="N30" s="167">
        <f t="shared" si="12"/>
        <v>97467.447355199998</v>
      </c>
      <c r="O30" s="167">
        <f t="shared" si="12"/>
        <v>97467.447355199998</v>
      </c>
      <c r="P30" s="167">
        <f t="shared" si="12"/>
        <v>48733.723677599999</v>
      </c>
      <c r="Q30" s="167">
        <f t="shared" si="12"/>
        <v>48733.723677599999</v>
      </c>
      <c r="R30" s="167">
        <f t="shared" si="12"/>
        <v>0</v>
      </c>
      <c r="S30" s="167">
        <f t="shared" si="12"/>
        <v>2004274.1061769247</v>
      </c>
      <c r="T30" s="167">
        <f t="shared" si="12"/>
        <v>1615628.0053269248</v>
      </c>
      <c r="U30" s="167">
        <f t="shared" si="12"/>
        <v>3231256.0106538497</v>
      </c>
      <c r="V30" s="167">
        <f t="shared" si="12"/>
        <v>3231256.0106538497</v>
      </c>
      <c r="W30" s="167">
        <f t="shared" si="12"/>
        <v>3132824.2512864508</v>
      </c>
      <c r="X30" s="167">
        <f t="shared" si="12"/>
        <v>0</v>
      </c>
      <c r="Y30" s="167">
        <f t="shared" si="12"/>
        <v>0</v>
      </c>
      <c r="Z30" s="167">
        <f t="shared" si="12"/>
        <v>0</v>
      </c>
      <c r="AA30" s="167">
        <f t="shared" si="12"/>
        <v>0</v>
      </c>
      <c r="AB30" s="167">
        <f t="shared" si="12"/>
        <v>0</v>
      </c>
      <c r="AC30" s="167">
        <f t="shared" si="12"/>
        <v>0</v>
      </c>
      <c r="AD30" s="167">
        <f t="shared" si="12"/>
        <v>0</v>
      </c>
      <c r="AE30" s="167">
        <f t="shared" si="12"/>
        <v>0</v>
      </c>
      <c r="AF30" s="167">
        <f t="shared" si="12"/>
        <v>0</v>
      </c>
      <c r="AG30" s="167">
        <f t="shared" ref="AG30" si="13">IF(AF31+AG27&lt;=$B$31,AG27,($B$31-AF31))</f>
        <v>0</v>
      </c>
      <c r="AH30" s="167">
        <f t="shared" ref="AH30" si="14">IF(AG31+AH27&lt;=$B$31,AH27,($B$31-AG31))</f>
        <v>0</v>
      </c>
      <c r="AI30" s="167">
        <f t="shared" ref="AI30" si="15">IF(AH31+AI27&lt;=$B$31,AI27,($B$31-AH31))</f>
        <v>0</v>
      </c>
      <c r="AJ30" s="167">
        <f t="shared" ref="AJ30" si="16">IF(AI31+AJ27&lt;=$B$31,AJ27,($B$31-AI31))</f>
        <v>0</v>
      </c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783"/>
      <c r="AW30" s="783"/>
      <c r="AX30" s="783"/>
      <c r="AY30" s="783"/>
      <c r="AZ30" s="783"/>
      <c r="BA30" s="783"/>
      <c r="BB30" s="783"/>
      <c r="BC30" s="783"/>
      <c r="BD30" s="783"/>
      <c r="BE30" s="783"/>
      <c r="BF30" s="783"/>
      <c r="BG30" s="783"/>
      <c r="BH30" s="783"/>
      <c r="BI30" s="783"/>
      <c r="BJ30" s="783"/>
      <c r="BK30" s="783"/>
      <c r="BL30" s="783"/>
      <c r="BM30" s="783"/>
      <c r="BN30" s="783"/>
      <c r="BO30" s="783"/>
      <c r="BP30" s="783"/>
      <c r="BQ30" s="783"/>
      <c r="BR30" s="783"/>
      <c r="BS30" s="783"/>
      <c r="BT30" s="783"/>
      <c r="BU30" s="783"/>
      <c r="BV30"/>
      <c r="BW30"/>
      <c r="BX30"/>
    </row>
    <row r="31" spans="1:76" ht="15" thickBot="1">
      <c r="A31" s="787" t="s">
        <v>349</v>
      </c>
      <c r="B31" s="920">
        <f>'CD Financial'!B78</f>
        <v>14856000</v>
      </c>
      <c r="C31" s="921">
        <f>C30</f>
        <v>0</v>
      </c>
      <c r="D31" s="921">
        <f>IF(SUM($C$30:D30)&lt;=$B31,SUM($C$30:D30),0)</f>
        <v>0</v>
      </c>
      <c r="E31" s="921">
        <f>IF(SUM($C$30:E30)&lt;=$B31,SUM($C$30:E30),0)</f>
        <v>0</v>
      </c>
      <c r="F31" s="921">
        <f>IF(SUM($C$30:F30)&lt;=$B31,SUM($C$30:F30),0)</f>
        <v>0</v>
      </c>
      <c r="G31" s="921">
        <f>IF(SUM($C$30:G30)&lt;=$B31,SUM($C$30:G30),0)</f>
        <v>763554.58970519993</v>
      </c>
      <c r="H31" s="921">
        <f>IF(SUM($C$30:H30)&lt;=$B31,SUM($C$30:H30),0)</f>
        <v>861022.03706039989</v>
      </c>
      <c r="I31" s="921">
        <f>IF(SUM($C$30:I30)&lt;=$B31,SUM($C$30:I30),0)</f>
        <v>958489.48441559984</v>
      </c>
      <c r="J31" s="921">
        <f>IF(SUM($C$30:J30)&lt;=$B31,SUM($C$30:J30),0)</f>
        <v>1055956.9317707999</v>
      </c>
      <c r="K31" s="921">
        <f>IF(SUM($C$30:K30)&lt;=$B31,SUM($C$30:K30),0)</f>
        <v>1153424.379126</v>
      </c>
      <c r="L31" s="921">
        <f>IF(SUM($C$30:L30)&lt;=$B31,SUM($C$30:L30),0)</f>
        <v>1250891.8264812001</v>
      </c>
      <c r="M31" s="921">
        <f>IF(SUM($C$30:M30)&lt;=$B31,SUM($C$30:M30),0)</f>
        <v>1348359.2738364001</v>
      </c>
      <c r="N31" s="921">
        <f>IF(SUM($C$30:N30)&lt;=$B31,SUM($C$30:N30),0)</f>
        <v>1445826.7211916002</v>
      </c>
      <c r="O31" s="921">
        <f>IF(SUM($C$30:O30)&lt;=$B31,SUM($C$30:O30),0)</f>
        <v>1543294.1685468003</v>
      </c>
      <c r="P31" s="921">
        <f>IF(SUM($C$30:P30)&lt;=$B31,SUM($C$30:P30),0)</f>
        <v>1592027.8922244003</v>
      </c>
      <c r="Q31" s="921">
        <f>IF(SUM($C$30:Q30)&lt;=$B31,SUM($C$30:Q30),0)</f>
        <v>1640761.6159020003</v>
      </c>
      <c r="R31" s="921">
        <f>IF(SUM($C$30:R30)&lt;=$B31,SUM($C$30:R30),0)</f>
        <v>1640761.6159020003</v>
      </c>
      <c r="S31" s="921">
        <f>IF(SUM($C$30:S30)&lt;=$B31,SUM($C$30:S30),0)</f>
        <v>3645035.722078925</v>
      </c>
      <c r="T31" s="921">
        <f>IF(SUM($C$30:T30)&lt;=$B31,SUM($C$30:T30),0)</f>
        <v>5260663.7274058498</v>
      </c>
      <c r="U31" s="921">
        <f>IF(SUM($C$30:U30)&lt;=$B31,SUM($C$30:U30),0)</f>
        <v>8491919.7380596995</v>
      </c>
      <c r="V31" s="921">
        <f>IF(SUM($C$30:V30)&lt;=$B31,SUM($C$30:V30),0)</f>
        <v>11723175.748713549</v>
      </c>
      <c r="W31" s="921">
        <f>IF(SUM($C$30:W30)&lt;=$B31,SUM($C$30:W30),0)</f>
        <v>14856000</v>
      </c>
      <c r="X31" s="921">
        <f>IF(SUM($C$30:X30)&lt;=$B31,SUM($C$30:X30),0)</f>
        <v>14856000</v>
      </c>
      <c r="Y31" s="921">
        <f>IF(SUM($C$30:Y30)&lt;=$B31,SUM($C$30:Y30),0)</f>
        <v>14856000</v>
      </c>
      <c r="Z31" s="921">
        <f>IF(SUM($C$30:Z30)&lt;=$B31,SUM($C$30:Z30),0)</f>
        <v>14856000</v>
      </c>
      <c r="AA31" s="921">
        <f>IF(SUM($C$30:AA30)&lt;=$B31,SUM($C$30:AA30),0)</f>
        <v>14856000</v>
      </c>
      <c r="AB31" s="921">
        <f>IF(SUM($C$30:AB30)&lt;=$B31,SUM($C$30:AB30),0)</f>
        <v>14856000</v>
      </c>
      <c r="AC31" s="921">
        <f>IF(SUM($C$30:AC30)&lt;=$B31,SUM($C$30:AC30),0)</f>
        <v>14856000</v>
      </c>
      <c r="AD31" s="921">
        <f>IF(SUM($C$30:AD30)&lt;=$B31,SUM($C$30:AD30),0)</f>
        <v>14856000</v>
      </c>
      <c r="AE31" s="921">
        <f>IF(SUM($C$30:AE30)&lt;=$B31,SUM($C$30:AE30),0)</f>
        <v>14856000</v>
      </c>
      <c r="AF31" s="921">
        <f>IF(SUM($C$30:AF30)&lt;=$B31,SUM($C$30:AF30),0)</f>
        <v>14856000</v>
      </c>
      <c r="AG31" s="921">
        <f>IF(SUM($C$30:AG30)&lt;=$B31,SUM($C$30:AG30),0)</f>
        <v>14856000</v>
      </c>
      <c r="AH31" s="921">
        <f>IF(SUM($C$30:AH30)&lt;=$B31,SUM($C$30:AH30),0)</f>
        <v>14856000</v>
      </c>
      <c r="AI31" s="921">
        <f>IF(SUM($C$30:AI30)&lt;=$B31,SUM($C$30:AI30),0)</f>
        <v>14856000</v>
      </c>
      <c r="AJ31" s="921">
        <f>IF(SUM($C$30:AJ30)&lt;=$B31,SUM($C$30:AJ30),0)</f>
        <v>14856000</v>
      </c>
      <c r="AK31" s="921"/>
      <c r="AL31" s="921"/>
      <c r="AM31" s="921"/>
      <c r="AN31" s="921"/>
      <c r="AO31" s="921"/>
      <c r="AP31" s="921"/>
      <c r="AQ31" s="921"/>
      <c r="AR31" s="921"/>
      <c r="AS31" s="921"/>
      <c r="AT31" s="921"/>
      <c r="AU31" s="921"/>
      <c r="AV31" s="783"/>
      <c r="AW31" s="783"/>
      <c r="AX31" s="783"/>
      <c r="AY31" s="783"/>
      <c r="AZ31" s="783"/>
      <c r="BA31" s="783"/>
      <c r="BB31" s="783"/>
      <c r="BC31" s="783"/>
      <c r="BD31" s="783"/>
      <c r="BE31" s="783"/>
      <c r="BF31" s="783"/>
      <c r="BG31" s="783"/>
      <c r="BH31" s="783"/>
      <c r="BI31" s="783"/>
      <c r="BJ31" s="783"/>
      <c r="BK31" s="783"/>
      <c r="BL31" s="783"/>
      <c r="BM31" s="783"/>
      <c r="BN31" s="783"/>
      <c r="BO31" s="783"/>
      <c r="BP31" s="783"/>
      <c r="BQ31" s="783"/>
      <c r="BR31" s="783"/>
      <c r="BS31" s="783"/>
      <c r="BT31" s="783"/>
      <c r="BU31" s="783"/>
      <c r="BV31"/>
      <c r="BW31"/>
      <c r="BX31"/>
    </row>
    <row r="32" spans="1:76" ht="14.45">
      <c r="A32" s="161" t="s">
        <v>409</v>
      </c>
      <c r="B32" s="168">
        <f>'CD Financial'!B77</f>
        <v>22285000</v>
      </c>
      <c r="C32" s="169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785"/>
      <c r="AW32" s="785"/>
      <c r="AX32" s="783"/>
      <c r="AY32" s="783"/>
      <c r="AZ32" s="783"/>
      <c r="BA32" s="783"/>
      <c r="BB32" s="783"/>
      <c r="BC32" s="783"/>
      <c r="BD32" s="783"/>
      <c r="BE32" s="783"/>
      <c r="BF32" s="783"/>
      <c r="BG32" s="783"/>
      <c r="BH32" s="783"/>
      <c r="BI32" s="783"/>
      <c r="BJ32" s="783"/>
      <c r="BK32" s="783"/>
      <c r="BL32" s="783"/>
      <c r="BM32" s="783"/>
      <c r="BN32" s="783"/>
      <c r="BO32" s="783"/>
      <c r="BP32" s="783"/>
      <c r="BQ32" s="783"/>
      <c r="BR32" s="783"/>
      <c r="BS32" s="783"/>
      <c r="BT32" s="783"/>
      <c r="BU32" s="783"/>
      <c r="BV32"/>
      <c r="BW32"/>
      <c r="BX32"/>
    </row>
    <row r="33" spans="1:76" ht="15" thickBot="1">
      <c r="A33" s="787" t="s">
        <v>410</v>
      </c>
      <c r="B33" s="788">
        <f>PMT(0.045,30,(B32))</f>
        <v>-1368110.5337179983</v>
      </c>
      <c r="C33" s="785"/>
      <c r="D33" s="786"/>
      <c r="E33" s="786"/>
      <c r="F33" s="786"/>
      <c r="G33" s="786"/>
      <c r="H33" s="786"/>
      <c r="I33" s="786"/>
      <c r="J33" s="786"/>
      <c r="K33" s="786"/>
      <c r="L33" s="786"/>
      <c r="M33" s="786"/>
      <c r="N33" s="786"/>
      <c r="O33" s="786"/>
      <c r="P33" s="786"/>
      <c r="Q33" s="786"/>
      <c r="R33" s="786"/>
      <c r="S33" s="786"/>
      <c r="T33" s="786"/>
      <c r="U33" s="786"/>
      <c r="V33" s="786"/>
      <c r="W33" s="786"/>
      <c r="X33" s="786"/>
      <c r="Y33" s="786"/>
      <c r="Z33" s="786"/>
      <c r="AA33" s="786"/>
      <c r="AB33" s="786"/>
      <c r="AC33" s="786"/>
      <c r="AD33" s="786"/>
      <c r="AE33" s="786"/>
      <c r="AF33" s="786"/>
      <c r="AG33" s="786"/>
      <c r="AH33" s="786"/>
      <c r="AI33" s="786"/>
      <c r="AJ33" s="786"/>
      <c r="AK33" s="786"/>
      <c r="AL33" s="786"/>
      <c r="AM33" s="786"/>
      <c r="AN33" s="786"/>
      <c r="AO33" s="786"/>
      <c r="AP33" s="786"/>
      <c r="AQ33" s="786"/>
      <c r="AR33" s="786"/>
      <c r="AS33" s="786"/>
      <c r="AT33" s="786"/>
      <c r="AU33" s="786"/>
      <c r="AV33" s="785"/>
      <c r="AW33" s="785"/>
      <c r="AX33" s="783"/>
      <c r="AY33" s="783"/>
      <c r="AZ33" s="783"/>
      <c r="BA33" s="783"/>
      <c r="BB33" s="783"/>
      <c r="BC33" s="783"/>
      <c r="BD33" s="783"/>
      <c r="BE33" s="783"/>
      <c r="BF33" s="783"/>
      <c r="BG33" s="783"/>
      <c r="BH33" s="783"/>
      <c r="BI33" s="783"/>
      <c r="BJ33" s="783"/>
      <c r="BK33" s="783"/>
      <c r="BL33" s="783"/>
      <c r="BM33" s="783"/>
      <c r="BN33" s="783"/>
      <c r="BO33" s="783"/>
      <c r="BP33" s="783"/>
      <c r="BQ33" s="783"/>
      <c r="BR33" s="783"/>
      <c r="BS33" s="783"/>
      <c r="BT33" s="783"/>
      <c r="BU33" s="783"/>
      <c r="BV33"/>
      <c r="BW33"/>
      <c r="BX33"/>
    </row>
    <row r="34" spans="1:76" ht="14.45">
      <c r="A34" s="132" t="s">
        <v>352</v>
      </c>
      <c r="B34" s="133">
        <f>SUM(C34:AV34)</f>
        <v>0</v>
      </c>
      <c r="C34" s="764"/>
      <c r="D34" s="764"/>
      <c r="E34" s="764"/>
      <c r="F34" s="764"/>
      <c r="G34" s="764"/>
      <c r="H34" s="764"/>
      <c r="I34" s="764"/>
      <c r="J34" s="764"/>
      <c r="K34" s="764"/>
      <c r="L34" s="764"/>
      <c r="M34" s="764"/>
      <c r="N34" s="764"/>
      <c r="O34" s="764"/>
      <c r="P34" s="764"/>
      <c r="Q34" s="764"/>
      <c r="R34" s="764"/>
      <c r="S34" s="764"/>
      <c r="T34" s="764"/>
      <c r="U34" s="764"/>
      <c r="V34" s="764"/>
      <c r="W34" s="764"/>
      <c r="X34" s="764"/>
      <c r="Y34" s="764"/>
      <c r="Z34" s="764"/>
      <c r="AA34" s="764"/>
      <c r="AB34" s="764"/>
      <c r="AC34" s="764"/>
      <c r="AD34" s="764"/>
      <c r="AE34" s="764"/>
      <c r="AF34" s="764"/>
      <c r="AG34" s="764"/>
      <c r="AH34" s="764"/>
      <c r="AI34" s="764"/>
      <c r="AJ34" s="764"/>
      <c r="AK34" s="764"/>
      <c r="AL34" s="764"/>
      <c r="AM34" s="764"/>
      <c r="AN34" s="764"/>
      <c r="AO34" s="764"/>
      <c r="AP34" s="764"/>
      <c r="AQ34" s="764"/>
      <c r="AR34" s="764"/>
      <c r="AT34" s="509">
        <v>0</v>
      </c>
      <c r="AU34" s="509">
        <v>0</v>
      </c>
      <c r="AV34" s="791"/>
      <c r="AW34" s="785"/>
      <c r="AX34" s="783"/>
      <c r="AY34" s="783"/>
      <c r="AZ34" s="783"/>
      <c r="BA34" s="783"/>
      <c r="BB34" s="783"/>
      <c r="BC34" s="783"/>
      <c r="BD34" s="783"/>
      <c r="BE34" s="783"/>
      <c r="BF34" s="783"/>
      <c r="BG34" s="783"/>
      <c r="BH34" s="783"/>
      <c r="BI34" s="783"/>
      <c r="BJ34" s="783"/>
      <c r="BK34" s="783"/>
      <c r="BL34" s="783"/>
      <c r="BM34" s="783"/>
      <c r="BN34" s="783"/>
      <c r="BO34" s="783"/>
      <c r="BP34" s="783"/>
      <c r="BQ34" s="783"/>
      <c r="BR34" s="783"/>
      <c r="BS34" s="783"/>
      <c r="BT34" s="783"/>
      <c r="BU34" s="783"/>
      <c r="BV34"/>
      <c r="BW34"/>
      <c r="BX34"/>
    </row>
    <row r="35" spans="1:76" ht="14.45">
      <c r="A35" s="922" t="s">
        <v>353</v>
      </c>
      <c r="B35" s="133"/>
      <c r="C35" s="764"/>
      <c r="D35" s="764"/>
      <c r="E35" s="764"/>
      <c r="F35" s="764"/>
      <c r="G35" s="764"/>
      <c r="H35" s="764"/>
      <c r="I35" s="764"/>
      <c r="J35" s="764"/>
      <c r="K35" s="764"/>
      <c r="L35" s="764"/>
      <c r="M35" s="764"/>
      <c r="N35" s="764"/>
      <c r="O35" s="764"/>
      <c r="P35" s="764"/>
      <c r="Q35" s="764"/>
      <c r="R35" s="764"/>
      <c r="S35" s="764"/>
      <c r="T35" s="764"/>
      <c r="U35" s="764"/>
      <c r="V35" s="764"/>
      <c r="W35" s="764"/>
      <c r="X35" s="764"/>
      <c r="Y35" s="764"/>
      <c r="Z35" s="764"/>
      <c r="AA35" s="764"/>
      <c r="AB35" s="764"/>
      <c r="AC35" s="764"/>
      <c r="AD35" s="764"/>
      <c r="AE35" s="764"/>
      <c r="AF35" s="764"/>
      <c r="AG35" s="764"/>
      <c r="AH35" s="764"/>
      <c r="AI35" s="764"/>
      <c r="AJ35" s="764"/>
      <c r="AK35" s="764"/>
      <c r="AL35" s="764"/>
      <c r="AM35" s="764"/>
      <c r="AN35" s="764"/>
      <c r="AO35" s="764"/>
      <c r="AP35" s="764"/>
      <c r="AQ35" s="764"/>
      <c r="AR35" s="764"/>
      <c r="AS35" s="509"/>
      <c r="AT35" s="509"/>
      <c r="AU35" s="509"/>
      <c r="AV35" s="791"/>
      <c r="AW35" s="786"/>
      <c r="AX35" s="783"/>
      <c r="AY35" s="783"/>
      <c r="AZ35" s="783"/>
      <c r="BA35" s="783"/>
      <c r="BB35" s="783"/>
      <c r="BC35" s="783"/>
      <c r="BD35" s="783"/>
      <c r="BE35" s="783"/>
      <c r="BF35" s="783"/>
      <c r="BG35" s="783"/>
      <c r="BH35" s="783"/>
      <c r="BI35" s="783"/>
      <c r="BJ35" s="783"/>
      <c r="BK35" s="783"/>
      <c r="BL35" s="783"/>
      <c r="BM35" s="783"/>
      <c r="BN35" s="783"/>
      <c r="BO35" s="783"/>
      <c r="BP35" s="783"/>
      <c r="BQ35" s="783"/>
      <c r="BR35" s="783"/>
      <c r="BS35" s="783"/>
      <c r="BT35" s="783"/>
      <c r="BU35" s="783"/>
      <c r="BV35"/>
      <c r="BW35"/>
      <c r="BX35"/>
    </row>
    <row r="36" spans="1:76" ht="14.45">
      <c r="A36" s="781" t="s">
        <v>354</v>
      </c>
      <c r="B36" s="782">
        <f>'CD Financial'!B85-'CD Draw'!B32</f>
        <v>38106700</v>
      </c>
      <c r="C36" s="791"/>
      <c r="D36" s="792"/>
      <c r="E36" s="792"/>
      <c r="F36" s="792"/>
      <c r="G36" s="792"/>
      <c r="H36" s="792"/>
      <c r="I36" s="792"/>
      <c r="J36" s="792"/>
      <c r="K36" s="792"/>
      <c r="L36" s="792"/>
      <c r="M36" s="792"/>
      <c r="N36" s="792"/>
      <c r="O36" s="792"/>
      <c r="P36" s="792"/>
      <c r="Q36" s="792"/>
      <c r="R36" s="792"/>
      <c r="S36" s="792"/>
      <c r="T36" s="792"/>
      <c r="U36" s="792"/>
      <c r="V36" s="792"/>
      <c r="W36" s="792"/>
      <c r="X36" s="792"/>
      <c r="Y36" s="792"/>
      <c r="Z36" s="792"/>
      <c r="AA36" s="792"/>
      <c r="AB36" s="792"/>
      <c r="AC36" s="792"/>
      <c r="AD36" s="792"/>
      <c r="AE36" s="792"/>
      <c r="AF36" s="792"/>
      <c r="AG36" s="873"/>
      <c r="AH36" s="792"/>
      <c r="AI36" s="792"/>
      <c r="AJ36" s="792"/>
      <c r="AK36" s="792"/>
      <c r="AL36" s="792"/>
      <c r="AM36" s="792"/>
      <c r="AN36" s="792"/>
      <c r="AO36" s="792"/>
      <c r="AP36" s="792"/>
      <c r="AQ36" s="792"/>
      <c r="AR36" s="792"/>
      <c r="AS36" s="792"/>
      <c r="AT36" s="792"/>
      <c r="AU36" s="792"/>
      <c r="AV36" s="793"/>
      <c r="AW36" s="794"/>
      <c r="AX36" s="795"/>
      <c r="AY36" s="795"/>
      <c r="AZ36" s="795"/>
      <c r="BA36" s="795"/>
      <c r="BB36" s="795"/>
      <c r="BC36" s="795"/>
      <c r="BD36" s="795"/>
      <c r="BE36" s="795"/>
      <c r="BF36" s="795"/>
      <c r="BG36" s="795"/>
      <c r="BH36" s="795"/>
      <c r="BI36" s="795"/>
      <c r="BJ36" s="795"/>
      <c r="BK36" s="795"/>
      <c r="BL36" s="795"/>
      <c r="BM36" s="795"/>
      <c r="BN36" s="795"/>
      <c r="BO36" s="795"/>
      <c r="BP36" s="795"/>
      <c r="BQ36" s="795"/>
      <c r="BR36" s="795"/>
      <c r="BS36" s="795"/>
      <c r="BT36" s="795"/>
      <c r="BU36" s="795"/>
      <c r="BV36"/>
      <c r="BW36"/>
      <c r="BX36"/>
    </row>
    <row r="37" spans="1:76" ht="14.45">
      <c r="A37" s="781" t="s">
        <v>355</v>
      </c>
      <c r="B37" s="796">
        <f>SUM(C37:AU37)</f>
        <v>23250700</v>
      </c>
      <c r="C37" s="797">
        <f t="shared" ref="C37:AR37" si="17">-C30</f>
        <v>0</v>
      </c>
      <c r="D37" s="797">
        <f t="shared" si="17"/>
        <v>0</v>
      </c>
      <c r="E37" s="797">
        <f t="shared" si="17"/>
        <v>0</v>
      </c>
      <c r="F37" s="797">
        <f t="shared" si="17"/>
        <v>0</v>
      </c>
      <c r="G37" s="797">
        <f t="shared" si="17"/>
        <v>-763554.58970519993</v>
      </c>
      <c r="H37" s="797">
        <f t="shared" si="17"/>
        <v>-97467.447355199998</v>
      </c>
      <c r="I37" s="797">
        <f t="shared" si="17"/>
        <v>-97467.447355199998</v>
      </c>
      <c r="J37" s="797">
        <f t="shared" si="17"/>
        <v>-97467.447355199998</v>
      </c>
      <c r="K37" s="797">
        <f t="shared" si="17"/>
        <v>-97467.447355199998</v>
      </c>
      <c r="L37" s="797">
        <f t="shared" si="17"/>
        <v>-97467.447355199998</v>
      </c>
      <c r="M37" s="797">
        <f t="shared" si="17"/>
        <v>-97467.447355199998</v>
      </c>
      <c r="N37" s="797">
        <f t="shared" si="17"/>
        <v>-97467.447355199998</v>
      </c>
      <c r="O37" s="797">
        <f t="shared" si="17"/>
        <v>-97467.447355199998</v>
      </c>
      <c r="P37" s="797">
        <f t="shared" si="17"/>
        <v>-48733.723677599999</v>
      </c>
      <c r="Q37" s="797">
        <f t="shared" si="17"/>
        <v>-48733.723677599999</v>
      </c>
      <c r="R37" s="797">
        <f t="shared" si="17"/>
        <v>0</v>
      </c>
      <c r="S37" s="797">
        <f t="shared" si="17"/>
        <v>-2004274.1061769247</v>
      </c>
      <c r="T37" s="797">
        <f t="shared" si="17"/>
        <v>-1615628.0053269248</v>
      </c>
      <c r="U37" s="797">
        <f t="shared" si="17"/>
        <v>-3231256.0106538497</v>
      </c>
      <c r="V37" s="797">
        <f t="shared" si="17"/>
        <v>-3231256.0106538497</v>
      </c>
      <c r="W37" s="797">
        <f t="shared" si="17"/>
        <v>-3132824.2512864508</v>
      </c>
      <c r="X37" s="797">
        <f t="shared" si="17"/>
        <v>0</v>
      </c>
      <c r="Y37" s="797">
        <f t="shared" si="17"/>
        <v>0</v>
      </c>
      <c r="Z37" s="797">
        <f t="shared" si="17"/>
        <v>0</v>
      </c>
      <c r="AA37" s="797">
        <f t="shared" si="17"/>
        <v>0</v>
      </c>
      <c r="AB37" s="797">
        <f t="shared" si="17"/>
        <v>0</v>
      </c>
      <c r="AC37" s="797">
        <f t="shared" si="17"/>
        <v>0</v>
      </c>
      <c r="AD37" s="797">
        <f t="shared" si="17"/>
        <v>0</v>
      </c>
      <c r="AE37" s="797">
        <f t="shared" si="17"/>
        <v>0</v>
      </c>
      <c r="AF37" s="797">
        <f t="shared" si="17"/>
        <v>0</v>
      </c>
      <c r="AG37" s="797">
        <f t="shared" si="17"/>
        <v>0</v>
      </c>
      <c r="AH37" s="797">
        <f t="shared" si="17"/>
        <v>0</v>
      </c>
      <c r="AI37" s="797">
        <f t="shared" si="17"/>
        <v>0</v>
      </c>
      <c r="AJ37" s="136">
        <f>B36</f>
        <v>38106700</v>
      </c>
      <c r="AK37" s="135">
        <f t="shared" si="17"/>
        <v>0</v>
      </c>
      <c r="AL37" s="875">
        <f t="shared" si="17"/>
        <v>0</v>
      </c>
      <c r="AM37" s="875">
        <f t="shared" si="17"/>
        <v>0</v>
      </c>
      <c r="AN37" s="875">
        <f t="shared" si="17"/>
        <v>0</v>
      </c>
      <c r="AO37" s="875">
        <f t="shared" si="17"/>
        <v>0</v>
      </c>
      <c r="AP37" s="875">
        <f t="shared" si="17"/>
        <v>0</v>
      </c>
      <c r="AQ37" s="875">
        <f t="shared" si="17"/>
        <v>0</v>
      </c>
      <c r="AR37" s="875">
        <f t="shared" si="17"/>
        <v>0</v>
      </c>
      <c r="AS37" s="923">
        <v>0</v>
      </c>
      <c r="AT37" s="923">
        <v>0</v>
      </c>
      <c r="AU37" s="923">
        <v>0</v>
      </c>
      <c r="AV37" s="772"/>
      <c r="AW37" s="764"/>
      <c r="AX37" s="924"/>
      <c r="AY37" s="924"/>
      <c r="AZ37" s="924"/>
      <c r="BA37" s="924"/>
      <c r="BB37" s="924"/>
      <c r="BC37" s="924"/>
      <c r="BD37" s="924"/>
      <c r="BE37" s="924"/>
      <c r="BF37" s="924"/>
      <c r="BG37" s="924"/>
      <c r="BH37" s="924"/>
      <c r="BI37" s="924"/>
      <c r="BJ37" s="924"/>
      <c r="BK37" s="924"/>
      <c r="BL37" s="924"/>
      <c r="BM37" s="924"/>
      <c r="BN37" s="924"/>
      <c r="BO37" s="924"/>
      <c r="BP37" s="924"/>
      <c r="BQ37" s="924"/>
      <c r="BR37" s="924"/>
      <c r="BS37" s="924"/>
      <c r="BT37" s="924"/>
      <c r="BU37" s="924"/>
      <c r="BV37"/>
      <c r="BW37"/>
      <c r="BX37"/>
    </row>
    <row r="38" spans="1:76" ht="14.45">
      <c r="A38" s="781" t="s">
        <v>411</v>
      </c>
      <c r="B38" s="799">
        <f>IF(B37&lt;0,0,IRR(C37:AJU37))</f>
        <v>5.8645280823917512E-2</v>
      </c>
      <c r="C38" s="800"/>
      <c r="D38" s="800"/>
      <c r="E38" s="800"/>
      <c r="F38" s="800"/>
      <c r="G38" s="800"/>
      <c r="H38" s="800"/>
      <c r="I38" s="800"/>
      <c r="J38" s="800"/>
      <c r="K38" s="800"/>
      <c r="L38" s="800"/>
      <c r="M38" s="800"/>
      <c r="N38" s="800"/>
      <c r="O38" s="800"/>
      <c r="P38" s="800"/>
      <c r="Q38" s="800"/>
      <c r="R38" s="800"/>
      <c r="S38" s="800"/>
      <c r="T38" s="800"/>
      <c r="U38" s="800"/>
      <c r="V38" s="800"/>
      <c r="W38" s="800"/>
      <c r="X38" s="800"/>
      <c r="Y38" s="800"/>
      <c r="Z38" s="800"/>
      <c r="AA38" s="800"/>
      <c r="AB38" s="800"/>
      <c r="AC38" s="800"/>
      <c r="AD38" s="800"/>
      <c r="AE38" s="800"/>
      <c r="AF38" s="800"/>
      <c r="AG38" s="800"/>
      <c r="AH38" s="800"/>
      <c r="AI38" s="800"/>
      <c r="AJ38" s="800"/>
      <c r="AK38" s="800"/>
      <c r="AL38" s="800"/>
      <c r="AM38" s="800"/>
      <c r="AN38" s="800"/>
      <c r="AO38" s="800"/>
      <c r="AP38" s="800"/>
      <c r="AQ38" s="800"/>
      <c r="AR38" s="800"/>
      <c r="AS38" s="800"/>
      <c r="AT38" s="800"/>
      <c r="AU38" s="800"/>
      <c r="AV38" s="793"/>
      <c r="AW38" s="800"/>
      <c r="AX38" s="925"/>
      <c r="AY38" s="925"/>
      <c r="AZ38" s="925"/>
      <c r="BA38" s="925"/>
      <c r="BB38" s="925"/>
      <c r="BC38" s="925"/>
      <c r="BD38" s="925"/>
      <c r="BE38" s="925"/>
      <c r="BF38" s="925"/>
      <c r="BG38" s="925"/>
      <c r="BH38" s="925"/>
      <c r="BI38" s="925"/>
      <c r="BJ38" s="925"/>
      <c r="BK38" s="925"/>
      <c r="BL38" s="925"/>
      <c r="BM38" s="925"/>
      <c r="BN38" s="925"/>
      <c r="BO38" s="925"/>
      <c r="BP38" s="925"/>
      <c r="BQ38" s="925"/>
      <c r="BR38" s="925"/>
      <c r="BS38" s="925"/>
      <c r="BT38" s="925"/>
      <c r="BU38" s="925"/>
      <c r="BV38"/>
      <c r="BW38"/>
      <c r="BX38"/>
    </row>
    <row r="39" spans="1:76" ht="12.95">
      <c r="A39" s="772" t="s">
        <v>357</v>
      </c>
      <c r="B39" s="877">
        <f>POWER((1+B38),4)-1</f>
        <v>0.25603535322080306</v>
      </c>
      <c r="C39" s="793"/>
      <c r="D39" s="793"/>
      <c r="E39" s="803"/>
      <c r="F39" s="803"/>
      <c r="G39" s="803"/>
      <c r="H39" s="803"/>
      <c r="I39" s="803"/>
      <c r="J39" s="803"/>
      <c r="K39" s="803"/>
      <c r="L39" s="803"/>
      <c r="M39" s="803"/>
      <c r="N39" s="803"/>
      <c r="O39" s="803"/>
      <c r="P39" s="804"/>
      <c r="Q39" s="803"/>
      <c r="R39" s="803"/>
      <c r="S39" s="803"/>
      <c r="T39" s="803"/>
      <c r="U39" s="803"/>
      <c r="V39" s="804"/>
      <c r="W39" s="803"/>
      <c r="X39" s="803"/>
      <c r="Y39" s="803"/>
      <c r="Z39" s="803"/>
      <c r="AA39" s="803"/>
      <c r="AB39" s="803"/>
      <c r="AC39" s="803"/>
      <c r="AD39" s="803"/>
      <c r="AE39" s="803"/>
      <c r="AF39" s="803"/>
      <c r="AG39" s="803"/>
      <c r="AH39" s="803"/>
      <c r="AI39" s="800"/>
      <c r="AJ39" s="803"/>
      <c r="AK39" s="803"/>
      <c r="AL39" s="803"/>
      <c r="AM39" s="803"/>
      <c r="AN39" s="803"/>
      <c r="AO39" s="803"/>
      <c r="AP39" s="803"/>
      <c r="AQ39" s="803"/>
      <c r="AR39" s="878"/>
      <c r="AS39" s="878"/>
      <c r="AT39" s="803"/>
      <c r="AU39" s="803"/>
      <c r="AV39" s="803"/>
      <c r="AW39" s="803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</row>
    <row r="40" spans="1:76" ht="12.95">
      <c r="A40" s="926" t="s">
        <v>358</v>
      </c>
      <c r="B40" s="927"/>
      <c r="C40" s="793"/>
      <c r="D40" s="793"/>
      <c r="E40" s="793"/>
      <c r="F40" s="793"/>
      <c r="G40" s="793"/>
      <c r="H40" s="793"/>
      <c r="I40" s="793"/>
      <c r="J40" s="793"/>
      <c r="K40" s="793"/>
      <c r="L40" s="793"/>
      <c r="M40" s="793"/>
      <c r="N40" s="793"/>
      <c r="O40" s="793"/>
      <c r="P40" s="793"/>
      <c r="Q40" s="793"/>
      <c r="R40" s="793"/>
      <c r="S40" s="793"/>
      <c r="T40" s="793"/>
      <c r="U40" s="793"/>
      <c r="V40" s="793"/>
      <c r="W40" s="793"/>
      <c r="X40" s="793"/>
      <c r="Y40" s="793"/>
      <c r="Z40" s="793"/>
      <c r="AA40" s="793"/>
      <c r="AB40" s="793"/>
      <c r="AC40" s="793"/>
      <c r="AD40" s="793"/>
      <c r="AE40" s="793"/>
      <c r="AF40" s="793"/>
      <c r="AG40" s="793"/>
      <c r="AH40" s="793"/>
      <c r="AI40" s="800"/>
      <c r="AJ40" s="793"/>
      <c r="AK40" s="793"/>
      <c r="AL40" s="793"/>
      <c r="AM40" s="793"/>
      <c r="AN40" s="793"/>
      <c r="AO40" s="793"/>
      <c r="AP40" s="793"/>
      <c r="AQ40" s="793"/>
      <c r="AR40" s="793"/>
      <c r="AS40" s="793"/>
      <c r="AT40" s="793"/>
      <c r="AU40" s="793"/>
      <c r="AV40" s="793"/>
      <c r="AW40" s="793"/>
    </row>
    <row r="41" spans="1:76" ht="12.95">
      <c r="A41" s="781" t="s">
        <v>359</v>
      </c>
      <c r="B41" s="509">
        <f>'CD Financial'!B85-B28</f>
        <v>60391700</v>
      </c>
      <c r="C41" s="793"/>
      <c r="D41" s="793"/>
      <c r="E41" s="793"/>
      <c r="F41" s="793"/>
      <c r="G41" s="793"/>
      <c r="H41" s="793"/>
      <c r="I41" s="793"/>
      <c r="J41" s="793"/>
      <c r="K41" s="793"/>
      <c r="L41" s="793"/>
      <c r="M41" s="786"/>
      <c r="N41" s="793"/>
      <c r="O41" s="793"/>
      <c r="P41" s="793"/>
      <c r="Q41" s="793"/>
      <c r="R41" s="793"/>
      <c r="S41" s="786"/>
      <c r="T41" s="793"/>
      <c r="U41" s="793"/>
      <c r="V41" s="793"/>
      <c r="W41" s="793"/>
      <c r="X41" s="793"/>
      <c r="Y41" s="793"/>
      <c r="Z41" s="793"/>
      <c r="AA41" s="793"/>
      <c r="AB41" s="793"/>
      <c r="AC41" s="793"/>
      <c r="AD41" s="793"/>
      <c r="AE41" s="793"/>
      <c r="AF41" s="793"/>
      <c r="AG41" s="793"/>
      <c r="AH41" s="793"/>
      <c r="AI41" s="800"/>
      <c r="AJ41" s="793"/>
      <c r="AK41" s="793"/>
      <c r="AL41" s="793"/>
      <c r="AM41" s="793"/>
      <c r="AN41" s="793"/>
      <c r="AO41" s="793"/>
      <c r="AP41" s="793"/>
      <c r="AQ41" s="793"/>
      <c r="AR41" s="793"/>
      <c r="AS41" s="793"/>
      <c r="AT41" s="793"/>
      <c r="AU41" s="793"/>
      <c r="AV41" s="793"/>
      <c r="AW41" s="793"/>
    </row>
    <row r="42" spans="1:76" ht="12.95">
      <c r="A42" s="772" t="s">
        <v>360</v>
      </c>
      <c r="B42" s="928">
        <f>SUM(C42:AU42)</f>
        <v>23250450.839709513</v>
      </c>
      <c r="C42" s="764">
        <f>-C27</f>
        <v>0</v>
      </c>
      <c r="D42" s="764">
        <f t="shared" ref="D42:AI42" si="18">-D27</f>
        <v>0</v>
      </c>
      <c r="E42" s="764">
        <f t="shared" si="18"/>
        <v>0</v>
      </c>
      <c r="F42" s="764">
        <f t="shared" si="18"/>
        <v>0</v>
      </c>
      <c r="G42" s="764">
        <f t="shared" si="18"/>
        <v>-763554.58970519993</v>
      </c>
      <c r="H42" s="764">
        <f t="shared" si="18"/>
        <v>-97467.447355199998</v>
      </c>
      <c r="I42" s="764">
        <f t="shared" si="18"/>
        <v>-97467.447355199998</v>
      </c>
      <c r="J42" s="764">
        <f t="shared" si="18"/>
        <v>-97467.447355199998</v>
      </c>
      <c r="K42" s="764">
        <f t="shared" si="18"/>
        <v>-97467.447355199998</v>
      </c>
      <c r="L42" s="764">
        <f t="shared" si="18"/>
        <v>-97467.447355199998</v>
      </c>
      <c r="M42" s="764">
        <f t="shared" si="18"/>
        <v>-97467.447355199998</v>
      </c>
      <c r="N42" s="764">
        <f t="shared" si="18"/>
        <v>-97467.447355199998</v>
      </c>
      <c r="O42" s="764">
        <f t="shared" si="18"/>
        <v>-97467.447355199998</v>
      </c>
      <c r="P42" s="764">
        <f t="shared" si="18"/>
        <v>-48733.723677599999</v>
      </c>
      <c r="Q42" s="764">
        <f t="shared" si="18"/>
        <v>-48733.723677599999</v>
      </c>
      <c r="R42" s="764">
        <f t="shared" si="18"/>
        <v>0</v>
      </c>
      <c r="S42" s="764">
        <f t="shared" si="18"/>
        <v>-2004274.1061769247</v>
      </c>
      <c r="T42" s="764">
        <f t="shared" si="18"/>
        <v>-1615628.0053269248</v>
      </c>
      <c r="U42" s="764">
        <f t="shared" si="18"/>
        <v>-3231256.0106538497</v>
      </c>
      <c r="V42" s="764">
        <f t="shared" si="18"/>
        <v>-3231256.0106538497</v>
      </c>
      <c r="W42" s="764">
        <f t="shared" si="18"/>
        <v>-3231256.0106538497</v>
      </c>
      <c r="X42" s="764">
        <f t="shared" si="18"/>
        <v>-3231256.0106538497</v>
      </c>
      <c r="Y42" s="764">
        <f t="shared" si="18"/>
        <v>-3231256.0106538497</v>
      </c>
      <c r="Z42" s="764">
        <f t="shared" si="18"/>
        <v>-3231256.0106538497</v>
      </c>
      <c r="AA42" s="764">
        <f t="shared" si="18"/>
        <v>-3231256.0106538497</v>
      </c>
      <c r="AB42" s="764">
        <f t="shared" si="18"/>
        <v>-3231256.0106538497</v>
      </c>
      <c r="AC42" s="764">
        <f t="shared" si="18"/>
        <v>-1615628.0053269248</v>
      </c>
      <c r="AD42" s="764">
        <f t="shared" si="18"/>
        <v>-1615628.0053269248</v>
      </c>
      <c r="AE42" s="764">
        <f t="shared" si="18"/>
        <v>-419892.20055000001</v>
      </c>
      <c r="AF42" s="764">
        <f t="shared" si="18"/>
        <v>-419892.20055000001</v>
      </c>
      <c r="AG42" s="764">
        <f t="shared" si="18"/>
        <v>-419892.20055000001</v>
      </c>
      <c r="AH42" s="764">
        <f t="shared" si="18"/>
        <v>-419892.20055000001</v>
      </c>
      <c r="AI42" s="764">
        <f t="shared" si="18"/>
        <v>-419892.20055000001</v>
      </c>
      <c r="AJ42" s="929">
        <f>B41-AJ27</f>
        <v>59691879.665749997</v>
      </c>
      <c r="AK42" s="764">
        <f t="shared" ref="AK42:AU42" si="19">IF(AK31&gt;=$B$31,-(AK27+AK37),AK37)</f>
        <v>0</v>
      </c>
      <c r="AL42" s="764">
        <f t="shared" si="19"/>
        <v>0</v>
      </c>
      <c r="AM42" s="764">
        <f t="shared" si="19"/>
        <v>0</v>
      </c>
      <c r="AN42" s="764">
        <f t="shared" si="19"/>
        <v>0</v>
      </c>
      <c r="AO42" s="764">
        <f t="shared" si="19"/>
        <v>0</v>
      </c>
      <c r="AP42" s="764">
        <f t="shared" si="19"/>
        <v>0</v>
      </c>
      <c r="AQ42" s="764">
        <f t="shared" si="19"/>
        <v>0</v>
      </c>
      <c r="AR42" s="764">
        <f t="shared" si="19"/>
        <v>0</v>
      </c>
      <c r="AS42" s="764">
        <f t="shared" si="19"/>
        <v>0</v>
      </c>
      <c r="AT42" s="764">
        <f t="shared" si="19"/>
        <v>0</v>
      </c>
      <c r="AU42" s="764">
        <f t="shared" si="19"/>
        <v>0</v>
      </c>
      <c r="AV42" s="772"/>
      <c r="AW42" s="772"/>
    </row>
    <row r="43" spans="1:76" ht="12.95">
      <c r="A43" s="781" t="s">
        <v>361</v>
      </c>
      <c r="B43" s="799">
        <f>IF(B42&lt;0,0,IRR(C42:AU42))</f>
        <v>4.1158327772114811E-2</v>
      </c>
      <c r="C43" s="793"/>
      <c r="D43" s="793"/>
      <c r="E43" s="793"/>
      <c r="F43" s="793"/>
      <c r="G43" s="793"/>
      <c r="H43" s="793"/>
      <c r="I43" s="793"/>
      <c r="J43" s="793"/>
      <c r="K43" s="793"/>
      <c r="L43" s="793"/>
      <c r="M43" s="793"/>
      <c r="N43" s="793"/>
      <c r="O43" s="793"/>
      <c r="P43" s="793"/>
      <c r="Q43" s="793"/>
      <c r="R43" s="793"/>
      <c r="S43" s="793"/>
      <c r="T43" s="793"/>
      <c r="U43" s="793"/>
      <c r="V43" s="793"/>
      <c r="W43" s="793"/>
      <c r="X43" s="793"/>
      <c r="Y43" s="793"/>
      <c r="Z43" s="793"/>
      <c r="AA43" s="793"/>
      <c r="AB43" s="793"/>
      <c r="AC43" s="793"/>
      <c r="AD43" s="793"/>
      <c r="AE43" s="793"/>
      <c r="AF43" s="793"/>
      <c r="AG43" s="793"/>
      <c r="AH43" s="793"/>
      <c r="AI43" s="800"/>
      <c r="AJ43" s="793"/>
      <c r="AK43" s="793"/>
      <c r="AL43" s="793"/>
      <c r="AM43" s="793"/>
      <c r="AN43" s="793"/>
      <c r="AO43" s="793"/>
      <c r="AP43" s="793"/>
      <c r="AQ43" s="793"/>
      <c r="AR43" s="793"/>
      <c r="AS43" s="793"/>
      <c r="AT43" s="793"/>
      <c r="AU43" s="793"/>
      <c r="AV43" s="793"/>
      <c r="AW43" s="793"/>
    </row>
    <row r="44" spans="1:76" ht="12.95">
      <c r="A44" s="772" t="s">
        <v>362</v>
      </c>
      <c r="B44" s="877">
        <f>POWER((1+B43),4)-1</f>
        <v>0.17507911855835268</v>
      </c>
      <c r="C44" s="793"/>
      <c r="D44" s="793"/>
      <c r="E44" s="793"/>
      <c r="F44" s="793"/>
      <c r="G44" s="793"/>
      <c r="H44" s="793"/>
      <c r="I44" s="793"/>
      <c r="J44" s="793"/>
      <c r="K44" s="793"/>
      <c r="L44" s="793"/>
      <c r="M44" s="793"/>
      <c r="N44" s="793"/>
      <c r="O44" s="793"/>
      <c r="P44" s="793"/>
      <c r="Q44" s="793"/>
      <c r="R44" s="793"/>
      <c r="S44" s="793"/>
      <c r="T44" s="793"/>
      <c r="U44" s="793"/>
      <c r="V44" s="793"/>
      <c r="W44" s="793"/>
      <c r="X44" s="793"/>
      <c r="Y44" s="793"/>
      <c r="Z44" s="793"/>
      <c r="AA44" s="793"/>
      <c r="AB44" s="793"/>
      <c r="AC44" s="793"/>
      <c r="AD44" s="793"/>
      <c r="AE44" s="793"/>
      <c r="AF44" s="793"/>
      <c r="AG44" s="793"/>
      <c r="AH44" s="793"/>
      <c r="AI44" s="800"/>
      <c r="AJ44" s="793"/>
      <c r="AK44" s="793"/>
      <c r="AL44" s="793"/>
      <c r="AM44" s="793"/>
      <c r="AN44" s="793"/>
      <c r="AO44" s="793"/>
      <c r="AP44" s="793"/>
      <c r="AQ44" s="793"/>
      <c r="AR44" s="793"/>
      <c r="AS44" s="793"/>
      <c r="AT44" s="793"/>
      <c r="AU44" s="793"/>
      <c r="AV44" s="793"/>
      <c r="AW44" s="793"/>
    </row>
    <row r="45" spans="1:76">
      <c r="G45" s="6"/>
      <c r="AB45" s="6"/>
      <c r="AE45" s="6"/>
      <c r="AI45" s="70"/>
    </row>
    <row r="46" spans="1:76">
      <c r="G46" s="6"/>
      <c r="AB46" s="6"/>
      <c r="AE46" s="6"/>
    </row>
    <row r="47" spans="1:76">
      <c r="G47" s="6"/>
      <c r="AB47" s="6"/>
      <c r="AE47" s="6"/>
    </row>
    <row r="48" spans="1:76">
      <c r="G48" s="6"/>
      <c r="AB48" s="6"/>
      <c r="AE48" s="6"/>
    </row>
    <row r="49" spans="7:31">
      <c r="G49" s="6"/>
      <c r="AB49" s="6"/>
      <c r="AE49" s="6"/>
    </row>
    <row r="50" spans="7:31">
      <c r="G50" s="6"/>
      <c r="AB50" s="6"/>
      <c r="AE50" s="6"/>
    </row>
    <row r="51" spans="7:31">
      <c r="G51" s="6"/>
      <c r="AB51" s="6"/>
      <c r="AE51" s="6"/>
    </row>
    <row r="52" spans="7:31">
      <c r="G52" s="6"/>
    </row>
    <row r="53" spans="7:31">
      <c r="G53" s="6"/>
    </row>
    <row r="54" spans="7:31">
      <c r="G54" s="6"/>
    </row>
    <row r="55" spans="7:31">
      <c r="G55" s="6"/>
    </row>
    <row r="56" spans="7:31">
      <c r="G56" s="6"/>
    </row>
    <row r="57" spans="7:31">
      <c r="G57" s="6"/>
    </row>
    <row r="58" spans="7:31">
      <c r="G58" s="6"/>
    </row>
    <row r="59" spans="7:31">
      <c r="G59" s="6"/>
    </row>
    <row r="60" spans="7:31">
      <c r="G60" s="6"/>
    </row>
    <row r="61" spans="7:31">
      <c r="G61" s="6"/>
    </row>
    <row r="62" spans="7:31">
      <c r="G62" s="6"/>
    </row>
    <row r="63" spans="7:31">
      <c r="G63" s="6"/>
    </row>
    <row r="64" spans="7:31">
      <c r="G64" s="6"/>
    </row>
    <row r="65" spans="7:7">
      <c r="G65" s="6"/>
    </row>
    <row r="66" spans="7:7">
      <c r="G66" s="6"/>
    </row>
    <row r="67" spans="7:7">
      <c r="G67" s="6"/>
    </row>
    <row r="68" spans="7:7">
      <c r="G68" s="6"/>
    </row>
    <row r="69" spans="7:7">
      <c r="G69" s="6"/>
    </row>
    <row r="70" spans="7:7">
      <c r="G70" s="6"/>
    </row>
    <row r="71" spans="7:7">
      <c r="G71" s="6"/>
    </row>
    <row r="72" spans="7:7">
      <c r="G72" s="6"/>
    </row>
    <row r="73" spans="7:7">
      <c r="G73" s="6"/>
    </row>
    <row r="74" spans="7:7">
      <c r="G74" s="6"/>
    </row>
    <row r="75" spans="7:7">
      <c r="G75" s="6"/>
    </row>
    <row r="76" spans="7:7">
      <c r="G76" s="6"/>
    </row>
    <row r="77" spans="7:7">
      <c r="G77" s="6"/>
    </row>
    <row r="78" spans="7:7">
      <c r="G78" s="6"/>
    </row>
    <row r="79" spans="7:7">
      <c r="G79" s="6"/>
    </row>
    <row r="80" spans="7:7">
      <c r="G80" s="6"/>
    </row>
    <row r="81" spans="7:7">
      <c r="G81" s="6"/>
    </row>
    <row r="82" spans="7:7">
      <c r="G82" s="6"/>
    </row>
    <row r="83" spans="7:7">
      <c r="G83" s="6"/>
    </row>
    <row r="84" spans="7:7">
      <c r="G84" s="6"/>
    </row>
    <row r="85" spans="7:7">
      <c r="G85" s="6"/>
    </row>
    <row r="86" spans="7:7">
      <c r="G86" s="6"/>
    </row>
    <row r="87" spans="7:7">
      <c r="G87" s="6"/>
    </row>
    <row r="88" spans="7:7">
      <c r="G88" s="6"/>
    </row>
    <row r="89" spans="7:7">
      <c r="G89" s="6"/>
    </row>
    <row r="90" spans="7:7">
      <c r="G90" s="6"/>
    </row>
    <row r="91" spans="7:7">
      <c r="G91" s="6"/>
    </row>
    <row r="92" spans="7:7">
      <c r="G92" s="6"/>
    </row>
    <row r="93" spans="7:7">
      <c r="G93" s="6"/>
    </row>
    <row r="94" spans="7:7">
      <c r="G94" s="6"/>
    </row>
    <row r="95" spans="7:7">
      <c r="G95" s="6"/>
    </row>
    <row r="96" spans="7:7">
      <c r="G96" s="6"/>
    </row>
    <row r="97" spans="7:7">
      <c r="G97" s="6"/>
    </row>
    <row r="98" spans="7:7">
      <c r="G98" s="6"/>
    </row>
    <row r="99" spans="7:7">
      <c r="G99" s="6"/>
    </row>
    <row r="100" spans="7:7">
      <c r="G100" s="6"/>
    </row>
    <row r="101" spans="7:7">
      <c r="G101" s="6"/>
    </row>
    <row r="102" spans="7:7">
      <c r="G102" s="6"/>
    </row>
    <row r="103" spans="7:7">
      <c r="G103" s="6"/>
    </row>
    <row r="104" spans="7:7">
      <c r="G104" s="6"/>
    </row>
    <row r="105" spans="7:7">
      <c r="G105" s="6"/>
    </row>
    <row r="106" spans="7:7">
      <c r="G106" s="6"/>
    </row>
    <row r="107" spans="7:7">
      <c r="G107" s="6"/>
    </row>
    <row r="108" spans="7:7">
      <c r="G108" s="6"/>
    </row>
    <row r="109" spans="7:7">
      <c r="G109" s="6"/>
    </row>
    <row r="110" spans="7:7">
      <c r="G110" s="6"/>
    </row>
    <row r="111" spans="7:7">
      <c r="G111" s="6"/>
    </row>
    <row r="112" spans="7:7">
      <c r="G112" s="6"/>
    </row>
    <row r="113" spans="7:7">
      <c r="G113" s="6"/>
    </row>
    <row r="114" spans="7:7">
      <c r="G114" s="6"/>
    </row>
    <row r="115" spans="7:7">
      <c r="G115" s="6"/>
    </row>
    <row r="116" spans="7:7">
      <c r="G116" s="6"/>
    </row>
    <row r="117" spans="7:7">
      <c r="G117" s="6"/>
    </row>
    <row r="118" spans="7:7">
      <c r="G118" s="6"/>
    </row>
    <row r="119" spans="7:7">
      <c r="G119" s="6"/>
    </row>
    <row r="120" spans="7:7">
      <c r="G120" s="6"/>
    </row>
    <row r="121" spans="7:7">
      <c r="G121" s="6"/>
    </row>
    <row r="122" spans="7:7">
      <c r="G122" s="6"/>
    </row>
    <row r="123" spans="7:7">
      <c r="G123" s="6"/>
    </row>
    <row r="124" spans="7:7">
      <c r="G124" s="6"/>
    </row>
    <row r="125" spans="7:7">
      <c r="G125" s="6"/>
    </row>
    <row r="126" spans="7:7">
      <c r="G126" s="6"/>
    </row>
    <row r="127" spans="7:7">
      <c r="G127" s="6"/>
    </row>
    <row r="128" spans="7:7">
      <c r="G128" s="6"/>
    </row>
    <row r="129" spans="7:7">
      <c r="G129" s="6"/>
    </row>
    <row r="130" spans="7:7">
      <c r="G130" s="6"/>
    </row>
    <row r="131" spans="7:7">
      <c r="G131" s="6"/>
    </row>
    <row r="132" spans="7:7">
      <c r="G132" s="6"/>
    </row>
    <row r="133" spans="7:7">
      <c r="G133" s="6"/>
    </row>
    <row r="134" spans="7:7">
      <c r="G134" s="6"/>
    </row>
    <row r="135" spans="7:7">
      <c r="G135" s="6"/>
    </row>
    <row r="136" spans="7:7">
      <c r="G136" s="6"/>
    </row>
    <row r="137" spans="7:7">
      <c r="G137" s="6"/>
    </row>
    <row r="138" spans="7:7">
      <c r="G138" s="6"/>
    </row>
    <row r="139" spans="7:7">
      <c r="G139" s="6"/>
    </row>
    <row r="140" spans="7:7">
      <c r="G140" s="6"/>
    </row>
    <row r="141" spans="7:7">
      <c r="G141" s="6"/>
    </row>
    <row r="142" spans="7:7">
      <c r="G142" s="6"/>
    </row>
    <row r="143" spans="7:7">
      <c r="G143" s="6"/>
    </row>
    <row r="144" spans="7:7">
      <c r="G144" s="6"/>
    </row>
    <row r="145" spans="7:7">
      <c r="G145" s="6"/>
    </row>
    <row r="146" spans="7:7">
      <c r="G146" s="6"/>
    </row>
    <row r="147" spans="7:7">
      <c r="G147" s="6"/>
    </row>
    <row r="148" spans="7:7">
      <c r="G148" s="6"/>
    </row>
    <row r="149" spans="7:7">
      <c r="G149" s="6"/>
    </row>
    <row r="150" spans="7:7">
      <c r="G150" s="6"/>
    </row>
    <row r="151" spans="7:7">
      <c r="G151" s="6"/>
    </row>
    <row r="152" spans="7:7">
      <c r="G152" s="6"/>
    </row>
    <row r="153" spans="7:7">
      <c r="G153" s="6"/>
    </row>
    <row r="154" spans="7:7">
      <c r="G154" s="6"/>
    </row>
    <row r="155" spans="7:7">
      <c r="G155" s="6"/>
    </row>
    <row r="156" spans="7:7">
      <c r="G156" s="6"/>
    </row>
    <row r="157" spans="7:7">
      <c r="G157" s="6"/>
    </row>
    <row r="158" spans="7:7">
      <c r="G158" s="6"/>
    </row>
    <row r="159" spans="7:7">
      <c r="G159" s="6"/>
    </row>
    <row r="160" spans="7:7">
      <c r="G160" s="6"/>
    </row>
    <row r="161" spans="7:7">
      <c r="G161" s="6"/>
    </row>
    <row r="162" spans="7:7">
      <c r="G162" s="6"/>
    </row>
    <row r="163" spans="7:7">
      <c r="G163" s="6"/>
    </row>
    <row r="164" spans="7:7">
      <c r="G164" s="6"/>
    </row>
    <row r="165" spans="7:7">
      <c r="G165" s="6"/>
    </row>
    <row r="166" spans="7:7">
      <c r="G166" s="6"/>
    </row>
    <row r="167" spans="7:7">
      <c r="G167" s="6"/>
    </row>
    <row r="168" spans="7:7">
      <c r="G168" s="6"/>
    </row>
    <row r="169" spans="7:7">
      <c r="G169" s="6"/>
    </row>
    <row r="170" spans="7:7">
      <c r="G170" s="6"/>
    </row>
    <row r="171" spans="7:7">
      <c r="G171" s="6"/>
    </row>
    <row r="172" spans="7:7">
      <c r="G172" s="6"/>
    </row>
    <row r="173" spans="7:7">
      <c r="G173" s="6"/>
    </row>
    <row r="174" spans="7:7">
      <c r="G174" s="6"/>
    </row>
    <row r="175" spans="7:7">
      <c r="G175" s="6"/>
    </row>
    <row r="176" spans="7:7">
      <c r="G176" s="6"/>
    </row>
    <row r="177" spans="7:7">
      <c r="G177" s="6"/>
    </row>
    <row r="178" spans="7:7">
      <c r="G178" s="6"/>
    </row>
    <row r="179" spans="7:7">
      <c r="G179" s="6"/>
    </row>
    <row r="180" spans="7:7">
      <c r="G180" s="6"/>
    </row>
    <row r="181" spans="7:7">
      <c r="G181" s="6"/>
    </row>
    <row r="182" spans="7:7">
      <c r="G182" s="6"/>
    </row>
    <row r="183" spans="7:7">
      <c r="G183" s="6"/>
    </row>
    <row r="184" spans="7:7">
      <c r="G184" s="6"/>
    </row>
    <row r="185" spans="7:7">
      <c r="G185" s="6"/>
    </row>
    <row r="186" spans="7:7">
      <c r="G186" s="6"/>
    </row>
    <row r="187" spans="7:7">
      <c r="G187" s="6"/>
    </row>
    <row r="188" spans="7:7">
      <c r="G188" s="6"/>
    </row>
    <row r="189" spans="7:7">
      <c r="G189" s="6"/>
    </row>
    <row r="190" spans="7:7">
      <c r="G190" s="6"/>
    </row>
    <row r="191" spans="7:7">
      <c r="G191" s="6"/>
    </row>
    <row r="192" spans="7:7">
      <c r="G192" s="6"/>
    </row>
    <row r="193" spans="7:7">
      <c r="G193" s="6"/>
    </row>
    <row r="194" spans="7:7">
      <c r="G194" s="6"/>
    </row>
    <row r="195" spans="7:7">
      <c r="G195" s="6"/>
    </row>
    <row r="196" spans="7:7">
      <c r="G196" s="6"/>
    </row>
    <row r="197" spans="7:7">
      <c r="G197" s="6"/>
    </row>
    <row r="198" spans="7:7">
      <c r="G198" s="6"/>
    </row>
    <row r="199" spans="7:7">
      <c r="G199" s="6"/>
    </row>
    <row r="200" spans="7:7">
      <c r="G200" s="6"/>
    </row>
    <row r="201" spans="7:7">
      <c r="G201" s="6"/>
    </row>
    <row r="202" spans="7:7">
      <c r="G202" s="6"/>
    </row>
    <row r="203" spans="7:7">
      <c r="G203" s="6"/>
    </row>
    <row r="204" spans="7:7">
      <c r="G204" s="6"/>
    </row>
    <row r="205" spans="7:7">
      <c r="G205" s="6"/>
    </row>
    <row r="206" spans="7:7">
      <c r="G206" s="6"/>
    </row>
    <row r="207" spans="7:7">
      <c r="G207" s="6"/>
    </row>
    <row r="208" spans="7:7">
      <c r="G208" s="6"/>
    </row>
    <row r="209" spans="7:7">
      <c r="G209" s="6"/>
    </row>
    <row r="210" spans="7:7">
      <c r="G210" s="6"/>
    </row>
    <row r="211" spans="7:7">
      <c r="G211" s="6"/>
    </row>
    <row r="212" spans="7:7">
      <c r="G212" s="6"/>
    </row>
    <row r="213" spans="7:7">
      <c r="G213" s="6"/>
    </row>
    <row r="214" spans="7:7">
      <c r="G214" s="6"/>
    </row>
    <row r="215" spans="7:7">
      <c r="G215" s="6"/>
    </row>
    <row r="216" spans="7:7">
      <c r="G216" s="6"/>
    </row>
    <row r="217" spans="7:7">
      <c r="G217" s="6"/>
    </row>
    <row r="218" spans="7:7">
      <c r="G218" s="6"/>
    </row>
    <row r="219" spans="7:7">
      <c r="G219" s="6"/>
    </row>
    <row r="220" spans="7:7">
      <c r="G220" s="6"/>
    </row>
    <row r="221" spans="7:7">
      <c r="G221" s="6"/>
    </row>
    <row r="222" spans="7:7">
      <c r="G222" s="6"/>
    </row>
    <row r="223" spans="7:7">
      <c r="G223" s="6"/>
    </row>
    <row r="224" spans="7:7">
      <c r="G224" s="6"/>
    </row>
    <row r="225" spans="7:7">
      <c r="G225" s="6"/>
    </row>
    <row r="226" spans="7:7">
      <c r="G226" s="6"/>
    </row>
    <row r="227" spans="7:7">
      <c r="G227" s="6"/>
    </row>
    <row r="228" spans="7:7">
      <c r="G228" s="6"/>
    </row>
    <row r="229" spans="7:7">
      <c r="G229" s="6"/>
    </row>
    <row r="230" spans="7:7">
      <c r="G230" s="6"/>
    </row>
    <row r="231" spans="7:7">
      <c r="G231" s="6"/>
    </row>
    <row r="232" spans="7:7">
      <c r="G232" s="6"/>
    </row>
    <row r="233" spans="7:7">
      <c r="G233" s="6"/>
    </row>
    <row r="234" spans="7:7">
      <c r="G234" s="6"/>
    </row>
    <row r="235" spans="7:7">
      <c r="G235" s="6"/>
    </row>
    <row r="236" spans="7:7">
      <c r="G236" s="6"/>
    </row>
    <row r="237" spans="7:7">
      <c r="G237" s="6"/>
    </row>
    <row r="238" spans="7:7">
      <c r="G238" s="6"/>
    </row>
    <row r="239" spans="7:7">
      <c r="G239" s="6"/>
    </row>
    <row r="240" spans="7:7">
      <c r="G240" s="6"/>
    </row>
    <row r="241" spans="7:7">
      <c r="G241" s="6"/>
    </row>
    <row r="242" spans="7:7">
      <c r="G242" s="6"/>
    </row>
    <row r="243" spans="7:7">
      <c r="G243" s="6"/>
    </row>
    <row r="244" spans="7:7">
      <c r="G244" s="6"/>
    </row>
    <row r="245" spans="7:7">
      <c r="G245" s="6"/>
    </row>
    <row r="246" spans="7:7">
      <c r="G246" s="6"/>
    </row>
    <row r="247" spans="7:7">
      <c r="G247" s="6"/>
    </row>
    <row r="248" spans="7:7">
      <c r="G248" s="6"/>
    </row>
    <row r="249" spans="7:7">
      <c r="G249" s="6"/>
    </row>
    <row r="250" spans="7:7">
      <c r="G250" s="6"/>
    </row>
    <row r="251" spans="7:7">
      <c r="G251" s="6"/>
    </row>
    <row r="252" spans="7:7">
      <c r="G252" s="6"/>
    </row>
    <row r="253" spans="7:7">
      <c r="G253" s="6"/>
    </row>
    <row r="254" spans="7:7">
      <c r="G254" s="6"/>
    </row>
    <row r="255" spans="7:7">
      <c r="G255" s="6"/>
    </row>
    <row r="256" spans="7:7">
      <c r="G256" s="6"/>
    </row>
    <row r="257" spans="7:7">
      <c r="G257" s="6"/>
    </row>
    <row r="258" spans="7:7">
      <c r="G258" s="6"/>
    </row>
    <row r="259" spans="7:7">
      <c r="G259" s="6"/>
    </row>
    <row r="260" spans="7:7">
      <c r="G260" s="6"/>
    </row>
    <row r="261" spans="7:7">
      <c r="G261" s="6"/>
    </row>
    <row r="262" spans="7:7">
      <c r="G262" s="6"/>
    </row>
    <row r="263" spans="7:7">
      <c r="G263" s="6"/>
    </row>
    <row r="264" spans="7:7">
      <c r="G264" s="6"/>
    </row>
    <row r="265" spans="7:7">
      <c r="G265" s="6"/>
    </row>
    <row r="266" spans="7:7">
      <c r="G266" s="6"/>
    </row>
    <row r="267" spans="7:7">
      <c r="G267" s="6"/>
    </row>
    <row r="268" spans="7:7">
      <c r="G268" s="6"/>
    </row>
    <row r="269" spans="7:7">
      <c r="G269" s="6"/>
    </row>
    <row r="270" spans="7:7">
      <c r="G270" s="6"/>
    </row>
    <row r="271" spans="7:7">
      <c r="G271" s="6"/>
    </row>
    <row r="272" spans="7:7">
      <c r="G272" s="6"/>
    </row>
    <row r="273" spans="7:7">
      <c r="G273" s="6"/>
    </row>
    <row r="274" spans="7:7">
      <c r="G274" s="6"/>
    </row>
    <row r="275" spans="7:7">
      <c r="G275" s="6"/>
    </row>
    <row r="276" spans="7:7">
      <c r="G276" s="6"/>
    </row>
    <row r="277" spans="7:7">
      <c r="G277" s="6"/>
    </row>
    <row r="278" spans="7:7">
      <c r="G278" s="6"/>
    </row>
    <row r="279" spans="7:7">
      <c r="G279" s="6"/>
    </row>
    <row r="280" spans="7:7">
      <c r="G280" s="6"/>
    </row>
    <row r="281" spans="7:7">
      <c r="G281" s="6"/>
    </row>
    <row r="282" spans="7:7">
      <c r="G282" s="6"/>
    </row>
    <row r="283" spans="7:7">
      <c r="G283" s="6"/>
    </row>
    <row r="284" spans="7:7">
      <c r="G284" s="6"/>
    </row>
    <row r="285" spans="7:7">
      <c r="G285" s="6"/>
    </row>
    <row r="286" spans="7:7">
      <c r="G286" s="6"/>
    </row>
    <row r="287" spans="7:7">
      <c r="G287" s="6"/>
    </row>
    <row r="288" spans="7:7">
      <c r="G288" s="6"/>
    </row>
    <row r="289" spans="7:7">
      <c r="G289" s="6"/>
    </row>
    <row r="290" spans="7:7">
      <c r="G290" s="6"/>
    </row>
    <row r="291" spans="7:7">
      <c r="G291" s="6"/>
    </row>
    <row r="292" spans="7:7">
      <c r="G292" s="6"/>
    </row>
    <row r="293" spans="7:7">
      <c r="G293" s="6"/>
    </row>
    <row r="294" spans="7:7">
      <c r="G294" s="6"/>
    </row>
    <row r="295" spans="7:7">
      <c r="G295" s="6"/>
    </row>
    <row r="296" spans="7:7">
      <c r="G296" s="6"/>
    </row>
    <row r="297" spans="7:7">
      <c r="G297" s="6"/>
    </row>
    <row r="298" spans="7:7">
      <c r="G298" s="6"/>
    </row>
    <row r="299" spans="7:7">
      <c r="G299" s="6"/>
    </row>
    <row r="300" spans="7:7">
      <c r="G300" s="6"/>
    </row>
    <row r="301" spans="7:7">
      <c r="G301" s="6"/>
    </row>
    <row r="302" spans="7:7">
      <c r="G302" s="6"/>
    </row>
    <row r="303" spans="7:7">
      <c r="G303" s="6"/>
    </row>
    <row r="304" spans="7:7">
      <c r="G304" s="6"/>
    </row>
    <row r="305" spans="7:7">
      <c r="G305" s="6"/>
    </row>
    <row r="306" spans="7:7">
      <c r="G306" s="6"/>
    </row>
    <row r="307" spans="7:7">
      <c r="G307" s="6"/>
    </row>
    <row r="308" spans="7:7">
      <c r="G308" s="6"/>
    </row>
    <row r="309" spans="7:7">
      <c r="G309" s="6"/>
    </row>
    <row r="310" spans="7:7">
      <c r="G310" s="6"/>
    </row>
    <row r="311" spans="7:7">
      <c r="G311" s="6"/>
    </row>
    <row r="312" spans="7:7">
      <c r="G312" s="6"/>
    </row>
    <row r="313" spans="7:7">
      <c r="G313" s="6"/>
    </row>
    <row r="314" spans="7:7">
      <c r="G314" s="6"/>
    </row>
    <row r="315" spans="7:7">
      <c r="G315" s="6"/>
    </row>
    <row r="316" spans="7:7">
      <c r="G316" s="6"/>
    </row>
    <row r="317" spans="7:7">
      <c r="G317" s="6"/>
    </row>
    <row r="318" spans="7:7">
      <c r="G318" s="6"/>
    </row>
    <row r="319" spans="7:7">
      <c r="G319" s="6"/>
    </row>
    <row r="320" spans="7:7">
      <c r="G320" s="6"/>
    </row>
    <row r="321" spans="7:7">
      <c r="G321" s="6"/>
    </row>
    <row r="322" spans="7:7">
      <c r="G322" s="6"/>
    </row>
    <row r="323" spans="7:7">
      <c r="G323" s="6"/>
    </row>
    <row r="324" spans="7:7">
      <c r="G324" s="6"/>
    </row>
    <row r="325" spans="7:7">
      <c r="G325" s="6"/>
    </row>
    <row r="326" spans="7:7">
      <c r="G326" s="6"/>
    </row>
    <row r="327" spans="7:7">
      <c r="G327" s="6"/>
    </row>
    <row r="328" spans="7:7">
      <c r="G328" s="6"/>
    </row>
    <row r="329" spans="7:7">
      <c r="G329" s="6"/>
    </row>
    <row r="330" spans="7:7">
      <c r="G330" s="6"/>
    </row>
    <row r="331" spans="7:7">
      <c r="G331" s="6"/>
    </row>
    <row r="332" spans="7:7">
      <c r="G332" s="6"/>
    </row>
    <row r="333" spans="7:7">
      <c r="G333" s="6"/>
    </row>
    <row r="334" spans="7:7">
      <c r="G334" s="6"/>
    </row>
    <row r="335" spans="7:7">
      <c r="G335" s="6"/>
    </row>
    <row r="336" spans="7:7">
      <c r="G336" s="6"/>
    </row>
    <row r="337" spans="7:7">
      <c r="G337" s="6"/>
    </row>
    <row r="338" spans="7:7">
      <c r="G338" s="6"/>
    </row>
    <row r="339" spans="7:7">
      <c r="G339" s="6"/>
    </row>
    <row r="340" spans="7:7">
      <c r="G340" s="6"/>
    </row>
    <row r="341" spans="7:7">
      <c r="G341" s="6"/>
    </row>
    <row r="342" spans="7:7">
      <c r="G342" s="6"/>
    </row>
    <row r="343" spans="7:7">
      <c r="G343" s="6"/>
    </row>
    <row r="344" spans="7:7">
      <c r="G344" s="6"/>
    </row>
    <row r="345" spans="7:7">
      <c r="G345" s="6"/>
    </row>
    <row r="346" spans="7:7">
      <c r="G346" s="6"/>
    </row>
    <row r="347" spans="7:7">
      <c r="G347" s="6"/>
    </row>
    <row r="348" spans="7:7">
      <c r="G348" s="6"/>
    </row>
    <row r="349" spans="7:7">
      <c r="G349" s="6"/>
    </row>
    <row r="350" spans="7:7">
      <c r="G350" s="6"/>
    </row>
    <row r="351" spans="7:7">
      <c r="G351" s="6"/>
    </row>
    <row r="352" spans="7:7">
      <c r="G352" s="6"/>
    </row>
    <row r="353" spans="7:7">
      <c r="G353" s="6"/>
    </row>
    <row r="354" spans="7:7">
      <c r="G354" s="6"/>
    </row>
    <row r="355" spans="7:7">
      <c r="G355" s="6"/>
    </row>
    <row r="356" spans="7:7">
      <c r="G356" s="6"/>
    </row>
    <row r="357" spans="7:7">
      <c r="G357" s="6"/>
    </row>
    <row r="358" spans="7:7">
      <c r="G358" s="6"/>
    </row>
    <row r="359" spans="7:7">
      <c r="G359" s="6"/>
    </row>
    <row r="360" spans="7:7">
      <c r="G360" s="6"/>
    </row>
    <row r="361" spans="7:7">
      <c r="G361" s="6"/>
    </row>
    <row r="362" spans="7:7">
      <c r="G362" s="6"/>
    </row>
    <row r="363" spans="7:7">
      <c r="G363" s="6"/>
    </row>
    <row r="364" spans="7:7">
      <c r="G364" s="6"/>
    </row>
    <row r="365" spans="7:7">
      <c r="G365" s="6"/>
    </row>
    <row r="366" spans="7:7">
      <c r="G366" s="6"/>
    </row>
    <row r="367" spans="7:7">
      <c r="G367" s="6"/>
    </row>
    <row r="368" spans="7:7">
      <c r="G368" s="6"/>
    </row>
    <row r="369" spans="7:7">
      <c r="G369" s="6"/>
    </row>
    <row r="370" spans="7:7">
      <c r="G370" s="6"/>
    </row>
    <row r="371" spans="7:7">
      <c r="G371" s="6"/>
    </row>
    <row r="372" spans="7:7">
      <c r="G372" s="6"/>
    </row>
    <row r="373" spans="7:7">
      <c r="G373" s="6"/>
    </row>
    <row r="374" spans="7:7">
      <c r="G374" s="6"/>
    </row>
    <row r="375" spans="7:7">
      <c r="G375" s="6"/>
    </row>
    <row r="376" spans="7:7">
      <c r="G376" s="6"/>
    </row>
    <row r="377" spans="7:7">
      <c r="G377" s="6"/>
    </row>
    <row r="378" spans="7:7">
      <c r="G378" s="6"/>
    </row>
    <row r="379" spans="7:7">
      <c r="G379" s="6"/>
    </row>
    <row r="380" spans="7:7">
      <c r="G380" s="6"/>
    </row>
    <row r="381" spans="7:7">
      <c r="G381" s="6"/>
    </row>
    <row r="382" spans="7:7">
      <c r="G382" s="6"/>
    </row>
    <row r="383" spans="7:7">
      <c r="G383" s="6"/>
    </row>
    <row r="384" spans="7:7">
      <c r="G384" s="6"/>
    </row>
    <row r="385" spans="7:7">
      <c r="G385" s="6"/>
    </row>
    <row r="386" spans="7:7">
      <c r="G386" s="6"/>
    </row>
    <row r="387" spans="7:7">
      <c r="G387" s="6"/>
    </row>
    <row r="388" spans="7:7">
      <c r="G388" s="6"/>
    </row>
    <row r="389" spans="7:7">
      <c r="G389" s="6"/>
    </row>
    <row r="390" spans="7:7">
      <c r="G390" s="6"/>
    </row>
    <row r="391" spans="7:7">
      <c r="G391" s="6"/>
    </row>
    <row r="392" spans="7:7">
      <c r="G392" s="6"/>
    </row>
    <row r="393" spans="7:7">
      <c r="G393" s="6"/>
    </row>
    <row r="394" spans="7:7">
      <c r="G394" s="6"/>
    </row>
    <row r="395" spans="7:7">
      <c r="G395" s="6"/>
    </row>
    <row r="396" spans="7:7">
      <c r="G396" s="6"/>
    </row>
    <row r="397" spans="7:7">
      <c r="G397" s="6"/>
    </row>
    <row r="398" spans="7:7">
      <c r="G398" s="6"/>
    </row>
    <row r="399" spans="7:7">
      <c r="G399" s="6"/>
    </row>
    <row r="400" spans="7:7">
      <c r="G400" s="6"/>
    </row>
    <row r="401" spans="7:7">
      <c r="G401" s="6"/>
    </row>
    <row r="402" spans="7:7">
      <c r="G402" s="6"/>
    </row>
    <row r="403" spans="7:7">
      <c r="G403" s="6"/>
    </row>
    <row r="404" spans="7:7">
      <c r="G404" s="6"/>
    </row>
    <row r="405" spans="7:7">
      <c r="G405" s="6"/>
    </row>
    <row r="406" spans="7:7">
      <c r="G406" s="6"/>
    </row>
    <row r="407" spans="7:7">
      <c r="G407" s="6"/>
    </row>
    <row r="408" spans="7:7">
      <c r="G408" s="6"/>
    </row>
    <row r="409" spans="7:7">
      <c r="G409" s="6"/>
    </row>
    <row r="410" spans="7:7">
      <c r="G410" s="6"/>
    </row>
    <row r="411" spans="7:7">
      <c r="G411" s="6"/>
    </row>
    <row r="412" spans="7:7">
      <c r="G412" s="6"/>
    </row>
    <row r="413" spans="7:7">
      <c r="G413" s="6"/>
    </row>
    <row r="414" spans="7:7">
      <c r="G414" s="6"/>
    </row>
    <row r="415" spans="7:7">
      <c r="G415" s="6"/>
    </row>
    <row r="416" spans="7:7">
      <c r="G416" s="6"/>
    </row>
    <row r="417" spans="7:7">
      <c r="G417" s="6"/>
    </row>
    <row r="418" spans="7:7">
      <c r="G418" s="6"/>
    </row>
    <row r="419" spans="7:7">
      <c r="G419" s="6"/>
    </row>
    <row r="420" spans="7:7">
      <c r="G420" s="6"/>
    </row>
    <row r="421" spans="7:7">
      <c r="G421" s="6"/>
    </row>
    <row r="422" spans="7:7">
      <c r="G422" s="6"/>
    </row>
    <row r="423" spans="7:7">
      <c r="G423" s="6"/>
    </row>
    <row r="424" spans="7:7">
      <c r="G424" s="6"/>
    </row>
    <row r="425" spans="7:7">
      <c r="G425" s="6"/>
    </row>
    <row r="426" spans="7:7">
      <c r="G426" s="6"/>
    </row>
    <row r="427" spans="7:7">
      <c r="G427" s="6"/>
    </row>
    <row r="428" spans="7:7">
      <c r="G428" s="6"/>
    </row>
    <row r="429" spans="7:7">
      <c r="G429" s="6"/>
    </row>
    <row r="430" spans="7:7">
      <c r="G430" s="6"/>
    </row>
    <row r="431" spans="7:7">
      <c r="G431" s="6"/>
    </row>
    <row r="432" spans="7:7">
      <c r="G432" s="6"/>
    </row>
    <row r="433" spans="7:7">
      <c r="G433" s="6"/>
    </row>
    <row r="434" spans="7:7">
      <c r="G434" s="6"/>
    </row>
    <row r="435" spans="7:7">
      <c r="G435" s="6"/>
    </row>
    <row r="436" spans="7:7">
      <c r="G436" s="6"/>
    </row>
    <row r="437" spans="7:7">
      <c r="G437" s="6"/>
    </row>
    <row r="438" spans="7:7">
      <c r="G438" s="6"/>
    </row>
    <row r="439" spans="7:7">
      <c r="G439" s="6"/>
    </row>
    <row r="440" spans="7:7">
      <c r="G440" s="6"/>
    </row>
    <row r="441" spans="7:7">
      <c r="G441" s="6"/>
    </row>
    <row r="442" spans="7:7">
      <c r="G442" s="6"/>
    </row>
    <row r="443" spans="7:7">
      <c r="G443" s="6"/>
    </row>
    <row r="444" spans="7:7">
      <c r="G444" s="6"/>
    </row>
    <row r="445" spans="7:7">
      <c r="G445" s="6"/>
    </row>
    <row r="446" spans="7:7">
      <c r="G446" s="6"/>
    </row>
    <row r="447" spans="7:7">
      <c r="G447" s="6"/>
    </row>
    <row r="448" spans="7:7">
      <c r="G448" s="6"/>
    </row>
    <row r="449" spans="7:7">
      <c r="G449" s="6"/>
    </row>
    <row r="450" spans="7:7">
      <c r="G450" s="6"/>
    </row>
    <row r="451" spans="7:7">
      <c r="G451" s="6"/>
    </row>
    <row r="452" spans="7:7">
      <c r="G452" s="6"/>
    </row>
    <row r="453" spans="7:7">
      <c r="G453" s="6"/>
    </row>
    <row r="454" spans="7:7">
      <c r="G454" s="6"/>
    </row>
    <row r="455" spans="7:7">
      <c r="G455" s="6"/>
    </row>
    <row r="456" spans="7:7">
      <c r="G456" s="6"/>
    </row>
    <row r="457" spans="7:7">
      <c r="G457" s="6"/>
    </row>
    <row r="458" spans="7:7">
      <c r="G458" s="6"/>
    </row>
    <row r="459" spans="7:7">
      <c r="G459" s="6"/>
    </row>
    <row r="460" spans="7:7">
      <c r="G460" s="6"/>
    </row>
    <row r="461" spans="7:7">
      <c r="G461" s="6"/>
    </row>
    <row r="462" spans="7:7">
      <c r="G462" s="6"/>
    </row>
    <row r="463" spans="7:7">
      <c r="G463" s="6"/>
    </row>
    <row r="464" spans="7:7">
      <c r="G464" s="6"/>
    </row>
    <row r="465" spans="7:7">
      <c r="G465" s="6"/>
    </row>
    <row r="466" spans="7:7">
      <c r="G466" s="6"/>
    </row>
    <row r="467" spans="7:7">
      <c r="G467" s="6"/>
    </row>
    <row r="468" spans="7:7">
      <c r="G468" s="6"/>
    </row>
    <row r="469" spans="7:7">
      <c r="G469" s="6"/>
    </row>
    <row r="470" spans="7:7">
      <c r="G470" s="6"/>
    </row>
    <row r="471" spans="7:7">
      <c r="G471" s="6"/>
    </row>
    <row r="472" spans="7:7">
      <c r="G472" s="6"/>
    </row>
    <row r="473" spans="7:7">
      <c r="G473" s="6"/>
    </row>
    <row r="474" spans="7:7">
      <c r="G474" s="6"/>
    </row>
    <row r="475" spans="7:7">
      <c r="G475" s="6"/>
    </row>
    <row r="476" spans="7:7">
      <c r="G476" s="6"/>
    </row>
    <row r="477" spans="7:7">
      <c r="G477" s="6"/>
    </row>
    <row r="478" spans="7:7">
      <c r="G478" s="6"/>
    </row>
    <row r="479" spans="7:7">
      <c r="G479" s="6"/>
    </row>
    <row r="480" spans="7:7">
      <c r="G480" s="6"/>
    </row>
    <row r="481" spans="7:7">
      <c r="G481" s="6"/>
    </row>
    <row r="482" spans="7:7">
      <c r="G482" s="6"/>
    </row>
    <row r="483" spans="7:7">
      <c r="G483" s="6"/>
    </row>
    <row r="484" spans="7:7">
      <c r="G484" s="6"/>
    </row>
    <row r="485" spans="7:7">
      <c r="G485" s="6"/>
    </row>
    <row r="486" spans="7:7">
      <c r="G486" s="6"/>
    </row>
    <row r="487" spans="7:7">
      <c r="G487" s="6"/>
    </row>
    <row r="488" spans="7:7">
      <c r="G488" s="6"/>
    </row>
    <row r="489" spans="7:7">
      <c r="G489" s="6"/>
    </row>
    <row r="490" spans="7:7">
      <c r="G490" s="6"/>
    </row>
    <row r="491" spans="7:7">
      <c r="G491" s="6"/>
    </row>
    <row r="492" spans="7:7">
      <c r="G492" s="6"/>
    </row>
    <row r="493" spans="7:7">
      <c r="G493" s="6"/>
    </row>
    <row r="494" spans="7:7">
      <c r="G494" s="6"/>
    </row>
    <row r="495" spans="7:7">
      <c r="G495" s="6"/>
    </row>
    <row r="496" spans="7:7">
      <c r="G496" s="6"/>
    </row>
    <row r="497" spans="7:7">
      <c r="G497" s="6"/>
    </row>
    <row r="498" spans="7:7">
      <c r="G498" s="6"/>
    </row>
    <row r="499" spans="7:7">
      <c r="G499" s="6"/>
    </row>
    <row r="500" spans="7:7">
      <c r="G500" s="6"/>
    </row>
    <row r="501" spans="7:7">
      <c r="G501" s="6"/>
    </row>
    <row r="502" spans="7:7">
      <c r="G502" s="6"/>
    </row>
    <row r="503" spans="7:7">
      <c r="G503" s="6"/>
    </row>
    <row r="504" spans="7:7">
      <c r="G504" s="6"/>
    </row>
    <row r="505" spans="7:7">
      <c r="G505" s="6"/>
    </row>
    <row r="506" spans="7:7">
      <c r="G506" s="6"/>
    </row>
    <row r="507" spans="7:7">
      <c r="G507" s="6"/>
    </row>
    <row r="508" spans="7:7">
      <c r="G508" s="6"/>
    </row>
    <row r="509" spans="7:7">
      <c r="G509" s="6"/>
    </row>
    <row r="510" spans="7:7">
      <c r="G510" s="6"/>
    </row>
    <row r="511" spans="7:7">
      <c r="G511" s="6"/>
    </row>
    <row r="512" spans="7:7">
      <c r="G512" s="6"/>
    </row>
    <row r="513" spans="7:7">
      <c r="G513" s="6"/>
    </row>
    <row r="514" spans="7:7">
      <c r="G514" s="6"/>
    </row>
    <row r="515" spans="7:7">
      <c r="G515" s="6"/>
    </row>
    <row r="516" spans="7:7">
      <c r="G516" s="6"/>
    </row>
    <row r="517" spans="7:7">
      <c r="G517" s="6"/>
    </row>
    <row r="518" spans="7:7">
      <c r="G518" s="6"/>
    </row>
    <row r="519" spans="7:7">
      <c r="G519" s="6"/>
    </row>
    <row r="520" spans="7:7">
      <c r="G520" s="6"/>
    </row>
    <row r="521" spans="7:7">
      <c r="G521" s="6"/>
    </row>
    <row r="522" spans="7:7">
      <c r="G522" s="6"/>
    </row>
    <row r="523" spans="7:7">
      <c r="G523" s="6"/>
    </row>
    <row r="524" spans="7:7">
      <c r="G524" s="6"/>
    </row>
    <row r="525" spans="7:7">
      <c r="G525" s="6"/>
    </row>
    <row r="526" spans="7:7">
      <c r="G526" s="6"/>
    </row>
    <row r="527" spans="7:7">
      <c r="G527" s="6"/>
    </row>
    <row r="528" spans="7:7">
      <c r="G528" s="6"/>
    </row>
    <row r="529" spans="7:7">
      <c r="G529" s="6"/>
    </row>
    <row r="530" spans="7:7">
      <c r="G530" s="6"/>
    </row>
    <row r="531" spans="7:7">
      <c r="G531" s="6"/>
    </row>
    <row r="532" spans="7:7">
      <c r="G532" s="6"/>
    </row>
    <row r="533" spans="7:7">
      <c r="G533" s="6"/>
    </row>
    <row r="534" spans="7:7">
      <c r="G534" s="6"/>
    </row>
    <row r="535" spans="7:7">
      <c r="G535" s="6"/>
    </row>
    <row r="536" spans="7:7">
      <c r="G536" s="6"/>
    </row>
    <row r="537" spans="7:7">
      <c r="G537" s="6"/>
    </row>
    <row r="538" spans="7:7">
      <c r="G538" s="6"/>
    </row>
    <row r="539" spans="7:7">
      <c r="G539" s="6"/>
    </row>
    <row r="540" spans="7:7">
      <c r="G540" s="6"/>
    </row>
    <row r="541" spans="7:7">
      <c r="G541" s="6"/>
    </row>
    <row r="542" spans="7:7">
      <c r="G542" s="6"/>
    </row>
    <row r="543" spans="7:7">
      <c r="G543" s="6"/>
    </row>
    <row r="544" spans="7:7">
      <c r="G544" s="6"/>
    </row>
    <row r="545" spans="7:7">
      <c r="G545" s="6"/>
    </row>
    <row r="546" spans="7:7">
      <c r="G546" s="6"/>
    </row>
    <row r="547" spans="7:7">
      <c r="G547" s="6"/>
    </row>
    <row r="548" spans="7:7">
      <c r="G548" s="6"/>
    </row>
    <row r="549" spans="7:7">
      <c r="G549" s="6"/>
    </row>
    <row r="550" spans="7:7">
      <c r="G550" s="6"/>
    </row>
    <row r="551" spans="7:7">
      <c r="G551" s="6"/>
    </row>
    <row r="552" spans="7:7">
      <c r="G552" s="6"/>
    </row>
    <row r="553" spans="7:7">
      <c r="G553" s="6"/>
    </row>
    <row r="554" spans="7:7">
      <c r="G554" s="6"/>
    </row>
    <row r="555" spans="7:7">
      <c r="G555" s="6"/>
    </row>
    <row r="556" spans="7:7">
      <c r="G556" s="6"/>
    </row>
    <row r="557" spans="7:7">
      <c r="G557" s="6"/>
    </row>
    <row r="558" spans="7:7">
      <c r="G558" s="6"/>
    </row>
    <row r="559" spans="7:7">
      <c r="G559" s="6"/>
    </row>
    <row r="560" spans="7:7">
      <c r="G560" s="6"/>
    </row>
    <row r="561" spans="7:7">
      <c r="G561" s="6"/>
    </row>
    <row r="562" spans="7:7">
      <c r="G562" s="6"/>
    </row>
    <row r="563" spans="7:7">
      <c r="G563" s="6"/>
    </row>
    <row r="564" spans="7:7">
      <c r="G564" s="6"/>
    </row>
    <row r="565" spans="7:7">
      <c r="G565" s="6"/>
    </row>
    <row r="566" spans="7:7">
      <c r="G566" s="6"/>
    </row>
    <row r="567" spans="7:7">
      <c r="G567" s="6"/>
    </row>
    <row r="568" spans="7:7">
      <c r="G568" s="6"/>
    </row>
    <row r="569" spans="7:7">
      <c r="G569" s="6"/>
    </row>
    <row r="570" spans="7:7">
      <c r="G570" s="6"/>
    </row>
    <row r="571" spans="7:7">
      <c r="G571" s="6"/>
    </row>
    <row r="572" spans="7:7">
      <c r="G572" s="6"/>
    </row>
    <row r="573" spans="7:7">
      <c r="G573" s="6"/>
    </row>
    <row r="574" spans="7:7">
      <c r="G574" s="6"/>
    </row>
    <row r="575" spans="7:7">
      <c r="G575" s="6"/>
    </row>
    <row r="576" spans="7:7">
      <c r="G576" s="6"/>
    </row>
    <row r="577" spans="7:7">
      <c r="G577" s="6"/>
    </row>
    <row r="578" spans="7:7">
      <c r="G578" s="6"/>
    </row>
    <row r="579" spans="7:7">
      <c r="G579" s="6"/>
    </row>
    <row r="580" spans="7:7">
      <c r="G580" s="6"/>
    </row>
    <row r="581" spans="7:7">
      <c r="G581" s="6"/>
    </row>
    <row r="582" spans="7:7">
      <c r="G582" s="6"/>
    </row>
    <row r="583" spans="7:7">
      <c r="G583" s="6"/>
    </row>
    <row r="584" spans="7:7">
      <c r="G584" s="6"/>
    </row>
    <row r="585" spans="7:7">
      <c r="G585" s="6"/>
    </row>
    <row r="586" spans="7:7">
      <c r="G586" s="6"/>
    </row>
    <row r="587" spans="7:7">
      <c r="G587" s="6"/>
    </row>
    <row r="588" spans="7:7">
      <c r="G588" s="6"/>
    </row>
    <row r="589" spans="7:7">
      <c r="G589" s="6"/>
    </row>
    <row r="590" spans="7:7">
      <c r="G590" s="6"/>
    </row>
    <row r="591" spans="7:7">
      <c r="G591" s="6"/>
    </row>
    <row r="592" spans="7:7">
      <c r="G592" s="6"/>
    </row>
    <row r="593" spans="7:7">
      <c r="G593" s="6"/>
    </row>
    <row r="594" spans="7:7">
      <c r="G594" s="6"/>
    </row>
    <row r="595" spans="7:7">
      <c r="G595" s="6"/>
    </row>
    <row r="596" spans="7:7">
      <c r="G596" s="6"/>
    </row>
    <row r="597" spans="7:7">
      <c r="G597" s="6"/>
    </row>
    <row r="598" spans="7:7">
      <c r="G598" s="6"/>
    </row>
    <row r="599" spans="7:7">
      <c r="G599" s="6"/>
    </row>
  </sheetData>
  <mergeCells count="2">
    <mergeCell ref="A1:A3"/>
    <mergeCell ref="AV2:AX2"/>
  </mergeCells>
  <conditionalFormatting sqref="G3:BU3">
    <cfRule type="cellIs" dxfId="91" priority="13" operator="equal">
      <formula>#REF!</formula>
    </cfRule>
    <cfRule type="cellIs" dxfId="90" priority="14" operator="equal">
      <formula>#REF!</formula>
    </cfRule>
  </conditionalFormatting>
  <conditionalFormatting sqref="G3:BU3">
    <cfRule type="cellIs" dxfId="89" priority="15" operator="equal">
      <formula>#REF!</formula>
    </cfRule>
    <cfRule type="cellIs" dxfId="88" priority="16" operator="equal">
      <formula>#REF!</formula>
    </cfRule>
  </conditionalFormatting>
  <conditionalFormatting sqref="AE4:AR4">
    <cfRule type="cellIs" dxfId="87" priority="9" operator="equal">
      <formula>#REF!</formula>
    </cfRule>
    <cfRule type="cellIs" dxfId="86" priority="10" operator="equal">
      <formula>#REF!</formula>
    </cfRule>
  </conditionalFormatting>
  <conditionalFormatting sqref="AE4:AR4">
    <cfRule type="cellIs" dxfId="85" priority="11" operator="equal">
      <formula>#REF!</formula>
    </cfRule>
    <cfRule type="cellIs" dxfId="84" priority="12" operator="equal">
      <formula>#REF!</formula>
    </cfRule>
  </conditionalFormatting>
  <conditionalFormatting sqref="D3:AU3">
    <cfRule type="cellIs" dxfId="83" priority="1" operator="equal">
      <formula>#REF!</formula>
    </cfRule>
    <cfRule type="cellIs" dxfId="82" priority="2" operator="equal">
      <formula>#REF!</formula>
    </cfRule>
  </conditionalFormatting>
  <conditionalFormatting sqref="D3:AU3">
    <cfRule type="cellIs" dxfId="81" priority="3" operator="equal">
      <formula>#REF!</formula>
    </cfRule>
    <cfRule type="cellIs" dxfId="80" priority="4" operator="equal">
      <formula>#REF!</formula>
    </cfRule>
  </conditionalFormatting>
  <pageMargins left="0.7" right="0.7" top="0.75" bottom="0.75" header="0.3" footer="0.3"/>
  <pageSetup orientation="portrait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C9E32-8857-402D-82B1-1BBFE64E13C1}">
  <sheetPr>
    <tabColor theme="6" tint="-0.249977111117893"/>
    <pageSetUpPr fitToPage="1"/>
  </sheetPr>
  <dimension ref="A1:G110"/>
  <sheetViews>
    <sheetView showOutlineSymbols="0" showWhiteSpace="0" topLeftCell="A13" workbookViewId="0">
      <selection activeCell="B70" sqref="B70"/>
    </sheetView>
  </sheetViews>
  <sheetFormatPr defaultColWidth="8.85546875" defaultRowHeight="52.35" customHeight="1"/>
  <cols>
    <col min="1" max="1" width="36.5703125" style="6" bestFit="1" customWidth="1"/>
    <col min="2" max="2" width="22.140625" style="6" bestFit="1" customWidth="1"/>
    <col min="3" max="3" width="22.42578125" style="6" bestFit="1" customWidth="1"/>
    <col min="4" max="4" width="14.85546875" style="6" bestFit="1" customWidth="1"/>
    <col min="5" max="5" width="18.140625" style="6" bestFit="1" customWidth="1"/>
    <col min="6" max="6" width="11.5703125" style="6" customWidth="1"/>
    <col min="7" max="7" width="13.85546875" style="6" customWidth="1"/>
    <col min="8" max="8" width="24.5703125" style="6" customWidth="1"/>
    <col min="9" max="9" width="32.42578125" style="6" customWidth="1"/>
    <col min="10" max="10" width="20.140625" style="6" customWidth="1"/>
    <col min="11" max="16384" width="8.85546875" style="6"/>
  </cols>
  <sheetData>
    <row r="1" spans="1:5" ht="15.95" thickBot="1">
      <c r="A1" s="428" t="s">
        <v>265</v>
      </c>
      <c r="B1" s="429"/>
      <c r="C1" s="429"/>
      <c r="D1" s="427" t="str">
        <f>'Development Program'!A8</f>
        <v>Retail/Hotel</v>
      </c>
      <c r="E1" s="427"/>
    </row>
    <row r="2" spans="1:5" ht="12.95">
      <c r="A2" s="7"/>
      <c r="B2" s="8"/>
      <c r="C2" s="8"/>
      <c r="D2" s="930">
        <v>0</v>
      </c>
      <c r="E2" s="629" t="s">
        <v>266</v>
      </c>
    </row>
    <row r="3" spans="1:5" ht="12.95">
      <c r="A3" s="9" t="s">
        <v>363</v>
      </c>
      <c r="B3" s="10" t="s">
        <v>268</v>
      </c>
      <c r="C3" s="10" t="s">
        <v>398</v>
      </c>
      <c r="D3" s="10" t="s">
        <v>365</v>
      </c>
      <c r="E3" s="11" t="s">
        <v>278</v>
      </c>
    </row>
    <row r="4" spans="1:5" ht="12.95">
      <c r="A4" s="232"/>
      <c r="B4" s="631">
        <v>0</v>
      </c>
      <c r="C4" s="631">
        <v>0</v>
      </c>
      <c r="D4" s="808">
        <v>0</v>
      </c>
      <c r="E4" s="633">
        <f>12*B4*C4*D4</f>
        <v>0</v>
      </c>
    </row>
    <row r="5" spans="1:5" ht="12.95" hidden="1">
      <c r="A5" s="630"/>
      <c r="B5" s="931"/>
      <c r="C5" s="931"/>
      <c r="D5" s="932"/>
      <c r="E5" s="633"/>
    </row>
    <row r="6" spans="1:5" ht="12.95" hidden="1">
      <c r="A6" s="232"/>
      <c r="B6" s="933"/>
      <c r="C6" s="933"/>
      <c r="D6" s="932"/>
      <c r="E6" s="633"/>
    </row>
    <row r="7" spans="1:5" ht="12.95" hidden="1">
      <c r="A7" s="232"/>
      <c r="B7" s="931"/>
      <c r="C7" s="931"/>
      <c r="D7" s="932"/>
      <c r="E7" s="633"/>
    </row>
    <row r="8" spans="1:5" ht="12.6" hidden="1">
      <c r="A8" s="232"/>
      <c r="B8" s="634"/>
      <c r="C8" s="634"/>
      <c r="D8" s="637"/>
      <c r="E8" s="633"/>
    </row>
    <row r="9" spans="1:5" ht="12.95" thickBot="1">
      <c r="A9" s="232"/>
      <c r="B9" s="634"/>
      <c r="C9" s="634"/>
      <c r="D9" s="637"/>
      <c r="E9" s="638"/>
    </row>
    <row r="10" spans="1:5" ht="14.1" thickTop="1" thickBot="1">
      <c r="A10" s="12" t="s">
        <v>273</v>
      </c>
      <c r="B10" s="13">
        <f>SUM(B4:B9)</f>
        <v>0</v>
      </c>
      <c r="C10" s="14">
        <f>B4*C4+B5*C5+B6*C6+B7*C7+B8*C8+B9*C9</f>
        <v>0</v>
      </c>
      <c r="D10" s="15"/>
      <c r="E10" s="639">
        <f>SUM(E4:E9)</f>
        <v>0</v>
      </c>
    </row>
    <row r="11" spans="1:5" ht="14.1" thickTop="1" thickBot="1">
      <c r="A11" s="16" t="s">
        <v>274</v>
      </c>
      <c r="B11" s="17"/>
      <c r="C11" s="18">
        <f>IF(B10=0,0,C10/B10)</f>
        <v>0</v>
      </c>
      <c r="D11" s="19">
        <v>0</v>
      </c>
      <c r="E11" s="20"/>
    </row>
    <row r="12" spans="1:5" ht="12.95">
      <c r="A12" s="21"/>
      <c r="B12" s="22"/>
      <c r="C12" s="23"/>
      <c r="D12" s="24"/>
    </row>
    <row r="13" spans="1:5" ht="12.95">
      <c r="A13" s="9" t="s">
        <v>275</v>
      </c>
      <c r="B13" s="10" t="s">
        <v>412</v>
      </c>
      <c r="C13" s="10" t="s">
        <v>277</v>
      </c>
      <c r="D13" s="10" t="s">
        <v>278</v>
      </c>
    </row>
    <row r="14" spans="1:5" ht="47.25" customHeight="1">
      <c r="A14" s="640" t="s">
        <v>46</v>
      </c>
      <c r="B14" s="641">
        <f>22466.57+26146.6</f>
        <v>48613.17</v>
      </c>
      <c r="C14" s="884">
        <f>Assumptions!F11</f>
        <v>30</v>
      </c>
      <c r="D14" s="643">
        <f>B14*C14</f>
        <v>1458395.0999999999</v>
      </c>
    </row>
    <row r="15" spans="1:5" ht="13.5" thickBot="1">
      <c r="A15" s="644" t="s">
        <v>39</v>
      </c>
      <c r="B15" s="645">
        <f>200*320</f>
        <v>64000</v>
      </c>
      <c r="C15" s="885">
        <f>Assumptions!F8/320</f>
        <v>0.546875</v>
      </c>
      <c r="D15" s="647">
        <f>B15*C15*365*(1-Assumptions!I12)</f>
        <v>8942500</v>
      </c>
      <c r="E15" s="6" t="s">
        <v>413</v>
      </c>
    </row>
    <row r="16" spans="1:5" ht="13.5" thickTop="1" thickBot="1">
      <c r="A16" s="25" t="s">
        <v>279</v>
      </c>
      <c r="B16" s="648">
        <f>SUM(B14:B15)</f>
        <v>112613.17</v>
      </c>
      <c r="C16" s="26">
        <f>IF(B16=0,0,D16/B16)</f>
        <v>92.359491345461635</v>
      </c>
      <c r="D16" s="27">
        <f>SUM(D14:D15)</f>
        <v>10400895.1</v>
      </c>
    </row>
    <row r="17" spans="1:5" ht="12.95">
      <c r="A17" s="652" t="s">
        <v>280</v>
      </c>
      <c r="B17" s="650"/>
    </row>
    <row r="18" spans="1:5" ht="12.95">
      <c r="A18" s="514" t="s">
        <v>372</v>
      </c>
      <c r="B18" s="651">
        <v>0</v>
      </c>
      <c r="C18" s="29"/>
      <c r="D18" s="30"/>
    </row>
    <row r="19" spans="1:5" ht="13.5" thickBot="1">
      <c r="A19" s="515" t="s">
        <v>373</v>
      </c>
      <c r="B19" s="651">
        <f>(200/3)+B14/Assumptions!C28</f>
        <v>228.71056666666669</v>
      </c>
      <c r="C19" s="29"/>
      <c r="D19" s="30"/>
    </row>
    <row r="20" spans="1:5" ht="13.5" thickTop="1" thickBot="1">
      <c r="A20" s="31" t="s">
        <v>284</v>
      </c>
      <c r="B20" s="32">
        <f>SUM(B18:B19)</f>
        <v>228.71056666666669</v>
      </c>
      <c r="C20" s="29"/>
      <c r="D20" s="30"/>
    </row>
    <row r="21" spans="1:5" ht="12.95">
      <c r="A21" s="652" t="s">
        <v>285</v>
      </c>
      <c r="B21" s="934" t="str">
        <f>D1</f>
        <v>Retail/Hotel</v>
      </c>
      <c r="C21" s="33"/>
      <c r="D21" s="33"/>
      <c r="E21" s="33"/>
    </row>
    <row r="22" spans="1:5" ht="12.95">
      <c r="A22" s="654" t="s">
        <v>286</v>
      </c>
      <c r="B22" s="655">
        <f>'Development Program'!C8</f>
        <v>122415.09</v>
      </c>
      <c r="C22" s="34"/>
      <c r="D22" s="35"/>
      <c r="E22" s="33"/>
    </row>
    <row r="23" spans="1:5" ht="12.95">
      <c r="A23" s="654" t="s">
        <v>414</v>
      </c>
      <c r="B23" s="655">
        <f>B16</f>
        <v>112613.17</v>
      </c>
      <c r="C23" s="34"/>
      <c r="D23" s="35"/>
      <c r="E23" s="33"/>
    </row>
    <row r="24" spans="1:5" ht="12.95">
      <c r="A24" s="656">
        <v>171</v>
      </c>
      <c r="B24" s="655">
        <f>B20*A24</f>
        <v>39109.506900000008</v>
      </c>
      <c r="C24" s="34"/>
      <c r="D24" s="35"/>
      <c r="E24" s="33"/>
    </row>
    <row r="25" spans="1:5" ht="12.95">
      <c r="A25" s="810">
        <v>0.15</v>
      </c>
      <c r="B25" s="655">
        <f>(1+A25)*(B23+B24)</f>
        <v>174481.078435</v>
      </c>
      <c r="C25" s="34"/>
      <c r="D25" s="35"/>
      <c r="E25" s="33"/>
    </row>
    <row r="26" spans="1:5" ht="13.5" thickBot="1">
      <c r="A26" s="811">
        <v>4</v>
      </c>
      <c r="B26" s="659">
        <f>B25/A26</f>
        <v>43620.269608750001</v>
      </c>
      <c r="C26" s="34"/>
      <c r="D26" s="35"/>
      <c r="E26" s="33"/>
    </row>
    <row r="27" spans="1:5" ht="33.75" customHeight="1" thickBot="1">
      <c r="A27" s="436" t="s">
        <v>289</v>
      </c>
      <c r="B27" s="437"/>
      <c r="C27" s="456" t="str">
        <f>D1</f>
        <v>Retail/Hotel</v>
      </c>
      <c r="D27" s="452"/>
      <c r="E27" s="33"/>
    </row>
    <row r="28" spans="1:5" ht="32.65" customHeight="1" thickBot="1">
      <c r="A28" s="662" t="s">
        <v>290</v>
      </c>
      <c r="B28" s="663" t="s">
        <v>291</v>
      </c>
      <c r="C28" s="663" t="s">
        <v>292</v>
      </c>
      <c r="D28" s="664" t="s">
        <v>293</v>
      </c>
      <c r="E28" s="33"/>
    </row>
    <row r="29" spans="1:5" ht="70.349999999999994" hidden="1" customHeight="1">
      <c r="A29" s="665" t="s">
        <v>375</v>
      </c>
      <c r="B29" s="666">
        <f>IF(D29=0,0,D29/B10)</f>
        <v>0</v>
      </c>
      <c r="C29" s="667">
        <f>IF(D29=0,0,D29/C10)</f>
        <v>0</v>
      </c>
      <c r="D29" s="36">
        <f>E10</f>
        <v>0</v>
      </c>
      <c r="E29" s="33"/>
    </row>
    <row r="30" spans="1:5" ht="12.6">
      <c r="A30" s="812" t="str">
        <f>A16</f>
        <v>Total Commercial</v>
      </c>
      <c r="B30" s="669" t="s">
        <v>376</v>
      </c>
      <c r="C30" s="435"/>
      <c r="D30" s="670">
        <f>D16</f>
        <v>10400895.1</v>
      </c>
      <c r="E30" s="33"/>
    </row>
    <row r="31" spans="1:5" ht="12.95">
      <c r="A31" s="671"/>
      <c r="B31" s="813" t="s">
        <v>377</v>
      </c>
      <c r="C31" s="813"/>
      <c r="D31" s="673">
        <f>SUM(D29:D30)</f>
        <v>10400895.1</v>
      </c>
      <c r="E31" s="33"/>
    </row>
    <row r="32" spans="1:5" ht="12.95">
      <c r="A32" s="814" t="s">
        <v>378</v>
      </c>
      <c r="B32" s="673" t="s">
        <v>415</v>
      </c>
      <c r="C32" s="673"/>
      <c r="D32" s="673"/>
      <c r="E32" s="33"/>
    </row>
    <row r="33" spans="1:5" ht="12.6">
      <c r="A33" s="671" t="s">
        <v>416</v>
      </c>
      <c r="B33" s="677">
        <f>Assumptions!C38</f>
        <v>18</v>
      </c>
      <c r="C33" s="815"/>
      <c r="D33" s="677">
        <f>B33*B20*365</f>
        <v>1502628.4230000002</v>
      </c>
      <c r="E33" s="33"/>
    </row>
    <row r="34" spans="1:5" ht="12.6">
      <c r="A34" s="671" t="s">
        <v>382</v>
      </c>
      <c r="B34" s="677"/>
      <c r="C34" s="815"/>
      <c r="D34" s="677">
        <f>Assumptions!F15*D31</f>
        <v>364031.3285</v>
      </c>
      <c r="E34" s="33"/>
    </row>
    <row r="35" spans="1:5" ht="13.5" thickBot="1">
      <c r="A35" s="37" t="s">
        <v>383</v>
      </c>
      <c r="B35" s="444"/>
      <c r="C35" s="816"/>
      <c r="D35" s="38">
        <f>SUM(D33:D34)</f>
        <v>1866659.7515000002</v>
      </c>
      <c r="E35" s="33"/>
    </row>
    <row r="36" spans="1:5" ht="13.5" thickTop="1" thickBot="1">
      <c r="A36" s="39">
        <f>Assumptions!I10</f>
        <v>0.1</v>
      </c>
      <c r="B36" s="445"/>
      <c r="C36" s="446"/>
      <c r="D36" s="40">
        <f>-A36*D14</f>
        <v>-145839.50999999998</v>
      </c>
      <c r="E36" s="33"/>
    </row>
    <row r="37" spans="1:5" ht="14.1" thickTop="1" thickBot="1">
      <c r="A37" s="817" t="s">
        <v>384</v>
      </c>
      <c r="B37" s="41"/>
      <c r="C37" s="818"/>
      <c r="D37" s="42">
        <f>D31+D35+D36</f>
        <v>12121715.341500001</v>
      </c>
      <c r="E37" s="33"/>
    </row>
    <row r="38" spans="1:5" ht="12.95">
      <c r="A38" s="9" t="s">
        <v>385</v>
      </c>
      <c r="B38" s="10" t="s">
        <v>291</v>
      </c>
      <c r="C38" s="10" t="s">
        <v>386</v>
      </c>
      <c r="D38" s="43" t="s">
        <v>293</v>
      </c>
      <c r="E38" s="33"/>
    </row>
    <row r="39" spans="1:5" ht="13.5" thickBot="1">
      <c r="A39" s="44" t="s">
        <v>387</v>
      </c>
      <c r="B39" s="45"/>
      <c r="C39" s="45"/>
      <c r="D39" s="45">
        <f>-0.3*D31</f>
        <v>-3120268.53</v>
      </c>
      <c r="E39" s="33"/>
    </row>
    <row r="40" spans="1:5" ht="13.5" thickBot="1">
      <c r="A40" s="819" t="s">
        <v>388</v>
      </c>
      <c r="B40" s="820"/>
      <c r="C40" s="821"/>
      <c r="D40" s="820">
        <f>D37+D39</f>
        <v>9001446.8115000017</v>
      </c>
      <c r="E40" s="33"/>
    </row>
    <row r="41" spans="1:5" ht="13.5" thickBot="1">
      <c r="A41" s="822" t="s">
        <v>389</v>
      </c>
      <c r="B41" s="46" t="s">
        <v>390</v>
      </c>
      <c r="C41" s="281">
        <f>B14/B16*Assumptions!H10+'EF Financial'!B15/'EF Financial'!B16*Assumptions!H12</f>
        <v>6.1136634374114499E-2</v>
      </c>
      <c r="D41" s="823">
        <f>D40/C41</f>
        <v>147234909.21036458</v>
      </c>
      <c r="E41" s="33"/>
    </row>
    <row r="42" spans="1:5" ht="13.5" thickBot="1">
      <c r="A42" s="438" t="s">
        <v>296</v>
      </c>
      <c r="B42" s="439"/>
      <c r="C42" s="430" t="str">
        <f>D1</f>
        <v>Retail/Hotel</v>
      </c>
      <c r="D42" s="454"/>
    </row>
    <row r="43" spans="1:5" ht="13.5" thickBot="1">
      <c r="A43" s="652"/>
      <c r="B43" s="48" t="s">
        <v>297</v>
      </c>
      <c r="C43" s="48" t="s">
        <v>298</v>
      </c>
      <c r="D43" s="48" t="s">
        <v>386</v>
      </c>
    </row>
    <row r="44" spans="1:5" ht="12.6">
      <c r="A44" s="674" t="s">
        <v>299</v>
      </c>
      <c r="B44" s="675">
        <f>Assumptions!F24</f>
        <v>207</v>
      </c>
      <c r="C44" s="824">
        <f>B44*(C10+B16)</f>
        <v>23310926.190000001</v>
      </c>
      <c r="D44" s="935">
        <f>C44/B$23</f>
        <v>207.00000000000003</v>
      </c>
    </row>
    <row r="45" spans="1:5" ht="12.6">
      <c r="A45" s="49" t="s">
        <v>391</v>
      </c>
      <c r="B45" s="678">
        <f>Assumptions!C33</f>
        <v>534</v>
      </c>
      <c r="C45" s="50">
        <f>B20*B45</f>
        <v>122131.44260000001</v>
      </c>
      <c r="D45" s="935">
        <f t="shared" ref="D45:D65" si="0">C45/B$23</f>
        <v>1.0845218423386893</v>
      </c>
    </row>
    <row r="46" spans="1:5" ht="12.95">
      <c r="A46" s="49" t="s">
        <v>300</v>
      </c>
      <c r="B46" s="825">
        <v>0.13</v>
      </c>
      <c r="C46" s="50">
        <f>B46*C44</f>
        <v>3030420.4047000003</v>
      </c>
      <c r="D46" s="935">
        <f t="shared" si="0"/>
        <v>26.910000000000004</v>
      </c>
    </row>
    <row r="47" spans="1:5" ht="12.95">
      <c r="A47" s="49" t="s">
        <v>191</v>
      </c>
      <c r="B47" s="825" t="s">
        <v>101</v>
      </c>
      <c r="C47" s="50">
        <f>Assumptions!F48*0.5</f>
        <v>348500</v>
      </c>
      <c r="D47" s="935"/>
    </row>
    <row r="48" spans="1:5" ht="12.6">
      <c r="A48" s="49" t="s">
        <v>301</v>
      </c>
      <c r="B48" s="827">
        <f>Assumptions!F43</f>
        <v>10.5</v>
      </c>
      <c r="C48" s="50">
        <f>B48*'Development Program'!C8</f>
        <v>1285358.4450000001</v>
      </c>
      <c r="D48" s="935">
        <f t="shared" si="0"/>
        <v>11.41392649722941</v>
      </c>
    </row>
    <row r="49" spans="1:7" ht="24.95">
      <c r="A49" s="49" t="s">
        <v>79</v>
      </c>
      <c r="B49" s="828" t="str">
        <f>'CD Financial'!B50</f>
        <v>(Non Residential SF/3000 ) * $72</v>
      </c>
      <c r="C49" s="50">
        <f>(B16/3000)*72</f>
        <v>2702.7160800000001</v>
      </c>
      <c r="D49" s="935">
        <f t="shared" si="0"/>
        <v>2.4E-2</v>
      </c>
    </row>
    <row r="50" spans="1:7" ht="12.6">
      <c r="A50" s="49" t="s">
        <v>302</v>
      </c>
      <c r="B50" s="936" t="str">
        <f>'CD Financial'!B51</f>
        <v>Estimate Calculation</v>
      </c>
      <c r="C50" s="50">
        <f>1799.5+((C44-500000)/1000)*3</f>
        <v>70232.278570000009</v>
      </c>
      <c r="D50" s="935">
        <f t="shared" si="0"/>
        <v>0.62365954683630709</v>
      </c>
    </row>
    <row r="51" spans="1:7" ht="12.95">
      <c r="A51" s="49" t="s">
        <v>303</v>
      </c>
      <c r="B51" s="937" t="s">
        <v>304</v>
      </c>
      <c r="C51" s="50">
        <f>'Development Program'!F24</f>
        <v>455908.45</v>
      </c>
      <c r="D51" s="935">
        <f t="shared" si="0"/>
        <v>4.0484469978067397</v>
      </c>
    </row>
    <row r="52" spans="1:7" ht="12.6">
      <c r="A52" s="514" t="s">
        <v>88</v>
      </c>
      <c r="B52" s="938">
        <v>7.4999999999999997E-3</v>
      </c>
      <c r="C52" s="686">
        <f>B52*C44</f>
        <v>174831.946425</v>
      </c>
      <c r="D52" s="935">
        <f t="shared" si="0"/>
        <v>1.5525</v>
      </c>
    </row>
    <row r="53" spans="1:7" ht="12.6">
      <c r="A53" s="514" t="s">
        <v>90</v>
      </c>
      <c r="B53" s="939">
        <f>Assumptions!F31</f>
        <v>1.4999999999999999E-2</v>
      </c>
      <c r="C53" s="686">
        <f>B53*C48</f>
        <v>19280.376675</v>
      </c>
      <c r="D53" s="935">
        <f t="shared" si="0"/>
        <v>0.17120889745844114</v>
      </c>
      <c r="E53" s="51"/>
    </row>
    <row r="54" spans="1:7" ht="12.6">
      <c r="A54" s="514" t="s">
        <v>305</v>
      </c>
      <c r="B54" s="688">
        <v>0.04</v>
      </c>
      <c r="C54" s="686">
        <f>B54*(C44+C46)</f>
        <v>1053653.8637880001</v>
      </c>
      <c r="D54" s="935">
        <f t="shared" si="0"/>
        <v>9.3564000000000007</v>
      </c>
    </row>
    <row r="55" spans="1:7" ht="12.6">
      <c r="A55" s="514" t="s">
        <v>94</v>
      </c>
      <c r="B55" s="689">
        <v>0.03</v>
      </c>
      <c r="C55" s="686">
        <f>B55*SUM(C44:C54)</f>
        <v>896218.38341513986</v>
      </c>
      <c r="D55" s="935">
        <f t="shared" si="0"/>
        <v>7.9583798539295172</v>
      </c>
    </row>
    <row r="56" spans="1:7" ht="12.6">
      <c r="A56" s="514" t="s">
        <v>306</v>
      </c>
      <c r="B56" s="688">
        <v>0.02</v>
      </c>
      <c r="C56" s="686">
        <f>B56*(C44+C46)</f>
        <v>526826.93189400004</v>
      </c>
      <c r="D56" s="935">
        <f t="shared" si="0"/>
        <v>4.6782000000000004</v>
      </c>
    </row>
    <row r="57" spans="1:7" ht="12.6">
      <c r="A57" s="514" t="s">
        <v>307</v>
      </c>
      <c r="B57" s="832">
        <f>Assumptions!F44</f>
        <v>0.06</v>
      </c>
      <c r="C57" s="686">
        <f>B57*C48</f>
        <v>77121.506699999998</v>
      </c>
      <c r="D57" s="935">
        <f t="shared" si="0"/>
        <v>0.68483558983376458</v>
      </c>
    </row>
    <row r="58" spans="1:7" ht="12.6">
      <c r="A58" s="514" t="s">
        <v>100</v>
      </c>
      <c r="B58" s="940" t="s">
        <v>101</v>
      </c>
      <c r="C58" s="686">
        <f>'Insurance Calculations'!G35</f>
        <v>146364.68342817907</v>
      </c>
      <c r="D58" s="935">
        <f t="shared" si="0"/>
        <v>1.2997119557879337</v>
      </c>
    </row>
    <row r="59" spans="1:7" ht="12.95">
      <c r="A59" s="514" t="s">
        <v>308</v>
      </c>
      <c r="B59" s="833" t="s">
        <v>101</v>
      </c>
      <c r="C59" s="834">
        <v>1500000</v>
      </c>
      <c r="D59" s="935">
        <f t="shared" si="0"/>
        <v>13.31993407165432</v>
      </c>
    </row>
    <row r="60" spans="1:7" ht="12.6">
      <c r="A60" s="514" t="s">
        <v>105</v>
      </c>
      <c r="B60" s="835">
        <f>Assumptions!F38</f>
        <v>6</v>
      </c>
      <c r="C60" s="686">
        <f>-B60*(D39/12)</f>
        <v>1560134.2649999999</v>
      </c>
      <c r="D60" s="935">
        <f t="shared" si="0"/>
        <v>13.853923701819244</v>
      </c>
    </row>
    <row r="61" spans="1:7" ht="12.6">
      <c r="A61" s="514" t="s">
        <v>309</v>
      </c>
      <c r="B61" s="329">
        <f>Assumptions!F39</f>
        <v>45</v>
      </c>
      <c r="C61" s="686">
        <f>B16*B61</f>
        <v>5067592.6500000004</v>
      </c>
      <c r="D61" s="935">
        <f t="shared" si="0"/>
        <v>45.000000000000007</v>
      </c>
    </row>
    <row r="62" spans="1:7" ht="12.6">
      <c r="A62" s="514" t="s">
        <v>417</v>
      </c>
      <c r="B62" s="836">
        <f>Assumptions!F40</f>
        <v>0.06</v>
      </c>
      <c r="C62" s="686">
        <f>B62*D16*5</f>
        <v>3120268.5300000003</v>
      </c>
      <c r="D62" s="935">
        <f t="shared" si="0"/>
        <v>27.707847403638493</v>
      </c>
    </row>
    <row r="63" spans="1:7" ht="12.95">
      <c r="A63" s="514" t="s">
        <v>108</v>
      </c>
      <c r="B63" s="941">
        <v>1.4999999999999999E-2</v>
      </c>
      <c r="C63" s="686">
        <v>384915</v>
      </c>
      <c r="D63" s="935">
        <f t="shared" si="0"/>
        <v>3.418028282127215</v>
      </c>
      <c r="E63" s="449" t="s">
        <v>392</v>
      </c>
      <c r="F63" s="450"/>
      <c r="G63" s="52">
        <f>B63*B76</f>
        <v>404550</v>
      </c>
    </row>
    <row r="64" spans="1:7" ht="12.95">
      <c r="A64" s="694" t="s">
        <v>109</v>
      </c>
      <c r="B64" s="942">
        <v>7.0000000000000007E-2</v>
      </c>
      <c r="C64" s="686">
        <v>1796270.0000000002</v>
      </c>
      <c r="D64" s="935">
        <f t="shared" si="0"/>
        <v>15.950798649927005</v>
      </c>
      <c r="E64" s="449" t="s">
        <v>392</v>
      </c>
      <c r="F64" s="450"/>
      <c r="G64" s="53">
        <f>B64*B76</f>
        <v>1887900.0000000002</v>
      </c>
    </row>
    <row r="65" spans="1:4" ht="13.5" thickBot="1">
      <c r="A65" s="515" t="s">
        <v>312</v>
      </c>
      <c r="B65" s="943"/>
      <c r="C65" s="840"/>
      <c r="D65" s="935">
        <f t="shared" si="0"/>
        <v>0</v>
      </c>
    </row>
    <row r="66" spans="1:4" ht="14.1" thickTop="1" thickBot="1">
      <c r="A66" s="698" t="s">
        <v>313</v>
      </c>
      <c r="B66" s="699"/>
      <c r="C66" s="54">
        <f>SUM(C44:C65)</f>
        <v>44949658.064275317</v>
      </c>
      <c r="D66" s="54">
        <f>C66/B23</f>
        <v>399.15098797303477</v>
      </c>
    </row>
    <row r="67" spans="1:4" ht="12.95">
      <c r="A67" s="700" t="s">
        <v>393</v>
      </c>
      <c r="B67" s="701">
        <f>D40/C66</f>
        <v>0.20025617989414896</v>
      </c>
    </row>
    <row r="68" spans="1:4" ht="12.95">
      <c r="A68" s="702" t="s">
        <v>314</v>
      </c>
      <c r="B68" s="703">
        <f>(D41/C66)-1</f>
        <v>2.2755512622549317</v>
      </c>
      <c r="C68" s="55"/>
      <c r="D68" s="56"/>
    </row>
    <row r="69" spans="1:4" ht="13.5" thickBot="1">
      <c r="A69" s="704">
        <v>0.3</v>
      </c>
      <c r="B69" s="705">
        <f>(D41/(1+A69))</f>
        <v>113257622.46951121</v>
      </c>
    </row>
    <row r="70" spans="1:4" ht="13.5" thickBot="1">
      <c r="A70" s="841">
        <v>0.3</v>
      </c>
      <c r="B70" s="705">
        <f>ROUND((D41/(1+A70))-C66,-3)</f>
        <v>68308000</v>
      </c>
      <c r="C70" s="57" t="s">
        <v>315</v>
      </c>
    </row>
    <row r="71" spans="1:4" ht="13.5" thickBot="1">
      <c r="A71" s="58"/>
      <c r="B71" s="59"/>
    </row>
    <row r="72" spans="1:4" ht="13.5" thickBot="1">
      <c r="A72" s="447" t="s">
        <v>316</v>
      </c>
      <c r="B72" s="448"/>
      <c r="C72" s="944" t="str">
        <f>D1</f>
        <v>Retail/Hotel</v>
      </c>
    </row>
    <row r="73" spans="1:4" ht="13.5" thickBot="1">
      <c r="A73" s="708"/>
      <c r="B73" s="709" t="s">
        <v>211</v>
      </c>
      <c r="C73" s="710" t="s">
        <v>418</v>
      </c>
    </row>
    <row r="74" spans="1:4" ht="12.95">
      <c r="A74" s="60" t="s">
        <v>317</v>
      </c>
      <c r="B74" s="61">
        <f>IF(B70&lt;0,B70,0)</f>
        <v>0</v>
      </c>
      <c r="C74" s="639">
        <f>B74/B23</f>
        <v>0</v>
      </c>
    </row>
    <row r="75" spans="1:4" ht="12.95">
      <c r="A75" s="62" t="s">
        <v>318</v>
      </c>
      <c r="B75" s="61">
        <f>C66+B74</f>
        <v>44949658.064275317</v>
      </c>
      <c r="C75" s="639">
        <f>B75/B$23</f>
        <v>399.15098797303477</v>
      </c>
    </row>
    <row r="76" spans="1:4" ht="12.95">
      <c r="A76" s="843">
        <f>Assumptions!H18</f>
        <v>0.6</v>
      </c>
      <c r="B76" s="63">
        <f>ROUND(A76*C66,-3)</f>
        <v>26970000</v>
      </c>
      <c r="C76" s="639">
        <f t="shared" ref="C76:C78" si="1">B76/B$23</f>
        <v>239.49241460834466</v>
      </c>
    </row>
    <row r="77" spans="1:4" ht="13.5" thickBot="1">
      <c r="A77" s="713">
        <f>1-A76</f>
        <v>0.4</v>
      </c>
      <c r="B77" s="63">
        <f>ROUND(A77*C66,-3)</f>
        <v>17980000</v>
      </c>
      <c r="C77" s="639">
        <f t="shared" si="1"/>
        <v>159.66160973889643</v>
      </c>
      <c r="D77" s="56"/>
    </row>
    <row r="78" spans="1:4" ht="13.5" thickTop="1">
      <c r="A78" s="97" t="s">
        <v>319</v>
      </c>
      <c r="B78" s="845">
        <f>B76+B77</f>
        <v>44950000</v>
      </c>
      <c r="C78" s="639">
        <f t="shared" si="1"/>
        <v>399.15402434724109</v>
      </c>
    </row>
    <row r="79" spans="1:4" ht="13.5" thickBot="1">
      <c r="A79" s="716"/>
      <c r="B79" s="717"/>
      <c r="C79" s="718"/>
    </row>
    <row r="80" spans="1:4" ht="13.5" thickBot="1">
      <c r="A80" s="431" t="s">
        <v>320</v>
      </c>
      <c r="B80" s="432"/>
      <c r="C80" s="707" t="str">
        <f>D1</f>
        <v>Retail/Hotel</v>
      </c>
    </row>
    <row r="81" spans="1:5" ht="13.5" thickBot="1">
      <c r="A81" s="66"/>
      <c r="B81" s="719" t="s">
        <v>321</v>
      </c>
      <c r="C81" s="719"/>
    </row>
    <row r="82" spans="1:5" ht="12.6">
      <c r="A82" s="720" t="s">
        <v>294</v>
      </c>
      <c r="B82" s="722">
        <f>ROUND(D41,-2)</f>
        <v>147234900</v>
      </c>
      <c r="C82" s="722"/>
    </row>
    <row r="83" spans="1:5" ht="13.5" thickBot="1">
      <c r="A83" s="847">
        <v>0.02</v>
      </c>
      <c r="B83" s="848">
        <f>(-ROUND(A83*B82,-2))</f>
        <v>-2944700</v>
      </c>
      <c r="C83" s="725"/>
    </row>
    <row r="84" spans="1:5" ht="13.5" thickTop="1" thickBot="1">
      <c r="A84" s="726" t="s">
        <v>295</v>
      </c>
      <c r="B84" s="67">
        <f>B82+B83</f>
        <v>144290200</v>
      </c>
      <c r="C84" s="67"/>
      <c r="E84" s="68"/>
    </row>
    <row r="85" spans="1:5" ht="12.6">
      <c r="A85" s="720" t="s">
        <v>322</v>
      </c>
      <c r="B85" s="722">
        <f>-B76</f>
        <v>-26970000</v>
      </c>
      <c r="C85" s="722"/>
    </row>
    <row r="86" spans="1:5" ht="12.95" thickBot="1">
      <c r="A86" s="727" t="s">
        <v>323</v>
      </c>
      <c r="B86" s="725">
        <f>-B77</f>
        <v>-17980000</v>
      </c>
      <c r="C86" s="725"/>
    </row>
    <row r="87" spans="1:5" ht="14.1" thickTop="1" thickBot="1">
      <c r="A87" s="109" t="s">
        <v>324</v>
      </c>
      <c r="B87" s="69">
        <f>ROUND(B84+B85+B86,-2)</f>
        <v>99340200</v>
      </c>
      <c r="C87" s="69"/>
      <c r="D87" s="70"/>
    </row>
    <row r="88" spans="1:5" ht="13.5" thickBot="1">
      <c r="A88" s="431" t="s">
        <v>404</v>
      </c>
      <c r="B88" s="432"/>
      <c r="C88" s="945" t="str">
        <f>D1</f>
        <v>Retail/Hotel</v>
      </c>
    </row>
    <row r="89" spans="1:5" ht="12.6">
      <c r="A89" s="732" t="s">
        <v>326</v>
      </c>
      <c r="B89" s="733">
        <f>(B82)/B$23</f>
        <v>1307.4394406977444</v>
      </c>
      <c r="C89" s="733"/>
    </row>
    <row r="90" spans="1:5" ht="12.95" thickBot="1">
      <c r="A90" s="734" t="s">
        <v>327</v>
      </c>
      <c r="B90" s="733">
        <f>(B84)/B$23</f>
        <v>1281.2906341238775</v>
      </c>
      <c r="C90" s="735"/>
    </row>
    <row r="91" spans="1:5" ht="12.95">
      <c r="A91" s="736" t="s">
        <v>328</v>
      </c>
      <c r="B91" s="737"/>
      <c r="C91" s="738"/>
    </row>
    <row r="92" spans="1:5" ht="13.5" thickBot="1">
      <c r="A92" s="716"/>
      <c r="B92" s="71"/>
      <c r="C92" s="71"/>
    </row>
    <row r="93" spans="1:5" ht="12.95">
      <c r="A93" s="72"/>
      <c r="B93" s="719" t="s">
        <v>321</v>
      </c>
      <c r="C93" s="719"/>
    </row>
    <row r="94" spans="1:5" ht="12.6">
      <c r="A94" s="739" t="s">
        <v>329</v>
      </c>
      <c r="B94" s="740">
        <f>(B87+B77)/B77</f>
        <v>6.5250389321468294</v>
      </c>
      <c r="C94" s="740"/>
    </row>
    <row r="95" spans="1:5" ht="12.95">
      <c r="A95" s="741" t="s">
        <v>330</v>
      </c>
      <c r="B95" s="742">
        <f>'EF Draw'!B39</f>
        <v>0.53318576495270698</v>
      </c>
      <c r="C95" s="742"/>
      <c r="D95" s="73"/>
    </row>
    <row r="96" spans="1:5" ht="12.6">
      <c r="A96" s="739" t="s">
        <v>332</v>
      </c>
      <c r="B96" s="743">
        <f>D40/B76</f>
        <v>0.33375776090100118</v>
      </c>
      <c r="C96" s="743"/>
    </row>
    <row r="97" spans="1:4" ht="12.6">
      <c r="A97" s="739" t="s">
        <v>333</v>
      </c>
      <c r="B97" s="744">
        <f>C41</f>
        <v>6.1136634374114499E-2</v>
      </c>
      <c r="C97" s="744"/>
    </row>
    <row r="104" spans="1:4" ht="52.35" hidden="1" customHeight="1" thickBot="1"/>
    <row r="110" spans="1:4" ht="52.35" customHeight="1">
      <c r="A110" s="140"/>
      <c r="B110" s="140"/>
      <c r="C110" s="140"/>
      <c r="D110" s="30"/>
    </row>
  </sheetData>
  <mergeCells count="16">
    <mergeCell ref="A91:C91"/>
    <mergeCell ref="B36:C36"/>
    <mergeCell ref="E63:F63"/>
    <mergeCell ref="E64:F64"/>
    <mergeCell ref="A42:B42"/>
    <mergeCell ref="C42:D42"/>
    <mergeCell ref="A72:B72"/>
    <mergeCell ref="A80:B80"/>
    <mergeCell ref="A88:B88"/>
    <mergeCell ref="B35:C35"/>
    <mergeCell ref="B30:C30"/>
    <mergeCell ref="B31:C31"/>
    <mergeCell ref="A1:C1"/>
    <mergeCell ref="D1:E1"/>
    <mergeCell ref="C27:D27"/>
    <mergeCell ref="A27:B27"/>
  </mergeCells>
  <printOptions horizontalCentered="1" verticalCentered="1"/>
  <pageMargins left="0.7" right="0.7" top="0.75" bottom="0.75" header="0.3" footer="0.3"/>
  <pageSetup scale="51"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3" manualBreakCount="3">
    <brk id="35" max="8" man="1"/>
    <brk id="54" max="8" man="1"/>
    <brk id="84" max="8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BBFD2-1689-4AD9-AC1F-76F5ECD3E0B8}">
  <sheetPr>
    <tabColor rgb="FF0070C0"/>
  </sheetPr>
  <dimension ref="A1:AX599"/>
  <sheetViews>
    <sheetView showOutlineSymbols="0" showWhiteSpace="0" topLeftCell="A19" workbookViewId="0">
      <pane xSplit="2" topLeftCell="AE1" activePane="topRight" state="frozen"/>
      <selection pane="topRight" activeCell="AV18" sqref="AV18"/>
    </sheetView>
  </sheetViews>
  <sheetFormatPr defaultColWidth="8.85546875" defaultRowHeight="12.6"/>
  <cols>
    <col min="1" max="1" width="38.5703125" style="6" bestFit="1" customWidth="1"/>
    <col min="2" max="2" width="16.85546875" style="6" customWidth="1"/>
    <col min="3" max="3" width="18.85546875" style="6" hidden="1" customWidth="1"/>
    <col min="4" max="5" width="20" style="6" hidden="1" customWidth="1"/>
    <col min="6" max="6" width="19" style="6" hidden="1" customWidth="1"/>
    <col min="7" max="7" width="22.28515625" style="116" bestFit="1" customWidth="1"/>
    <col min="8" max="15" width="11.5703125" style="6" bestFit="1" customWidth="1"/>
    <col min="16" max="16" width="21.42578125" style="6" customWidth="1"/>
    <col min="17" max="17" width="19.140625" style="6" customWidth="1"/>
    <col min="18" max="18" width="11.5703125" style="6" bestFit="1" customWidth="1"/>
    <col min="19" max="19" width="18.5703125" style="6" bestFit="1" customWidth="1"/>
    <col min="20" max="27" width="11.5703125" style="6" bestFit="1" customWidth="1"/>
    <col min="28" max="28" width="11.5703125" style="117" bestFit="1" customWidth="1"/>
    <col min="29" max="30" width="11.5703125" style="6" bestFit="1" customWidth="1"/>
    <col min="31" max="31" width="15" style="117" bestFit="1" customWidth="1"/>
    <col min="32" max="32" width="17" style="6" customWidth="1"/>
    <col min="33" max="33" width="18.140625" style="6" customWidth="1"/>
    <col min="34" max="34" width="11.5703125" style="6" bestFit="1" customWidth="1"/>
    <col min="35" max="35" width="11.5703125" style="118" bestFit="1" customWidth="1"/>
    <col min="36" max="36" width="13.85546875" style="6" customWidth="1"/>
    <col min="37" max="37" width="12.140625" style="6" hidden="1" customWidth="1"/>
    <col min="38" max="43" width="11.5703125" style="6" hidden="1" customWidth="1"/>
    <col min="44" max="44" width="19.85546875" style="6" hidden="1" customWidth="1"/>
    <col min="45" max="47" width="11.5703125" style="6" hidden="1" customWidth="1"/>
    <col min="48" max="48" width="17" style="6" bestFit="1" customWidth="1"/>
    <col min="49" max="49" width="12.5703125" style="6" bestFit="1" customWidth="1"/>
    <col min="50" max="50" width="17.85546875" style="6" customWidth="1"/>
    <col min="51" max="51" width="9.5703125" style="6" bestFit="1" customWidth="1"/>
    <col min="52" max="52" width="11.85546875" style="6" bestFit="1" customWidth="1"/>
    <col min="53" max="54" width="9.5703125" style="6" bestFit="1" customWidth="1"/>
    <col min="55" max="16384" width="8.85546875" style="6"/>
  </cols>
  <sheetData>
    <row r="1" spans="1:50" ht="13.5" thickBot="1">
      <c r="A1" s="440" t="str">
        <f>'Development Program'!A8</f>
        <v>Retail/Hotel</v>
      </c>
      <c r="B1" s="199" t="s">
        <v>334</v>
      </c>
      <c r="C1" s="184" t="str">
        <f>'Development Program'!B27</f>
        <v>Pre-Development</v>
      </c>
      <c r="D1" s="184" t="str">
        <f>'Development Program'!C27</f>
        <v>Demolition</v>
      </c>
      <c r="E1" s="184" t="str">
        <f>'Development Program'!D27</f>
        <v>Construction</v>
      </c>
      <c r="F1" s="185" t="str">
        <f>'Development Program'!E27</f>
        <v>Close-out</v>
      </c>
      <c r="G1" s="6"/>
      <c r="AB1" s="6"/>
      <c r="AE1" s="6"/>
      <c r="AI1" s="6"/>
    </row>
    <row r="2" spans="1:50" ht="13.5" thickBot="1">
      <c r="A2" s="441"/>
      <c r="B2" s="745" t="s">
        <v>335</v>
      </c>
      <c r="C2" s="746" t="str">
        <f>_xlfn.XLOOKUP($A$1,'Development Program'!$A$28:$A$33,'Development Program'!$B$28:$B$33)</f>
        <v>1/1/2025 to 8/31/2027</v>
      </c>
      <c r="D2" s="746" t="str">
        <f>_xlfn.XLOOKUP($A$1,'Development Program'!$A$28:$A$33,'Development Program'!$C$28:$C$33)</f>
        <v>9/1/2027 to 12/31/2027</v>
      </c>
      <c r="E2" s="746" t="str">
        <f>_xlfn.XLOOKUP($A$1,'Development Program'!$A$28:$A$33,'Development Program'!$D$28:$D$33)</f>
        <v>1/1/2028 to 12/31/2030</v>
      </c>
      <c r="F2" s="849" t="str">
        <f>_xlfn.XLOOKUP($A$1,'Development Program'!$A$28:$A$33,'Development Program'!$E$28:$E$33)</f>
        <v>1/1/2031 to 6/30/2032</v>
      </c>
      <c r="G2" s="266" t="s">
        <v>405</v>
      </c>
      <c r="Q2" s="266" t="s">
        <v>336</v>
      </c>
      <c r="R2" s="266" t="s">
        <v>191</v>
      </c>
      <c r="S2" s="266" t="s">
        <v>337</v>
      </c>
      <c r="AB2" s="6"/>
      <c r="AD2" s="266" t="s">
        <v>394</v>
      </c>
      <c r="AE2" s="266" t="s">
        <v>395</v>
      </c>
      <c r="AF2" s="188"/>
      <c r="AG2" s="188"/>
      <c r="AI2" s="6"/>
      <c r="AJ2" s="223" t="s">
        <v>419</v>
      </c>
      <c r="AV2" s="459" t="s">
        <v>341</v>
      </c>
      <c r="AW2" s="459"/>
      <c r="AX2" s="459"/>
    </row>
    <row r="3" spans="1:50" ht="13.5" thickBot="1">
      <c r="A3" s="442"/>
      <c r="B3" s="120" t="s">
        <v>188</v>
      </c>
      <c r="C3" s="186">
        <v>45292</v>
      </c>
      <c r="D3" s="187">
        <f>EOMONTH(C3,3)</f>
        <v>45412</v>
      </c>
      <c r="E3" s="187">
        <f t="shared" ref="E3:AJ3" si="0">EOMONTH(D3,3)</f>
        <v>45504</v>
      </c>
      <c r="F3" s="187">
        <f t="shared" si="0"/>
        <v>45596</v>
      </c>
      <c r="G3" s="187">
        <f t="shared" si="0"/>
        <v>45688</v>
      </c>
      <c r="H3" s="749">
        <f t="shared" si="0"/>
        <v>45777</v>
      </c>
      <c r="I3" s="749">
        <f t="shared" si="0"/>
        <v>45869</v>
      </c>
      <c r="J3" s="749">
        <f t="shared" si="0"/>
        <v>45961</v>
      </c>
      <c r="K3" s="749">
        <f t="shared" si="0"/>
        <v>46053</v>
      </c>
      <c r="L3" s="749">
        <f t="shared" si="0"/>
        <v>46142</v>
      </c>
      <c r="M3" s="749">
        <f t="shared" si="0"/>
        <v>46234</v>
      </c>
      <c r="N3" s="749">
        <f t="shared" si="0"/>
        <v>46326</v>
      </c>
      <c r="O3" s="749">
        <f t="shared" si="0"/>
        <v>46418</v>
      </c>
      <c r="P3" s="749">
        <f t="shared" si="0"/>
        <v>46507</v>
      </c>
      <c r="Q3" s="187">
        <f t="shared" si="0"/>
        <v>46599</v>
      </c>
      <c r="R3" s="187">
        <f t="shared" si="0"/>
        <v>46691</v>
      </c>
      <c r="S3" s="187">
        <f t="shared" si="0"/>
        <v>46783</v>
      </c>
      <c r="T3" s="749">
        <f t="shared" si="0"/>
        <v>46873</v>
      </c>
      <c r="U3" s="749">
        <f t="shared" si="0"/>
        <v>46965</v>
      </c>
      <c r="V3" s="749">
        <f t="shared" si="0"/>
        <v>47057</v>
      </c>
      <c r="W3" s="749">
        <f t="shared" si="0"/>
        <v>47149</v>
      </c>
      <c r="X3" s="749">
        <f t="shared" si="0"/>
        <v>47238</v>
      </c>
      <c r="Y3" s="749">
        <f t="shared" si="0"/>
        <v>47330</v>
      </c>
      <c r="Z3" s="749">
        <f t="shared" si="0"/>
        <v>47422</v>
      </c>
      <c r="AA3" s="749">
        <f t="shared" si="0"/>
        <v>47514</v>
      </c>
      <c r="AB3" s="749">
        <f t="shared" si="0"/>
        <v>47603</v>
      </c>
      <c r="AC3" s="749">
        <f t="shared" si="0"/>
        <v>47695</v>
      </c>
      <c r="AD3" s="187">
        <f t="shared" si="0"/>
        <v>47787</v>
      </c>
      <c r="AE3" s="187">
        <f t="shared" si="0"/>
        <v>47879</v>
      </c>
      <c r="AF3" s="749">
        <f t="shared" si="0"/>
        <v>47968</v>
      </c>
      <c r="AG3" s="749">
        <f t="shared" si="0"/>
        <v>48060</v>
      </c>
      <c r="AH3" s="749">
        <f t="shared" si="0"/>
        <v>48152</v>
      </c>
      <c r="AI3" s="749">
        <f t="shared" si="0"/>
        <v>48244</v>
      </c>
      <c r="AJ3" s="749">
        <f t="shared" si="0"/>
        <v>48334</v>
      </c>
      <c r="AK3" s="749">
        <f t="shared" ref="AK3" si="1">EOMONTH(AJ3,3)</f>
        <v>48426</v>
      </c>
      <c r="AL3" s="749">
        <f t="shared" ref="AL3" si="2">EOMONTH(AK3,3)</f>
        <v>48518</v>
      </c>
      <c r="AM3" s="749">
        <f t="shared" ref="AM3" si="3">EOMONTH(AL3,3)</f>
        <v>48610</v>
      </c>
      <c r="AN3" s="749">
        <f t="shared" ref="AN3" si="4">EOMONTH(AM3,3)</f>
        <v>48699</v>
      </c>
      <c r="AO3" s="749">
        <f t="shared" ref="AO3" si="5">EOMONTH(AN3,3)</f>
        <v>48791</v>
      </c>
      <c r="AP3" s="749">
        <f t="shared" ref="AP3" si="6">EOMONTH(AO3,3)</f>
        <v>48883</v>
      </c>
      <c r="AQ3" s="749">
        <f t="shared" ref="AQ3" si="7">EOMONTH(AP3,3)</f>
        <v>48975</v>
      </c>
      <c r="AR3" s="749">
        <f t="shared" ref="AR3" si="8">EOMONTH(AQ3,3)</f>
        <v>49064</v>
      </c>
      <c r="AS3" s="749">
        <f t="shared" ref="AS3" si="9">EOMONTH(AR3,3)</f>
        <v>49156</v>
      </c>
      <c r="AT3" s="749">
        <f t="shared" ref="AT3" si="10">EOMONTH(AS3,3)</f>
        <v>49248</v>
      </c>
      <c r="AU3" s="749">
        <f t="shared" ref="AU3" si="11">EOMONTH(AT3,3)</f>
        <v>49340</v>
      </c>
      <c r="AV3" s="754" t="s">
        <v>342</v>
      </c>
      <c r="AW3" s="755" t="s">
        <v>343</v>
      </c>
      <c r="AX3" s="755"/>
    </row>
    <row r="4" spans="1:50" ht="13.5" thickBot="1">
      <c r="A4" s="756" t="s">
        <v>344</v>
      </c>
      <c r="B4" s="757">
        <v>1</v>
      </c>
      <c r="C4" s="213"/>
      <c r="D4" s="213"/>
      <c r="E4" s="213"/>
      <c r="F4" s="213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12"/>
      <c r="S4" s="212">
        <v>0.05</v>
      </c>
      <c r="T4" s="212">
        <v>0.05</v>
      </c>
      <c r="U4" s="212">
        <v>0.1</v>
      </c>
      <c r="V4" s="212">
        <v>0.1</v>
      </c>
      <c r="W4" s="212">
        <v>0.1</v>
      </c>
      <c r="X4" s="212">
        <v>0.1</v>
      </c>
      <c r="Y4" s="212">
        <v>0.1</v>
      </c>
      <c r="Z4" s="212">
        <v>0.1</v>
      </c>
      <c r="AA4" s="212">
        <v>0.1</v>
      </c>
      <c r="AB4" s="212">
        <v>0.1</v>
      </c>
      <c r="AC4" s="212">
        <v>0.05</v>
      </c>
      <c r="AD4" s="212">
        <v>0.05</v>
      </c>
      <c r="AE4" s="212"/>
      <c r="AF4" s="212"/>
      <c r="AG4" s="212"/>
      <c r="AH4" s="212"/>
      <c r="AI4" s="212"/>
      <c r="AJ4" s="212"/>
      <c r="AK4" s="212"/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758">
        <f t="shared" ref="AV4:AV26" si="12">SUM(C4:AU4)</f>
        <v>1</v>
      </c>
      <c r="AW4" s="758"/>
      <c r="AX4" s="760" t="s">
        <v>345</v>
      </c>
    </row>
    <row r="5" spans="1:50">
      <c r="A5" s="761" t="str">
        <f>'EF Financial'!A44</f>
        <v>Hard Costs for Construction</v>
      </c>
      <c r="B5" s="901">
        <f>'EF Financial'!C44</f>
        <v>23310926.190000001</v>
      </c>
      <c r="C5" s="763"/>
      <c r="D5" s="763"/>
      <c r="E5" s="763"/>
      <c r="F5" s="763"/>
      <c r="G5" s="763"/>
      <c r="H5" s="763"/>
      <c r="I5" s="763"/>
      <c r="J5" s="763"/>
      <c r="K5" s="763"/>
      <c r="L5" s="763"/>
      <c r="M5" s="763"/>
      <c r="N5" s="763"/>
      <c r="O5" s="763"/>
      <c r="P5" s="763"/>
      <c r="Q5" s="763"/>
      <c r="R5" s="763"/>
      <c r="S5" s="763">
        <f>S$4*$B5</f>
        <v>1165546.3095000002</v>
      </c>
      <c r="T5" s="763">
        <f t="shared" ref="T5:AD19" si="13">T$4*$B5</f>
        <v>1165546.3095000002</v>
      </c>
      <c r="U5" s="763">
        <f t="shared" si="13"/>
        <v>2331092.6190000004</v>
      </c>
      <c r="V5" s="763">
        <f t="shared" si="13"/>
        <v>2331092.6190000004</v>
      </c>
      <c r="W5" s="763">
        <f t="shared" si="13"/>
        <v>2331092.6190000004</v>
      </c>
      <c r="X5" s="763">
        <f t="shared" si="13"/>
        <v>2331092.6190000004</v>
      </c>
      <c r="Y5" s="763">
        <f t="shared" si="13"/>
        <v>2331092.6190000004</v>
      </c>
      <c r="Z5" s="763">
        <f t="shared" si="13"/>
        <v>2331092.6190000004</v>
      </c>
      <c r="AA5" s="763">
        <f t="shared" si="13"/>
        <v>2331092.6190000004</v>
      </c>
      <c r="AB5" s="763">
        <f t="shared" si="13"/>
        <v>2331092.6190000004</v>
      </c>
      <c r="AC5" s="763">
        <f t="shared" si="13"/>
        <v>1165546.3095000002</v>
      </c>
      <c r="AD5" s="763">
        <f t="shared" si="13"/>
        <v>1165546.3095000002</v>
      </c>
      <c r="AE5" s="763"/>
      <c r="AF5" s="763"/>
      <c r="AG5" s="763"/>
      <c r="AH5" s="763"/>
      <c r="AI5" s="763"/>
      <c r="AJ5" s="763"/>
      <c r="AK5" s="763"/>
      <c r="AL5" s="763"/>
      <c r="AM5" s="763"/>
      <c r="AN5" s="763"/>
      <c r="AO5" s="763"/>
      <c r="AP5" s="763"/>
      <c r="AQ5" s="763"/>
      <c r="AR5" s="763"/>
      <c r="AS5" s="763"/>
      <c r="AT5" s="763"/>
      <c r="AU5" s="763"/>
      <c r="AV5" s="771">
        <f t="shared" si="12"/>
        <v>23310926.190000005</v>
      </c>
      <c r="AW5" s="771">
        <f>B5</f>
        <v>23310926.190000001</v>
      </c>
      <c r="AX5" s="946">
        <f>AW5-AV5</f>
        <v>0</v>
      </c>
    </row>
    <row r="6" spans="1:50">
      <c r="A6" s="761" t="str">
        <f>'EF Financial'!A45</f>
        <v>Parking stalls</v>
      </c>
      <c r="B6" s="901">
        <f>'EF Financial'!C45</f>
        <v>122131.44260000001</v>
      </c>
      <c r="C6" s="763"/>
      <c r="D6" s="763"/>
      <c r="E6" s="763"/>
      <c r="F6" s="763"/>
      <c r="G6" s="763"/>
      <c r="H6" s="763"/>
      <c r="I6" s="763"/>
      <c r="J6" s="763"/>
      <c r="K6" s="763"/>
      <c r="L6" s="763"/>
      <c r="M6" s="763"/>
      <c r="N6" s="763"/>
      <c r="O6" s="763"/>
      <c r="P6" s="763"/>
      <c r="Q6" s="763"/>
      <c r="R6" s="763"/>
      <c r="S6" s="763">
        <f t="shared" ref="S6:AD26" si="14">S$4*$B6</f>
        <v>6106.5721300000005</v>
      </c>
      <c r="T6" s="763">
        <f t="shared" si="13"/>
        <v>6106.5721300000005</v>
      </c>
      <c r="U6" s="763">
        <f t="shared" si="13"/>
        <v>12213.144260000001</v>
      </c>
      <c r="V6" s="763">
        <f t="shared" si="13"/>
        <v>12213.144260000001</v>
      </c>
      <c r="W6" s="763">
        <f t="shared" si="13"/>
        <v>12213.144260000001</v>
      </c>
      <c r="X6" s="763">
        <f t="shared" si="13"/>
        <v>12213.144260000001</v>
      </c>
      <c r="Y6" s="763">
        <f t="shared" si="13"/>
        <v>12213.144260000001</v>
      </c>
      <c r="Z6" s="763">
        <f t="shared" si="13"/>
        <v>12213.144260000001</v>
      </c>
      <c r="AA6" s="763">
        <f t="shared" si="13"/>
        <v>12213.144260000001</v>
      </c>
      <c r="AB6" s="763">
        <f t="shared" si="13"/>
        <v>12213.144260000001</v>
      </c>
      <c r="AC6" s="763">
        <f t="shared" si="13"/>
        <v>6106.5721300000005</v>
      </c>
      <c r="AD6" s="763">
        <f t="shared" si="13"/>
        <v>6106.5721300000005</v>
      </c>
      <c r="AE6" s="763"/>
      <c r="AF6" s="763"/>
      <c r="AG6" s="763"/>
      <c r="AH6" s="763"/>
      <c r="AI6" s="763"/>
      <c r="AJ6" s="763"/>
      <c r="AK6" s="763"/>
      <c r="AL6" s="763"/>
      <c r="AM6" s="763"/>
      <c r="AN6" s="763"/>
      <c r="AO6" s="763"/>
      <c r="AP6" s="763"/>
      <c r="AQ6" s="763"/>
      <c r="AR6" s="763"/>
      <c r="AS6" s="763"/>
      <c r="AT6" s="763"/>
      <c r="AU6" s="763"/>
      <c r="AV6" s="771">
        <f t="shared" si="12"/>
        <v>122131.44260000001</v>
      </c>
      <c r="AW6" s="771">
        <f>B6</f>
        <v>122131.44260000001</v>
      </c>
      <c r="AX6" s="946">
        <f t="shared" ref="AX6:AX26" si="15">AW6-AV6</f>
        <v>0</v>
      </c>
    </row>
    <row r="7" spans="1:50">
      <c r="A7" s="761" t="str">
        <f>'EF Financial'!A46</f>
        <v>Hard Cost Contingency</v>
      </c>
      <c r="B7" s="901">
        <f>'EF Financial'!C46</f>
        <v>3030420.4047000003</v>
      </c>
      <c r="C7" s="763"/>
      <c r="D7" s="763"/>
      <c r="E7" s="763"/>
      <c r="F7" s="763"/>
      <c r="G7" s="763"/>
      <c r="H7" s="763"/>
      <c r="I7" s="763"/>
      <c r="J7" s="763"/>
      <c r="K7" s="763"/>
      <c r="L7" s="763"/>
      <c r="M7" s="763"/>
      <c r="N7" s="763"/>
      <c r="O7" s="763"/>
      <c r="P7" s="763"/>
      <c r="Q7" s="763"/>
      <c r="R7" s="763"/>
      <c r="S7" s="763">
        <f t="shared" si="14"/>
        <v>151521.02023500003</v>
      </c>
      <c r="T7" s="763">
        <f t="shared" si="13"/>
        <v>151521.02023500003</v>
      </c>
      <c r="U7" s="763">
        <f t="shared" si="13"/>
        <v>303042.04047000007</v>
      </c>
      <c r="V7" s="763">
        <f t="shared" si="13"/>
        <v>303042.04047000007</v>
      </c>
      <c r="W7" s="763">
        <f t="shared" si="13"/>
        <v>303042.04047000007</v>
      </c>
      <c r="X7" s="763">
        <f t="shared" si="13"/>
        <v>303042.04047000007</v>
      </c>
      <c r="Y7" s="763">
        <f t="shared" si="13"/>
        <v>303042.04047000007</v>
      </c>
      <c r="Z7" s="763">
        <f t="shared" si="13"/>
        <v>303042.04047000007</v>
      </c>
      <c r="AA7" s="763">
        <f t="shared" si="13"/>
        <v>303042.04047000007</v>
      </c>
      <c r="AB7" s="763">
        <f t="shared" si="13"/>
        <v>303042.04047000007</v>
      </c>
      <c r="AC7" s="763">
        <f t="shared" si="13"/>
        <v>151521.02023500003</v>
      </c>
      <c r="AD7" s="763">
        <f t="shared" si="13"/>
        <v>151521.02023500003</v>
      </c>
      <c r="AE7" s="763"/>
      <c r="AF7" s="763"/>
      <c r="AG7" s="763"/>
      <c r="AH7" s="763"/>
      <c r="AI7" s="763"/>
      <c r="AJ7" s="763"/>
      <c r="AK7" s="763"/>
      <c r="AL7" s="763"/>
      <c r="AM7" s="763"/>
      <c r="AN7" s="763"/>
      <c r="AO7" s="763"/>
      <c r="AP7" s="763"/>
      <c r="AQ7" s="763"/>
      <c r="AR7" s="763"/>
      <c r="AS7" s="763"/>
      <c r="AT7" s="763"/>
      <c r="AU7" s="763"/>
      <c r="AV7" s="771">
        <f t="shared" si="12"/>
        <v>3030420.4047000008</v>
      </c>
      <c r="AW7" s="771">
        <f>B7</f>
        <v>3030420.4047000003</v>
      </c>
      <c r="AX7" s="946">
        <f t="shared" si="15"/>
        <v>0</v>
      </c>
    </row>
    <row r="8" spans="1:50">
      <c r="A8" s="761" t="str">
        <f>'EF Financial'!A47</f>
        <v>Demolition</v>
      </c>
      <c r="B8" s="901">
        <f>'EF Financial'!C47</f>
        <v>348500</v>
      </c>
      <c r="C8" s="763"/>
      <c r="D8" s="763"/>
      <c r="E8" s="763"/>
      <c r="F8" s="763"/>
      <c r="G8" s="763"/>
      <c r="H8" s="763"/>
      <c r="I8" s="763"/>
      <c r="J8" s="763"/>
      <c r="K8" s="763"/>
      <c r="L8" s="763"/>
      <c r="M8" s="763"/>
      <c r="N8" s="763"/>
      <c r="O8" s="763"/>
      <c r="P8" s="763"/>
      <c r="Q8" s="763"/>
      <c r="R8" s="763">
        <f>B8</f>
        <v>348500</v>
      </c>
      <c r="S8" s="763"/>
      <c r="T8" s="763"/>
      <c r="U8" s="763"/>
      <c r="V8" s="763"/>
      <c r="W8" s="763"/>
      <c r="X8" s="763"/>
      <c r="Y8" s="763"/>
      <c r="Z8" s="763"/>
      <c r="AA8" s="763"/>
      <c r="AB8" s="763"/>
      <c r="AC8" s="763"/>
      <c r="AD8" s="763"/>
      <c r="AE8" s="763"/>
      <c r="AF8" s="763"/>
      <c r="AG8" s="763"/>
      <c r="AH8" s="763"/>
      <c r="AI8" s="763"/>
      <c r="AJ8" s="763"/>
      <c r="AK8" s="763"/>
      <c r="AL8" s="763"/>
      <c r="AM8" s="763"/>
      <c r="AN8" s="763"/>
      <c r="AO8" s="763"/>
      <c r="AP8" s="763"/>
      <c r="AQ8" s="763"/>
      <c r="AR8" s="763"/>
      <c r="AS8" s="763"/>
      <c r="AT8" s="763"/>
      <c r="AU8" s="763"/>
      <c r="AV8" s="771">
        <f t="shared" si="12"/>
        <v>348500</v>
      </c>
      <c r="AW8" s="771">
        <f>B8</f>
        <v>348500</v>
      </c>
      <c r="AX8" s="946">
        <f t="shared" si="15"/>
        <v>0</v>
      </c>
    </row>
    <row r="9" spans="1:50" ht="12.95">
      <c r="A9" s="761" t="str">
        <f>'EF Financial'!A48</f>
        <v>LAND</v>
      </c>
      <c r="B9" s="901">
        <f>'EF Financial'!C48</f>
        <v>1285358.4450000001</v>
      </c>
      <c r="C9" s="767"/>
      <c r="D9" s="765"/>
      <c r="E9" s="763"/>
      <c r="F9" s="765"/>
      <c r="G9" s="765">
        <f>B9</f>
        <v>1285358.4450000001</v>
      </c>
      <c r="H9" s="766"/>
      <c r="I9" s="853"/>
      <c r="J9" s="768"/>
      <c r="K9" s="765"/>
      <c r="L9" s="765"/>
      <c r="M9" s="768"/>
      <c r="N9" s="765"/>
      <c r="O9" s="765"/>
      <c r="P9" s="765"/>
      <c r="Q9" s="767"/>
      <c r="R9" s="765"/>
      <c r="S9" s="763"/>
      <c r="T9" s="763"/>
      <c r="U9" s="763"/>
      <c r="V9" s="763"/>
      <c r="W9" s="763"/>
      <c r="X9" s="763"/>
      <c r="Y9" s="763"/>
      <c r="Z9" s="763"/>
      <c r="AA9" s="763"/>
      <c r="AB9" s="763"/>
      <c r="AC9" s="763"/>
      <c r="AD9" s="763"/>
      <c r="AE9" s="766"/>
      <c r="AF9" s="766"/>
      <c r="AG9" s="853"/>
      <c r="AH9" s="853"/>
      <c r="AI9" s="853"/>
      <c r="AJ9" s="853"/>
      <c r="AK9" s="853"/>
      <c r="AL9" s="853"/>
      <c r="AM9" s="853"/>
      <c r="AN9" s="853"/>
      <c r="AO9" s="853"/>
      <c r="AP9" s="853"/>
      <c r="AQ9" s="853"/>
      <c r="AR9" s="853"/>
      <c r="AS9" s="853"/>
      <c r="AT9" s="853"/>
      <c r="AU9" s="853"/>
      <c r="AV9" s="771">
        <f t="shared" si="12"/>
        <v>1285358.4450000001</v>
      </c>
      <c r="AW9" s="771">
        <f t="shared" ref="AW9:AW26" si="16">B9</f>
        <v>1285358.4450000001</v>
      </c>
      <c r="AX9" s="946">
        <f t="shared" si="15"/>
        <v>0</v>
      </c>
    </row>
    <row r="10" spans="1:50" ht="12.95">
      <c r="A10" s="761" t="str">
        <f>'EF Financial'!A49</f>
        <v>Stormwater Utility Fee</v>
      </c>
      <c r="B10" s="901">
        <f>'EF Financial'!C49</f>
        <v>2702.7160800000001</v>
      </c>
      <c r="C10" s="767"/>
      <c r="D10" s="765"/>
      <c r="E10" s="763"/>
      <c r="F10" s="765"/>
      <c r="G10" s="853"/>
      <c r="H10" s="766"/>
      <c r="I10" s="853"/>
      <c r="J10" s="768"/>
      <c r="K10" s="765"/>
      <c r="L10" s="765"/>
      <c r="M10" s="768"/>
      <c r="N10" s="765"/>
      <c r="O10" s="765"/>
      <c r="P10" s="765"/>
      <c r="Q10" s="767"/>
      <c r="R10" s="765"/>
      <c r="S10" s="763">
        <f>$B$10*S4</f>
        <v>135.13580400000001</v>
      </c>
      <c r="T10" s="763">
        <f t="shared" ref="T10:AD10" si="17">$B$10*T4</f>
        <v>135.13580400000001</v>
      </c>
      <c r="U10" s="763">
        <f t="shared" si="17"/>
        <v>270.27160800000001</v>
      </c>
      <c r="V10" s="763">
        <f t="shared" si="17"/>
        <v>270.27160800000001</v>
      </c>
      <c r="W10" s="763">
        <f t="shared" si="17"/>
        <v>270.27160800000001</v>
      </c>
      <c r="X10" s="763">
        <f t="shared" si="17"/>
        <v>270.27160800000001</v>
      </c>
      <c r="Y10" s="763">
        <f t="shared" si="17"/>
        <v>270.27160800000001</v>
      </c>
      <c r="Z10" s="763">
        <f t="shared" si="17"/>
        <v>270.27160800000001</v>
      </c>
      <c r="AA10" s="763">
        <f t="shared" si="17"/>
        <v>270.27160800000001</v>
      </c>
      <c r="AB10" s="763">
        <f t="shared" si="17"/>
        <v>270.27160800000001</v>
      </c>
      <c r="AC10" s="763">
        <f t="shared" si="17"/>
        <v>135.13580400000001</v>
      </c>
      <c r="AD10" s="763">
        <f t="shared" si="17"/>
        <v>135.13580400000001</v>
      </c>
      <c r="AE10" s="766"/>
      <c r="AF10" s="766"/>
      <c r="AG10" s="853"/>
      <c r="AH10" s="853"/>
      <c r="AI10" s="853"/>
      <c r="AJ10" s="853"/>
      <c r="AK10" s="854"/>
      <c r="AL10" s="855"/>
      <c r="AM10" s="853"/>
      <c r="AN10" s="853"/>
      <c r="AO10" s="853"/>
      <c r="AP10" s="854"/>
      <c r="AQ10" s="853"/>
      <c r="AR10" s="853"/>
      <c r="AS10" s="853"/>
      <c r="AT10" s="854"/>
      <c r="AU10" s="854"/>
      <c r="AV10" s="771">
        <f t="shared" ref="AV10" si="18">SUM(C10:AU10)</f>
        <v>2702.7160800000001</v>
      </c>
      <c r="AW10" s="771">
        <f t="shared" ref="AW10" si="19">B10</f>
        <v>2702.7160800000001</v>
      </c>
      <c r="AX10" s="946">
        <f t="shared" ref="AX10" si="20">AW10-AV10</f>
        <v>0</v>
      </c>
    </row>
    <row r="11" spans="1:50" ht="12.95">
      <c r="A11" s="761" t="str">
        <f>'EF Financial'!A50</f>
        <v>Municipal Fees and Allowances</v>
      </c>
      <c r="B11" s="901">
        <f>'EF Financial'!C50</f>
        <v>70232.278570000009</v>
      </c>
      <c r="C11" s="768"/>
      <c r="D11" s="765"/>
      <c r="E11" s="765"/>
      <c r="F11" s="765"/>
      <c r="G11" s="765"/>
      <c r="H11" s="766"/>
      <c r="I11" s="765"/>
      <c r="J11" s="765"/>
      <c r="K11" s="765"/>
      <c r="L11" s="765"/>
      <c r="M11" s="765"/>
      <c r="N11" s="765"/>
      <c r="O11" s="765"/>
      <c r="P11" s="765"/>
      <c r="Q11" s="763"/>
      <c r="R11" s="765"/>
      <c r="S11" s="763">
        <f t="shared" si="14"/>
        <v>3511.6139285000008</v>
      </c>
      <c r="T11" s="763">
        <f t="shared" si="13"/>
        <v>3511.6139285000008</v>
      </c>
      <c r="U11" s="763">
        <f t="shared" si="13"/>
        <v>7023.2278570000017</v>
      </c>
      <c r="V11" s="763">
        <f t="shared" si="13"/>
        <v>7023.2278570000017</v>
      </c>
      <c r="W11" s="763">
        <f t="shared" si="13"/>
        <v>7023.2278570000017</v>
      </c>
      <c r="X11" s="763">
        <f t="shared" si="13"/>
        <v>7023.2278570000017</v>
      </c>
      <c r="Y11" s="763">
        <f t="shared" si="13"/>
        <v>7023.2278570000017</v>
      </c>
      <c r="Z11" s="763">
        <f t="shared" si="13"/>
        <v>7023.2278570000017</v>
      </c>
      <c r="AA11" s="763">
        <f t="shared" si="13"/>
        <v>7023.2278570000017</v>
      </c>
      <c r="AB11" s="763">
        <f t="shared" si="13"/>
        <v>7023.2278570000017</v>
      </c>
      <c r="AC11" s="763">
        <f t="shared" si="13"/>
        <v>3511.6139285000008</v>
      </c>
      <c r="AD11" s="763">
        <f t="shared" si="13"/>
        <v>3511.6139285000008</v>
      </c>
      <c r="AE11" s="766"/>
      <c r="AF11" s="766"/>
      <c r="AG11" s="853"/>
      <c r="AH11" s="853"/>
      <c r="AI11" s="853"/>
      <c r="AJ11" s="853"/>
      <c r="AK11" s="854"/>
      <c r="AL11" s="855"/>
      <c r="AM11" s="853"/>
      <c r="AN11" s="853"/>
      <c r="AO11" s="853"/>
      <c r="AP11" s="854"/>
      <c r="AQ11" s="853"/>
      <c r="AR11" s="853"/>
      <c r="AS11" s="853"/>
      <c r="AT11" s="854"/>
      <c r="AU11" s="854"/>
      <c r="AV11" s="771">
        <f t="shared" si="12"/>
        <v>70232.278570000024</v>
      </c>
      <c r="AW11" s="771">
        <f t="shared" si="16"/>
        <v>70232.278570000009</v>
      </c>
      <c r="AX11" s="946">
        <f t="shared" si="15"/>
        <v>0</v>
      </c>
    </row>
    <row r="12" spans="1:50" ht="12.95">
      <c r="A12" s="761" t="str">
        <f>'EF Financial'!A51</f>
        <v>Infrastructure allocation</v>
      </c>
      <c r="B12" s="901">
        <f>'EF Financial'!C51</f>
        <v>455908.45</v>
      </c>
      <c r="C12" s="768"/>
      <c r="D12" s="765"/>
      <c r="E12" s="765"/>
      <c r="F12" s="765"/>
      <c r="G12" s="765"/>
      <c r="H12" s="765"/>
      <c r="I12" s="765"/>
      <c r="J12" s="765"/>
      <c r="K12" s="765"/>
      <c r="L12" s="765"/>
      <c r="M12" s="765"/>
      <c r="N12" s="765"/>
      <c r="O12" s="765"/>
      <c r="P12" s="765"/>
      <c r="Q12" s="765"/>
      <c r="R12" s="765"/>
      <c r="S12" s="763">
        <f t="shared" si="14"/>
        <v>22795.422500000001</v>
      </c>
      <c r="T12" s="763">
        <f t="shared" si="13"/>
        <v>22795.422500000001</v>
      </c>
      <c r="U12" s="763">
        <f t="shared" si="13"/>
        <v>45590.845000000001</v>
      </c>
      <c r="V12" s="763">
        <f t="shared" si="13"/>
        <v>45590.845000000001</v>
      </c>
      <c r="W12" s="763">
        <f t="shared" si="13"/>
        <v>45590.845000000001</v>
      </c>
      <c r="X12" s="763">
        <f t="shared" si="13"/>
        <v>45590.845000000001</v>
      </c>
      <c r="Y12" s="763">
        <f t="shared" si="13"/>
        <v>45590.845000000001</v>
      </c>
      <c r="Z12" s="763">
        <f t="shared" si="13"/>
        <v>45590.845000000001</v>
      </c>
      <c r="AA12" s="763">
        <f t="shared" si="13"/>
        <v>45590.845000000001</v>
      </c>
      <c r="AB12" s="763">
        <f t="shared" si="13"/>
        <v>45590.845000000001</v>
      </c>
      <c r="AC12" s="763">
        <f t="shared" si="13"/>
        <v>22795.422500000001</v>
      </c>
      <c r="AD12" s="763">
        <f t="shared" si="13"/>
        <v>22795.422500000001</v>
      </c>
      <c r="AE12" s="763"/>
      <c r="AF12" s="763"/>
      <c r="AG12" s="853"/>
      <c r="AH12" s="853"/>
      <c r="AI12" s="853"/>
      <c r="AJ12" s="853"/>
      <c r="AK12" s="854"/>
      <c r="AL12" s="855"/>
      <c r="AM12" s="853"/>
      <c r="AN12" s="853"/>
      <c r="AO12" s="853"/>
      <c r="AP12" s="854"/>
      <c r="AQ12" s="853"/>
      <c r="AR12" s="856"/>
      <c r="AS12" s="853"/>
      <c r="AT12" s="854"/>
      <c r="AU12" s="854"/>
      <c r="AV12" s="771">
        <f t="shared" si="12"/>
        <v>455908.44999999995</v>
      </c>
      <c r="AW12" s="771">
        <f t="shared" si="16"/>
        <v>455908.45</v>
      </c>
      <c r="AX12" s="946">
        <f t="shared" si="15"/>
        <v>0</v>
      </c>
    </row>
    <row r="13" spans="1:50" ht="12.95">
      <c r="A13" s="761" t="str">
        <f>'EF Financial'!A52</f>
        <v>Legal</v>
      </c>
      <c r="B13" s="901">
        <f>'EF Financial'!C52</f>
        <v>174831.946425</v>
      </c>
      <c r="C13" s="767"/>
      <c r="D13" s="767"/>
      <c r="E13" s="767"/>
      <c r="F13" s="767"/>
      <c r="G13" s="767"/>
      <c r="H13" s="767"/>
      <c r="I13" s="767"/>
      <c r="J13" s="767"/>
      <c r="K13" s="767"/>
      <c r="L13" s="767"/>
      <c r="M13" s="767"/>
      <c r="N13" s="767"/>
      <c r="O13" s="767"/>
      <c r="P13" s="765"/>
      <c r="Q13" s="765"/>
      <c r="R13" s="765"/>
      <c r="S13" s="763">
        <f t="shared" si="14"/>
        <v>8741.5973212500012</v>
      </c>
      <c r="T13" s="763">
        <f t="shared" si="13"/>
        <v>8741.5973212500012</v>
      </c>
      <c r="U13" s="763">
        <f t="shared" si="13"/>
        <v>17483.194642500002</v>
      </c>
      <c r="V13" s="763">
        <f t="shared" si="13"/>
        <v>17483.194642500002</v>
      </c>
      <c r="W13" s="763">
        <f t="shared" si="13"/>
        <v>17483.194642500002</v>
      </c>
      <c r="X13" s="763">
        <f t="shared" si="13"/>
        <v>17483.194642500002</v>
      </c>
      <c r="Y13" s="763">
        <f t="shared" si="13"/>
        <v>17483.194642500002</v>
      </c>
      <c r="Z13" s="763">
        <f t="shared" si="13"/>
        <v>17483.194642500002</v>
      </c>
      <c r="AA13" s="763">
        <f t="shared" si="13"/>
        <v>17483.194642500002</v>
      </c>
      <c r="AB13" s="763">
        <f t="shared" si="13"/>
        <v>17483.194642500002</v>
      </c>
      <c r="AC13" s="763">
        <f t="shared" si="13"/>
        <v>8741.5973212500012</v>
      </c>
      <c r="AD13" s="763">
        <f t="shared" si="13"/>
        <v>8741.5973212500012</v>
      </c>
      <c r="AE13" s="765"/>
      <c r="AF13" s="765"/>
      <c r="AG13" s="765"/>
      <c r="AH13" s="765"/>
      <c r="AI13" s="765"/>
      <c r="AJ13" s="765"/>
      <c r="AK13" s="857"/>
      <c r="AL13" s="858"/>
      <c r="AM13" s="765"/>
      <c r="AN13" s="765"/>
      <c r="AO13" s="765"/>
      <c r="AP13" s="857"/>
      <c r="AQ13" s="765"/>
      <c r="AR13" s="765"/>
      <c r="AS13" s="905"/>
      <c r="AT13" s="857"/>
      <c r="AU13" s="857"/>
      <c r="AV13" s="771">
        <f t="shared" si="12"/>
        <v>174831.94642500003</v>
      </c>
      <c r="AW13" s="771">
        <f t="shared" si="16"/>
        <v>174831.946425</v>
      </c>
      <c r="AX13" s="946">
        <f t="shared" si="15"/>
        <v>0</v>
      </c>
    </row>
    <row r="14" spans="1:50">
      <c r="A14" s="761" t="str">
        <f>'EF Financial'!A53</f>
        <v>Land Closing Costs/commissions</v>
      </c>
      <c r="B14" s="901">
        <f>'EF Financial'!C53</f>
        <v>19280.376675</v>
      </c>
      <c r="C14" s="767"/>
      <c r="D14" s="763"/>
      <c r="E14" s="763"/>
      <c r="F14" s="763"/>
      <c r="G14" s="225">
        <f>B14</f>
        <v>19280.376675</v>
      </c>
      <c r="H14" s="763"/>
      <c r="I14" s="763"/>
      <c r="J14" s="763"/>
      <c r="K14" s="763"/>
      <c r="L14" s="763"/>
      <c r="M14" s="763"/>
      <c r="N14" s="763"/>
      <c r="O14" s="763"/>
      <c r="P14" s="763"/>
      <c r="Q14" s="763"/>
      <c r="R14" s="763"/>
      <c r="S14" s="763"/>
      <c r="T14" s="763"/>
      <c r="U14" s="763"/>
      <c r="V14" s="763"/>
      <c r="W14" s="763"/>
      <c r="X14" s="763"/>
      <c r="Y14" s="763"/>
      <c r="Z14" s="763"/>
      <c r="AA14" s="763"/>
      <c r="AB14" s="763"/>
      <c r="AC14" s="763"/>
      <c r="AD14" s="763"/>
      <c r="AE14" s="766"/>
      <c r="AF14" s="766"/>
      <c r="AG14" s="766"/>
      <c r="AH14" s="766"/>
      <c r="AI14" s="766"/>
      <c r="AJ14" s="766"/>
      <c r="AK14" s="859"/>
      <c r="AL14" s="860"/>
      <c r="AM14" s="766"/>
      <c r="AN14" s="766"/>
      <c r="AO14" s="766"/>
      <c r="AP14" s="859"/>
      <c r="AQ14" s="766"/>
      <c r="AR14" s="766"/>
      <c r="AS14" s="766"/>
      <c r="AT14" s="859"/>
      <c r="AU14" s="859"/>
      <c r="AV14" s="771">
        <f t="shared" si="12"/>
        <v>19280.376675</v>
      </c>
      <c r="AW14" s="771">
        <f t="shared" si="16"/>
        <v>19280.376675</v>
      </c>
      <c r="AX14" s="946">
        <f t="shared" si="15"/>
        <v>0</v>
      </c>
    </row>
    <row r="15" spans="1:50">
      <c r="A15" s="761" t="str">
        <f>'EF Financial'!A54</f>
        <v xml:space="preserve">Design </v>
      </c>
      <c r="B15" s="901">
        <f>'EF Financial'!C54</f>
        <v>1053653.8637880001</v>
      </c>
      <c r="C15" s="763"/>
      <c r="D15" s="763"/>
      <c r="E15" s="763"/>
      <c r="F15" s="763"/>
      <c r="G15" s="763">
        <f>$B$15*0.1</f>
        <v>105365.38637880002</v>
      </c>
      <c r="H15" s="763">
        <f t="shared" ref="H15:P15" si="21">$B$15*0.1</f>
        <v>105365.38637880002</v>
      </c>
      <c r="I15" s="763">
        <f t="shared" si="21"/>
        <v>105365.38637880002</v>
      </c>
      <c r="J15" s="763">
        <f t="shared" si="21"/>
        <v>105365.38637880002</v>
      </c>
      <c r="K15" s="763">
        <f t="shared" si="21"/>
        <v>105365.38637880002</v>
      </c>
      <c r="L15" s="763">
        <f t="shared" si="21"/>
        <v>105365.38637880002</v>
      </c>
      <c r="M15" s="763">
        <f t="shared" si="21"/>
        <v>105365.38637880002</v>
      </c>
      <c r="N15" s="763">
        <f t="shared" si="21"/>
        <v>105365.38637880002</v>
      </c>
      <c r="O15" s="763">
        <f t="shared" si="21"/>
        <v>105365.38637880002</v>
      </c>
      <c r="P15" s="763">
        <f t="shared" si="21"/>
        <v>105365.38637880002</v>
      </c>
      <c r="Q15" s="763"/>
      <c r="R15" s="763"/>
      <c r="S15" s="763"/>
      <c r="T15" s="763"/>
      <c r="U15" s="763"/>
      <c r="V15" s="763"/>
      <c r="W15" s="763"/>
      <c r="X15" s="763"/>
      <c r="Y15" s="763"/>
      <c r="Z15" s="763"/>
      <c r="AA15" s="763"/>
      <c r="AB15" s="763"/>
      <c r="AC15" s="763"/>
      <c r="AD15" s="763"/>
      <c r="AE15" s="763"/>
      <c r="AF15" s="763"/>
      <c r="AG15" s="763"/>
      <c r="AH15" s="763"/>
      <c r="AI15" s="763"/>
      <c r="AJ15" s="763"/>
      <c r="AK15" s="763"/>
      <c r="AL15" s="763"/>
      <c r="AM15" s="763"/>
      <c r="AN15" s="763"/>
      <c r="AO15" s="763"/>
      <c r="AP15" s="763"/>
      <c r="AQ15" s="766"/>
      <c r="AR15" s="766"/>
      <c r="AS15" s="766"/>
      <c r="AT15" s="859"/>
      <c r="AU15" s="859"/>
      <c r="AV15" s="771">
        <f t="shared" si="12"/>
        <v>1053653.8637880001</v>
      </c>
      <c r="AW15" s="771">
        <f t="shared" si="16"/>
        <v>1053653.8637880001</v>
      </c>
      <c r="AX15" s="946">
        <f t="shared" si="15"/>
        <v>0</v>
      </c>
    </row>
    <row r="16" spans="1:50">
      <c r="A16" s="761" t="str">
        <f>'EF Financial'!A55</f>
        <v>Developer Fee</v>
      </c>
      <c r="B16" s="901">
        <f>'EF Financial'!C55</f>
        <v>896218.38341513986</v>
      </c>
      <c r="C16" s="763"/>
      <c r="D16" s="763"/>
      <c r="E16" s="763"/>
      <c r="F16" s="763"/>
      <c r="G16" s="763"/>
      <c r="H16" s="763"/>
      <c r="I16" s="763"/>
      <c r="J16" s="763"/>
      <c r="K16" s="763"/>
      <c r="L16" s="763"/>
      <c r="M16" s="763"/>
      <c r="N16" s="763"/>
      <c r="O16" s="763"/>
      <c r="P16" s="763"/>
      <c r="Q16" s="763"/>
      <c r="R16" s="763"/>
      <c r="S16" s="763">
        <f t="shared" si="14"/>
        <v>44810.919170756999</v>
      </c>
      <c r="T16" s="763">
        <f t="shared" si="13"/>
        <v>44810.919170756999</v>
      </c>
      <c r="U16" s="763">
        <f t="shared" si="13"/>
        <v>89621.838341513998</v>
      </c>
      <c r="V16" s="763">
        <f t="shared" si="13"/>
        <v>89621.838341513998</v>
      </c>
      <c r="W16" s="763">
        <f t="shared" si="13"/>
        <v>89621.838341513998</v>
      </c>
      <c r="X16" s="763">
        <f t="shared" si="13"/>
        <v>89621.838341513998</v>
      </c>
      <c r="Y16" s="763">
        <f t="shared" si="13"/>
        <v>89621.838341513998</v>
      </c>
      <c r="Z16" s="763">
        <f t="shared" si="13"/>
        <v>89621.838341513998</v>
      </c>
      <c r="AA16" s="763">
        <f t="shared" si="13"/>
        <v>89621.838341513998</v>
      </c>
      <c r="AB16" s="763">
        <f t="shared" si="13"/>
        <v>89621.838341513998</v>
      </c>
      <c r="AC16" s="763">
        <f t="shared" si="13"/>
        <v>44810.919170756999</v>
      </c>
      <c r="AD16" s="763">
        <f t="shared" si="13"/>
        <v>44810.919170756999</v>
      </c>
      <c r="AE16" s="763"/>
      <c r="AF16" s="763"/>
      <c r="AG16" s="763"/>
      <c r="AH16" s="763"/>
      <c r="AI16" s="763"/>
      <c r="AJ16" s="763"/>
      <c r="AK16" s="763"/>
      <c r="AL16" s="763"/>
      <c r="AM16" s="763"/>
      <c r="AN16" s="763"/>
      <c r="AO16" s="763"/>
      <c r="AP16" s="763"/>
      <c r="AQ16" s="763"/>
      <c r="AR16" s="763"/>
      <c r="AS16" s="763"/>
      <c r="AT16" s="861"/>
      <c r="AU16" s="861"/>
      <c r="AV16" s="771">
        <f t="shared" si="12"/>
        <v>896218.38341513998</v>
      </c>
      <c r="AW16" s="771">
        <f t="shared" si="16"/>
        <v>896218.38341513986</v>
      </c>
      <c r="AX16" s="946">
        <f t="shared" si="15"/>
        <v>0</v>
      </c>
    </row>
    <row r="17" spans="1:50">
      <c r="A17" s="761" t="str">
        <f>'EF Financial'!A56</f>
        <v>Construction Management Fee</v>
      </c>
      <c r="B17" s="901">
        <f>'EF Financial'!C56</f>
        <v>526826.93189400004</v>
      </c>
      <c r="C17" s="763"/>
      <c r="D17" s="763"/>
      <c r="E17" s="763"/>
      <c r="F17" s="763"/>
      <c r="G17" s="763"/>
      <c r="H17" s="763"/>
      <c r="I17" s="763"/>
      <c r="J17" s="763"/>
      <c r="K17" s="763"/>
      <c r="L17" s="763"/>
      <c r="M17" s="763"/>
      <c r="N17" s="763"/>
      <c r="O17" s="763"/>
      <c r="P17" s="763"/>
      <c r="Q17" s="763"/>
      <c r="R17" s="763"/>
      <c r="S17" s="763">
        <f t="shared" si="14"/>
        <v>26341.346594700004</v>
      </c>
      <c r="T17" s="763">
        <f t="shared" si="13"/>
        <v>26341.346594700004</v>
      </c>
      <c r="U17" s="763">
        <f t="shared" si="13"/>
        <v>52682.693189400008</v>
      </c>
      <c r="V17" s="763">
        <f t="shared" si="13"/>
        <v>52682.693189400008</v>
      </c>
      <c r="W17" s="763">
        <f t="shared" si="13"/>
        <v>52682.693189400008</v>
      </c>
      <c r="X17" s="763">
        <f t="shared" si="13"/>
        <v>52682.693189400008</v>
      </c>
      <c r="Y17" s="763">
        <f t="shared" si="13"/>
        <v>52682.693189400008</v>
      </c>
      <c r="Z17" s="763">
        <f t="shared" si="13"/>
        <v>52682.693189400008</v>
      </c>
      <c r="AA17" s="763">
        <f t="shared" si="13"/>
        <v>52682.693189400008</v>
      </c>
      <c r="AB17" s="763">
        <f t="shared" si="13"/>
        <v>52682.693189400008</v>
      </c>
      <c r="AC17" s="763">
        <f t="shared" si="13"/>
        <v>26341.346594700004</v>
      </c>
      <c r="AD17" s="763">
        <f t="shared" si="13"/>
        <v>26341.346594700004</v>
      </c>
      <c r="AE17" s="763"/>
      <c r="AF17" s="763"/>
      <c r="AG17" s="763"/>
      <c r="AH17" s="763"/>
      <c r="AI17" s="763"/>
      <c r="AJ17" s="763"/>
      <c r="AK17" s="763"/>
      <c r="AL17" s="763"/>
      <c r="AM17" s="763"/>
      <c r="AN17" s="763"/>
      <c r="AO17" s="763"/>
      <c r="AP17" s="763"/>
      <c r="AQ17" s="763"/>
      <c r="AR17" s="763"/>
      <c r="AS17" s="763"/>
      <c r="AT17" s="861"/>
      <c r="AU17" s="861"/>
      <c r="AV17" s="771">
        <f t="shared" si="12"/>
        <v>526826.93189400004</v>
      </c>
      <c r="AW17" s="771">
        <f t="shared" si="16"/>
        <v>526826.93189400004</v>
      </c>
      <c r="AX17" s="946">
        <f t="shared" si="15"/>
        <v>0</v>
      </c>
    </row>
    <row r="18" spans="1:50" ht="12.95">
      <c r="A18" s="761" t="str">
        <f>'EF Financial'!A57</f>
        <v>Taxes</v>
      </c>
      <c r="B18" s="901">
        <f>'EF Financial'!C57</f>
        <v>77121.506699999998</v>
      </c>
      <c r="C18" s="767"/>
      <c r="D18" s="763"/>
      <c r="E18" s="763"/>
      <c r="F18" s="763"/>
      <c r="G18" s="766"/>
      <c r="H18" s="763"/>
      <c r="I18" s="763"/>
      <c r="J18" s="765"/>
      <c r="K18" s="763"/>
      <c r="L18" s="214"/>
      <c r="M18" s="763"/>
      <c r="N18" s="763"/>
      <c r="O18" s="763"/>
      <c r="P18" s="763"/>
      <c r="Q18" s="214"/>
      <c r="R18" s="763"/>
      <c r="S18" s="763">
        <f>$B$18*S4</f>
        <v>3856.075335</v>
      </c>
      <c r="T18" s="763">
        <f t="shared" ref="T18:AD18" si="22">$B$18*T4</f>
        <v>3856.075335</v>
      </c>
      <c r="U18" s="763">
        <f t="shared" si="22"/>
        <v>7712.15067</v>
      </c>
      <c r="V18" s="763">
        <f t="shared" si="22"/>
        <v>7712.15067</v>
      </c>
      <c r="W18" s="763">
        <f t="shared" si="22"/>
        <v>7712.15067</v>
      </c>
      <c r="X18" s="763">
        <f t="shared" si="22"/>
        <v>7712.15067</v>
      </c>
      <c r="Y18" s="763">
        <f t="shared" si="22"/>
        <v>7712.15067</v>
      </c>
      <c r="Z18" s="763">
        <f t="shared" si="22"/>
        <v>7712.15067</v>
      </c>
      <c r="AA18" s="763">
        <f t="shared" si="22"/>
        <v>7712.15067</v>
      </c>
      <c r="AB18" s="763">
        <f t="shared" si="22"/>
        <v>7712.15067</v>
      </c>
      <c r="AC18" s="763">
        <f t="shared" si="22"/>
        <v>3856.075335</v>
      </c>
      <c r="AD18" s="763">
        <f t="shared" si="22"/>
        <v>3856.075335</v>
      </c>
      <c r="AE18" s="214"/>
      <c r="AF18" s="763"/>
      <c r="AG18" s="214"/>
      <c r="AH18" s="763"/>
      <c r="AI18" s="766"/>
      <c r="AJ18" s="763"/>
      <c r="AK18" s="763"/>
      <c r="AL18" s="763"/>
      <c r="AM18" s="763"/>
      <c r="AN18" s="763"/>
      <c r="AO18" s="763"/>
      <c r="AP18" s="861"/>
      <c r="AQ18" s="763"/>
      <c r="AR18" s="763"/>
      <c r="AS18" s="763"/>
      <c r="AT18" s="861"/>
      <c r="AU18" s="861"/>
      <c r="AV18" s="771">
        <f t="shared" si="12"/>
        <v>77121.506700000013</v>
      </c>
      <c r="AW18" s="771">
        <f t="shared" si="16"/>
        <v>77121.506699999998</v>
      </c>
      <c r="AX18" s="946">
        <f t="shared" si="15"/>
        <v>0</v>
      </c>
    </row>
    <row r="19" spans="1:50">
      <c r="A19" s="761" t="str">
        <f>'EF Financial'!A58</f>
        <v>Insurance</v>
      </c>
      <c r="B19" s="901">
        <f>'EF Financial'!C58</f>
        <v>146364.68342817907</v>
      </c>
      <c r="C19" s="767"/>
      <c r="D19" s="763"/>
      <c r="E19" s="763"/>
      <c r="F19" s="763"/>
      <c r="G19" s="763"/>
      <c r="H19" s="763"/>
      <c r="I19" s="763"/>
      <c r="J19" s="763"/>
      <c r="K19" s="763"/>
      <c r="L19" s="767"/>
      <c r="M19" s="763"/>
      <c r="N19" s="763"/>
      <c r="O19" s="763"/>
      <c r="P19" s="763"/>
      <c r="Q19" s="763"/>
      <c r="R19" s="763"/>
      <c r="S19" s="763">
        <f t="shared" si="14"/>
        <v>7318.2341714089534</v>
      </c>
      <c r="T19" s="763">
        <f t="shared" si="13"/>
        <v>7318.2341714089534</v>
      </c>
      <c r="U19" s="763">
        <f t="shared" si="13"/>
        <v>14636.468342817907</v>
      </c>
      <c r="V19" s="763">
        <f t="shared" si="13"/>
        <v>14636.468342817907</v>
      </c>
      <c r="W19" s="763">
        <f t="shared" si="13"/>
        <v>14636.468342817907</v>
      </c>
      <c r="X19" s="763">
        <f t="shared" si="13"/>
        <v>14636.468342817907</v>
      </c>
      <c r="Y19" s="763">
        <f t="shared" si="13"/>
        <v>14636.468342817907</v>
      </c>
      <c r="Z19" s="763">
        <f t="shared" si="13"/>
        <v>14636.468342817907</v>
      </c>
      <c r="AA19" s="763">
        <f t="shared" si="13"/>
        <v>14636.468342817907</v>
      </c>
      <c r="AB19" s="763">
        <f t="shared" si="13"/>
        <v>14636.468342817907</v>
      </c>
      <c r="AC19" s="763">
        <f t="shared" si="13"/>
        <v>7318.2341714089534</v>
      </c>
      <c r="AD19" s="763">
        <f t="shared" si="13"/>
        <v>7318.2341714089534</v>
      </c>
      <c r="AE19" s="763"/>
      <c r="AF19" s="763"/>
      <c r="AG19" s="763"/>
      <c r="AH19" s="763"/>
      <c r="AI19" s="763"/>
      <c r="AJ19" s="763"/>
      <c r="AK19" s="861"/>
      <c r="AL19" s="862"/>
      <c r="AM19" s="763"/>
      <c r="AN19" s="763"/>
      <c r="AO19" s="763"/>
      <c r="AP19" s="861"/>
      <c r="AQ19" s="763"/>
      <c r="AR19" s="763"/>
      <c r="AS19" s="763"/>
      <c r="AT19" s="861"/>
      <c r="AU19" s="861"/>
      <c r="AV19" s="771">
        <f t="shared" si="12"/>
        <v>146364.68342817909</v>
      </c>
      <c r="AW19" s="771">
        <f t="shared" si="16"/>
        <v>146364.68342817907</v>
      </c>
      <c r="AX19" s="946">
        <f t="shared" si="15"/>
        <v>0</v>
      </c>
    </row>
    <row r="20" spans="1:50">
      <c r="A20" s="761" t="str">
        <f>'EF Financial'!A59</f>
        <v>Marketing, FFE and Preleasing</v>
      </c>
      <c r="B20" s="901">
        <f>'EF Financial'!C59</f>
        <v>1500000</v>
      </c>
      <c r="C20" s="767"/>
      <c r="D20" s="763"/>
      <c r="E20" s="763"/>
      <c r="F20" s="763"/>
      <c r="G20" s="763"/>
      <c r="H20" s="763"/>
      <c r="I20" s="763"/>
      <c r="J20" s="763"/>
      <c r="K20" s="763"/>
      <c r="L20" s="763"/>
      <c r="M20" s="763"/>
      <c r="N20" s="763"/>
      <c r="O20" s="763"/>
      <c r="P20" s="763"/>
      <c r="Q20" s="763"/>
      <c r="R20" s="763"/>
      <c r="S20" s="763"/>
      <c r="T20" s="763"/>
      <c r="U20" s="763"/>
      <c r="V20" s="763"/>
      <c r="W20" s="763"/>
      <c r="X20" s="763"/>
      <c r="Y20" s="763"/>
      <c r="Z20" s="763"/>
      <c r="AA20" s="763"/>
      <c r="AB20" s="763"/>
      <c r="AC20" s="763"/>
      <c r="AD20" s="763"/>
      <c r="AE20" s="863">
        <f>$B20*0.15</f>
        <v>225000</v>
      </c>
      <c r="AF20" s="863">
        <f t="shared" ref="AF20:AH20" si="23">$B20*0.15</f>
        <v>225000</v>
      </c>
      <c r="AG20" s="863">
        <f t="shared" si="23"/>
        <v>225000</v>
      </c>
      <c r="AH20" s="863">
        <f t="shared" si="23"/>
        <v>225000</v>
      </c>
      <c r="AI20" s="863">
        <f t="shared" ref="AI20:AJ23" si="24">$B20*0.2</f>
        <v>300000</v>
      </c>
      <c r="AJ20" s="863">
        <f t="shared" si="24"/>
        <v>300000</v>
      </c>
      <c r="AK20" s="863"/>
      <c r="AL20" s="863"/>
      <c r="AM20" s="766"/>
      <c r="AN20" s="766"/>
      <c r="AO20" s="766"/>
      <c r="AP20" s="859"/>
      <c r="AQ20" s="766"/>
      <c r="AR20" s="766"/>
      <c r="AS20" s="766"/>
      <c r="AT20" s="859"/>
      <c r="AU20" s="859"/>
      <c r="AV20" s="771">
        <f t="shared" si="12"/>
        <v>1500000</v>
      </c>
      <c r="AW20" s="771">
        <f t="shared" si="16"/>
        <v>1500000</v>
      </c>
      <c r="AX20" s="946">
        <f t="shared" si="15"/>
        <v>0</v>
      </c>
    </row>
    <row r="21" spans="1:50">
      <c r="A21" s="761" t="str">
        <f>'EF Financial'!A60</f>
        <v>Operating Deficit</v>
      </c>
      <c r="B21" s="901">
        <f>'EF Financial'!C60</f>
        <v>1560134.2649999999</v>
      </c>
      <c r="C21" s="767"/>
      <c r="D21" s="763"/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863">
        <f t="shared" ref="AE21:AH23" si="25">$B21*0.15</f>
        <v>234020.13974999997</v>
      </c>
      <c r="AF21" s="863">
        <f t="shared" si="25"/>
        <v>234020.13974999997</v>
      </c>
      <c r="AG21" s="863">
        <f t="shared" si="25"/>
        <v>234020.13974999997</v>
      </c>
      <c r="AH21" s="863">
        <f t="shared" si="25"/>
        <v>234020.13974999997</v>
      </c>
      <c r="AI21" s="863">
        <f t="shared" si="24"/>
        <v>312026.853</v>
      </c>
      <c r="AJ21" s="863">
        <f t="shared" si="24"/>
        <v>312026.853</v>
      </c>
      <c r="AK21" s="220"/>
      <c r="AL21" s="220"/>
      <c r="AM21" s="220"/>
      <c r="AN21" s="220"/>
      <c r="AO21" s="220"/>
      <c r="AP21" s="220"/>
      <c r="AQ21" s="766"/>
      <c r="AR21" s="767"/>
      <c r="AS21" s="863"/>
      <c r="AT21" s="863"/>
      <c r="AU21" s="863"/>
      <c r="AV21" s="771">
        <f t="shared" si="12"/>
        <v>1560134.2650000001</v>
      </c>
      <c r="AW21" s="771">
        <f t="shared" si="16"/>
        <v>1560134.2649999999</v>
      </c>
      <c r="AX21" s="946">
        <f t="shared" si="15"/>
        <v>0</v>
      </c>
    </row>
    <row r="22" spans="1:50">
      <c r="A22" s="761" t="str">
        <f>'EF Financial'!A61</f>
        <v>Retail Tenant Improvements</v>
      </c>
      <c r="B22" s="901">
        <f>'EF Financial'!C61</f>
        <v>5067592.6500000004</v>
      </c>
      <c r="C22" s="767"/>
      <c r="D22" s="763"/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863">
        <f t="shared" si="25"/>
        <v>760138.89750000008</v>
      </c>
      <c r="AF22" s="863">
        <f t="shared" si="25"/>
        <v>760138.89750000008</v>
      </c>
      <c r="AG22" s="863">
        <f t="shared" si="25"/>
        <v>760138.89750000008</v>
      </c>
      <c r="AH22" s="863">
        <f t="shared" si="25"/>
        <v>760138.89750000008</v>
      </c>
      <c r="AI22" s="863">
        <f t="shared" si="24"/>
        <v>1013518.5300000001</v>
      </c>
      <c r="AJ22" s="863">
        <f t="shared" si="24"/>
        <v>1013518.5300000001</v>
      </c>
      <c r="AK22" s="866"/>
      <c r="AL22" s="860"/>
      <c r="AM22" s="766"/>
      <c r="AN22" s="766"/>
      <c r="AO22" s="766"/>
      <c r="AP22" s="859"/>
      <c r="AQ22" s="766"/>
      <c r="AR22" s="766"/>
      <c r="AS22" s="766"/>
      <c r="AT22" s="859"/>
      <c r="AU22" s="859"/>
      <c r="AV22" s="771">
        <f t="shared" si="12"/>
        <v>5067592.6500000004</v>
      </c>
      <c r="AW22" s="771">
        <f t="shared" si="16"/>
        <v>5067592.6500000004</v>
      </c>
      <c r="AX22" s="946">
        <f t="shared" si="15"/>
        <v>0</v>
      </c>
    </row>
    <row r="23" spans="1:50">
      <c r="A23" s="761" t="str">
        <f>'EF Financial'!A62</f>
        <v>Brokerage</v>
      </c>
      <c r="B23" s="901">
        <f>'EF Financial'!C62</f>
        <v>3120268.5300000003</v>
      </c>
      <c r="C23" s="767"/>
      <c r="D23" s="763"/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863">
        <f t="shared" si="25"/>
        <v>468040.2795</v>
      </c>
      <c r="AF23" s="863">
        <f t="shared" si="25"/>
        <v>468040.2795</v>
      </c>
      <c r="AG23" s="863">
        <f t="shared" si="25"/>
        <v>468040.2795</v>
      </c>
      <c r="AH23" s="863">
        <f t="shared" si="25"/>
        <v>468040.2795</v>
      </c>
      <c r="AI23" s="863">
        <f t="shared" si="24"/>
        <v>624053.70600000012</v>
      </c>
      <c r="AJ23" s="863">
        <f t="shared" si="24"/>
        <v>624053.70600000012</v>
      </c>
      <c r="AK23" s="861"/>
      <c r="AL23" s="860"/>
      <c r="AM23" s="766"/>
      <c r="AN23" s="763"/>
      <c r="AO23" s="763"/>
      <c r="AP23" s="861"/>
      <c r="AQ23" s="763"/>
      <c r="AR23" s="763"/>
      <c r="AS23" s="763"/>
      <c r="AT23" s="861"/>
      <c r="AU23" s="861"/>
      <c r="AV23" s="771">
        <f t="shared" si="12"/>
        <v>3120268.5300000003</v>
      </c>
      <c r="AW23" s="771">
        <f t="shared" si="16"/>
        <v>3120268.5300000003</v>
      </c>
      <c r="AX23" s="946">
        <f t="shared" si="15"/>
        <v>0</v>
      </c>
    </row>
    <row r="24" spans="1:50">
      <c r="A24" s="761" t="str">
        <f>'EF Financial'!A63</f>
        <v>Construction Loan Origination</v>
      </c>
      <c r="B24" s="901">
        <f>'EF Financial'!C63</f>
        <v>384915</v>
      </c>
      <c r="C24" s="763"/>
      <c r="D24" s="763"/>
      <c r="E24" s="763"/>
      <c r="F24" s="763"/>
      <c r="G24" s="763"/>
      <c r="H24" s="763"/>
      <c r="I24" s="763"/>
      <c r="J24" s="763"/>
      <c r="K24" s="763"/>
      <c r="L24" s="763"/>
      <c r="M24" s="214"/>
      <c r="N24" s="763"/>
      <c r="O24" s="763"/>
      <c r="P24" s="763"/>
      <c r="Q24" s="763"/>
      <c r="R24" s="763"/>
      <c r="S24" s="763">
        <f>B24</f>
        <v>384915</v>
      </c>
      <c r="T24" s="763"/>
      <c r="U24" s="763"/>
      <c r="V24" s="763"/>
      <c r="W24" s="763"/>
      <c r="X24" s="763"/>
      <c r="Y24" s="763"/>
      <c r="Z24" s="763"/>
      <c r="AA24" s="763"/>
      <c r="AB24" s="763"/>
      <c r="AC24" s="763"/>
      <c r="AD24" s="763"/>
      <c r="AE24" s="763"/>
      <c r="AF24" s="763"/>
      <c r="AG24" s="763"/>
      <c r="AH24" s="763"/>
      <c r="AI24" s="763"/>
      <c r="AJ24" s="763"/>
      <c r="AK24" s="861"/>
      <c r="AL24" s="862"/>
      <c r="AM24" s="763"/>
      <c r="AN24" s="763"/>
      <c r="AO24" s="763"/>
      <c r="AP24" s="861"/>
      <c r="AQ24" s="763"/>
      <c r="AR24" s="763"/>
      <c r="AS24" s="763"/>
      <c r="AT24" s="861"/>
      <c r="AU24" s="861"/>
      <c r="AV24" s="771">
        <f t="shared" si="12"/>
        <v>384915</v>
      </c>
      <c r="AW24" s="771">
        <f t="shared" si="16"/>
        <v>384915</v>
      </c>
      <c r="AX24" s="946">
        <f t="shared" si="15"/>
        <v>0</v>
      </c>
    </row>
    <row r="25" spans="1:50">
      <c r="A25" s="761" t="str">
        <f>'EF Financial'!A64</f>
        <v>Construction Interest</v>
      </c>
      <c r="B25" s="901">
        <f>'EF Financial'!C64</f>
        <v>1796270.0000000002</v>
      </c>
      <c r="C25" s="773"/>
      <c r="D25" s="763"/>
      <c r="E25" s="763"/>
      <c r="F25" s="763"/>
      <c r="G25" s="763"/>
      <c r="H25" s="763"/>
      <c r="I25" s="763"/>
      <c r="J25" s="763"/>
      <c r="K25" s="763"/>
      <c r="L25" s="763"/>
      <c r="M25" s="763"/>
      <c r="N25" s="763"/>
      <c r="O25" s="763"/>
      <c r="P25" s="763"/>
      <c r="Q25" s="763"/>
      <c r="R25" s="763"/>
      <c r="S25" s="763">
        <f t="shared" si="14"/>
        <v>89813.500000000015</v>
      </c>
      <c r="T25" s="763">
        <f t="shared" si="14"/>
        <v>89813.500000000015</v>
      </c>
      <c r="U25" s="763">
        <f t="shared" si="14"/>
        <v>179627.00000000003</v>
      </c>
      <c r="V25" s="763">
        <f t="shared" si="14"/>
        <v>179627.00000000003</v>
      </c>
      <c r="W25" s="763">
        <f t="shared" si="14"/>
        <v>179627.00000000003</v>
      </c>
      <c r="X25" s="763">
        <f t="shared" si="14"/>
        <v>179627.00000000003</v>
      </c>
      <c r="Y25" s="763">
        <f t="shared" si="14"/>
        <v>179627.00000000003</v>
      </c>
      <c r="Z25" s="763">
        <f t="shared" si="14"/>
        <v>179627.00000000003</v>
      </c>
      <c r="AA25" s="763">
        <f t="shared" si="14"/>
        <v>179627.00000000003</v>
      </c>
      <c r="AB25" s="763">
        <f t="shared" si="14"/>
        <v>179627.00000000003</v>
      </c>
      <c r="AC25" s="763">
        <f t="shared" si="14"/>
        <v>89813.500000000015</v>
      </c>
      <c r="AD25" s="763">
        <f t="shared" si="14"/>
        <v>89813.500000000015</v>
      </c>
      <c r="AE25" s="763"/>
      <c r="AF25" s="763"/>
      <c r="AG25" s="763"/>
      <c r="AH25" s="763"/>
      <c r="AI25" s="763"/>
      <c r="AJ25" s="763"/>
      <c r="AK25" s="763"/>
      <c r="AL25" s="763"/>
      <c r="AM25" s="763"/>
      <c r="AN25" s="763"/>
      <c r="AO25" s="763"/>
      <c r="AP25" s="763"/>
      <c r="AQ25" s="763"/>
      <c r="AR25" s="763"/>
      <c r="AS25" s="214"/>
      <c r="AT25" s="763"/>
      <c r="AU25" s="763"/>
      <c r="AV25" s="771">
        <f t="shared" si="12"/>
        <v>1796270.0000000002</v>
      </c>
      <c r="AW25" s="771">
        <f t="shared" si="16"/>
        <v>1796270.0000000002</v>
      </c>
      <c r="AX25" s="946">
        <f t="shared" si="15"/>
        <v>0</v>
      </c>
    </row>
    <row r="26" spans="1:50" ht="12.95" thickBot="1">
      <c r="A26" s="867" t="str">
        <f>'EF Financial'!A65</f>
        <v>Additional Contingency</v>
      </c>
      <c r="B26" s="776">
        <f>'EF Financial'!C65</f>
        <v>0</v>
      </c>
      <c r="C26" s="775"/>
      <c r="D26" s="775"/>
      <c r="E26" s="775"/>
      <c r="F26" s="775"/>
      <c r="G26" s="775"/>
      <c r="H26" s="775"/>
      <c r="I26" s="775"/>
      <c r="J26" s="775"/>
      <c r="K26" s="775"/>
      <c r="L26" s="775"/>
      <c r="M26" s="775"/>
      <c r="N26" s="775"/>
      <c r="O26" s="775"/>
      <c r="P26" s="775"/>
      <c r="Q26" s="775"/>
      <c r="R26" s="775"/>
      <c r="S26" s="763">
        <f t="shared" si="14"/>
        <v>0</v>
      </c>
      <c r="T26" s="763">
        <f t="shared" si="14"/>
        <v>0</v>
      </c>
      <c r="U26" s="763">
        <f t="shared" si="14"/>
        <v>0</v>
      </c>
      <c r="V26" s="763">
        <f t="shared" si="14"/>
        <v>0</v>
      </c>
      <c r="W26" s="763">
        <f t="shared" si="14"/>
        <v>0</v>
      </c>
      <c r="X26" s="763">
        <f t="shared" si="14"/>
        <v>0</v>
      </c>
      <c r="Y26" s="763">
        <f t="shared" si="14"/>
        <v>0</v>
      </c>
      <c r="Z26" s="763">
        <f t="shared" si="14"/>
        <v>0</v>
      </c>
      <c r="AA26" s="763">
        <f t="shared" si="14"/>
        <v>0</v>
      </c>
      <c r="AB26" s="763">
        <f t="shared" si="14"/>
        <v>0</v>
      </c>
      <c r="AC26" s="763">
        <f t="shared" si="14"/>
        <v>0</v>
      </c>
      <c r="AD26" s="763">
        <f t="shared" si="14"/>
        <v>0</v>
      </c>
      <c r="AE26" s="775"/>
      <c r="AF26" s="775"/>
      <c r="AG26" s="775"/>
      <c r="AH26" s="775"/>
      <c r="AI26" s="775"/>
      <c r="AJ26" s="775"/>
      <c r="AK26" s="775"/>
      <c r="AL26" s="775"/>
      <c r="AM26" s="868"/>
      <c r="AN26" s="868"/>
      <c r="AO26" s="868"/>
      <c r="AP26" s="868"/>
      <c r="AQ26" s="869"/>
      <c r="AR26" s="869"/>
      <c r="AS26" s="909"/>
      <c r="AT26" s="222"/>
      <c r="AU26" s="222"/>
      <c r="AV26" s="947">
        <f t="shared" si="12"/>
        <v>0</v>
      </c>
      <c r="AW26" s="771">
        <f t="shared" si="16"/>
        <v>0</v>
      </c>
      <c r="AX26" s="946">
        <f t="shared" si="15"/>
        <v>0</v>
      </c>
    </row>
    <row r="27" spans="1:50" ht="14.1" thickTop="1" thickBot="1">
      <c r="A27" s="141" t="str">
        <f>'A Financial'!A57</f>
        <v>Total Project Cost</v>
      </c>
      <c r="B27" s="142">
        <f t="shared" ref="B27:AJ27" si="26">SUM(B5:B26)</f>
        <v>44949658.064275317</v>
      </c>
      <c r="C27" s="870">
        <f t="shared" si="26"/>
        <v>0</v>
      </c>
      <c r="D27" s="870">
        <f t="shared" si="26"/>
        <v>0</v>
      </c>
      <c r="E27" s="870">
        <f t="shared" si="26"/>
        <v>0</v>
      </c>
      <c r="F27" s="870">
        <f t="shared" si="26"/>
        <v>0</v>
      </c>
      <c r="G27" s="870">
        <f t="shared" si="26"/>
        <v>1410004.2080538</v>
      </c>
      <c r="H27" s="870">
        <f t="shared" si="26"/>
        <v>105365.38637880002</v>
      </c>
      <c r="I27" s="870">
        <f t="shared" si="26"/>
        <v>105365.38637880002</v>
      </c>
      <c r="J27" s="870">
        <f t="shared" si="26"/>
        <v>105365.38637880002</v>
      </c>
      <c r="K27" s="870">
        <f t="shared" si="26"/>
        <v>105365.38637880002</v>
      </c>
      <c r="L27" s="870">
        <f t="shared" si="26"/>
        <v>105365.38637880002</v>
      </c>
      <c r="M27" s="870">
        <f t="shared" si="26"/>
        <v>105365.38637880002</v>
      </c>
      <c r="N27" s="870">
        <f t="shared" si="26"/>
        <v>105365.38637880002</v>
      </c>
      <c r="O27" s="870">
        <f t="shared" si="26"/>
        <v>105365.38637880002</v>
      </c>
      <c r="P27" s="870">
        <f t="shared" si="26"/>
        <v>105365.38637880002</v>
      </c>
      <c r="Q27" s="870">
        <f t="shared" si="26"/>
        <v>0</v>
      </c>
      <c r="R27" s="870">
        <f t="shared" si="26"/>
        <v>348500</v>
      </c>
      <c r="S27" s="870">
        <f t="shared" si="26"/>
        <v>1915412.7466906162</v>
      </c>
      <c r="T27" s="870">
        <f t="shared" si="26"/>
        <v>1530497.7466906162</v>
      </c>
      <c r="U27" s="870">
        <f t="shared" si="26"/>
        <v>3060995.4933812325</v>
      </c>
      <c r="V27" s="870">
        <f t="shared" si="26"/>
        <v>3060995.4933812325</v>
      </c>
      <c r="W27" s="870">
        <f t="shared" si="26"/>
        <v>3060995.4933812325</v>
      </c>
      <c r="X27" s="870">
        <f t="shared" si="26"/>
        <v>3060995.4933812325</v>
      </c>
      <c r="Y27" s="870">
        <f t="shared" si="26"/>
        <v>3060995.4933812325</v>
      </c>
      <c r="Z27" s="870">
        <f t="shared" si="26"/>
        <v>3060995.4933812325</v>
      </c>
      <c r="AA27" s="870">
        <f t="shared" si="26"/>
        <v>3060995.4933812325</v>
      </c>
      <c r="AB27" s="870">
        <f t="shared" si="26"/>
        <v>3060995.4933812325</v>
      </c>
      <c r="AC27" s="870">
        <f t="shared" si="26"/>
        <v>1530497.7466906162</v>
      </c>
      <c r="AD27" s="870">
        <f t="shared" si="26"/>
        <v>1530497.7466906162</v>
      </c>
      <c r="AE27" s="870">
        <f t="shared" si="26"/>
        <v>1687199.31675</v>
      </c>
      <c r="AF27" s="870">
        <f t="shared" si="26"/>
        <v>1687199.31675</v>
      </c>
      <c r="AG27" s="870">
        <f t="shared" si="26"/>
        <v>1687199.31675</v>
      </c>
      <c r="AH27" s="870">
        <f t="shared" si="26"/>
        <v>1687199.31675</v>
      </c>
      <c r="AI27" s="870">
        <f t="shared" si="26"/>
        <v>2249599.0890000002</v>
      </c>
      <c r="AJ27" s="870">
        <f t="shared" si="26"/>
        <v>2249599.0890000002</v>
      </c>
      <c r="AK27" s="870"/>
      <c r="AL27" s="870"/>
      <c r="AM27" s="870"/>
      <c r="AN27" s="870"/>
      <c r="AO27" s="870"/>
      <c r="AP27" s="870"/>
      <c r="AQ27" s="870"/>
      <c r="AR27" s="143"/>
      <c r="AS27" s="144"/>
      <c r="AT27" s="145"/>
      <c r="AU27" s="145"/>
      <c r="AV27" s="146">
        <f>SUM(AV5:AV26)</f>
        <v>44949658.064275324</v>
      </c>
      <c r="AW27" s="129">
        <f>SUM(AW5:AW26)</f>
        <v>44949658.064275317</v>
      </c>
      <c r="AX27" s="124"/>
    </row>
    <row r="28" spans="1:50" ht="12.95">
      <c r="A28" s="126" t="s">
        <v>346</v>
      </c>
      <c r="B28" s="149">
        <f>'EF Financial'!B74</f>
        <v>0</v>
      </c>
      <c r="C28" s="948"/>
      <c r="D28" s="800"/>
      <c r="E28" s="800"/>
      <c r="F28" s="800"/>
      <c r="G28" s="800"/>
      <c r="H28" s="800"/>
      <c r="I28" s="800"/>
      <c r="J28" s="800"/>
      <c r="K28" s="800"/>
      <c r="L28" s="800"/>
      <c r="M28" s="800"/>
      <c r="N28" s="800"/>
      <c r="O28" s="800"/>
      <c r="P28" s="800"/>
      <c r="Q28" s="800"/>
      <c r="R28" s="800"/>
      <c r="S28" s="800"/>
      <c r="T28" s="800"/>
      <c r="U28" s="800"/>
      <c r="V28" s="800"/>
      <c r="W28" s="800"/>
      <c r="X28" s="800"/>
      <c r="Y28" s="800"/>
      <c r="Z28" s="800"/>
      <c r="AA28" s="800"/>
      <c r="AB28" s="800"/>
      <c r="AC28" s="800"/>
      <c r="AD28" s="800"/>
      <c r="AE28" s="800"/>
      <c r="AF28" s="800"/>
      <c r="AG28" s="800"/>
      <c r="AH28" s="800"/>
      <c r="AI28" s="800"/>
      <c r="AJ28" s="800"/>
      <c r="AK28" s="800"/>
      <c r="AL28" s="800"/>
      <c r="AM28" s="800"/>
      <c r="AN28" s="800"/>
      <c r="AO28" s="800"/>
      <c r="AP28" s="800"/>
      <c r="AQ28" s="800"/>
      <c r="AR28" s="800"/>
      <c r="AS28" s="800"/>
      <c r="AT28" s="800"/>
      <c r="AU28" s="800"/>
      <c r="AV28" s="871"/>
      <c r="AW28" s="800"/>
      <c r="AX28" s="124"/>
    </row>
    <row r="29" spans="1:50" ht="12.95" thickBot="1">
      <c r="A29" s="778" t="s">
        <v>347</v>
      </c>
      <c r="B29" s="915">
        <f>B27+B28</f>
        <v>44949658.064275317</v>
      </c>
      <c r="C29" s="913"/>
      <c r="D29" s="793"/>
      <c r="E29" s="793"/>
      <c r="F29" s="793"/>
      <c r="G29" s="793"/>
      <c r="H29" s="793"/>
      <c r="I29" s="793"/>
      <c r="J29" s="793"/>
      <c r="K29" s="793"/>
      <c r="L29" s="793"/>
      <c r="M29" s="793"/>
      <c r="N29" s="793"/>
      <c r="O29" s="793"/>
      <c r="P29" s="793"/>
      <c r="Q29" s="793"/>
      <c r="R29" s="793"/>
      <c r="S29" s="793"/>
      <c r="T29" s="793"/>
      <c r="U29" s="793"/>
      <c r="V29" s="793"/>
      <c r="W29" s="793"/>
      <c r="X29" s="793"/>
      <c r="Y29" s="793"/>
      <c r="Z29" s="791"/>
      <c r="AA29" s="791"/>
      <c r="AB29" s="791"/>
      <c r="AC29" s="791"/>
      <c r="AD29" s="791"/>
      <c r="AE29" s="791"/>
      <c r="AF29" s="791"/>
      <c r="AG29" s="791"/>
      <c r="AH29" s="793"/>
      <c r="AI29" s="793"/>
      <c r="AJ29" s="793"/>
      <c r="AK29" s="793"/>
      <c r="AL29" s="793"/>
      <c r="AM29" s="793"/>
      <c r="AN29" s="793"/>
      <c r="AO29" s="793"/>
      <c r="AP29" s="793"/>
      <c r="AQ29" s="793"/>
      <c r="AR29" s="793"/>
      <c r="AS29" s="793"/>
      <c r="AT29" s="793"/>
      <c r="AU29" s="793"/>
      <c r="AV29" s="793"/>
      <c r="AW29" s="793"/>
      <c r="AX29" s="780"/>
    </row>
    <row r="30" spans="1:50">
      <c r="A30" s="781" t="s">
        <v>348</v>
      </c>
      <c r="B30" s="782">
        <f>SUM(C30:AS30)</f>
        <v>17980000</v>
      </c>
      <c r="C30" s="764">
        <f>C27</f>
        <v>0</v>
      </c>
      <c r="D30" s="764">
        <f t="shared" ref="D30:AJ30" si="27">IF(C31+D27&lt;=$B$31,D27,($B$31-C31))</f>
        <v>0</v>
      </c>
      <c r="E30" s="764">
        <f t="shared" si="27"/>
        <v>0</v>
      </c>
      <c r="F30" s="764">
        <f t="shared" si="27"/>
        <v>0</v>
      </c>
      <c r="G30" s="764">
        <f t="shared" si="27"/>
        <v>1410004.2080538</v>
      </c>
      <c r="H30" s="764">
        <f t="shared" si="27"/>
        <v>105365.38637880002</v>
      </c>
      <c r="I30" s="764">
        <f t="shared" si="27"/>
        <v>105365.38637880002</v>
      </c>
      <c r="J30" s="764">
        <f t="shared" si="27"/>
        <v>105365.38637880002</v>
      </c>
      <c r="K30" s="764">
        <f t="shared" si="27"/>
        <v>105365.38637880002</v>
      </c>
      <c r="L30" s="764">
        <f t="shared" si="27"/>
        <v>105365.38637880002</v>
      </c>
      <c r="M30" s="764">
        <f t="shared" si="27"/>
        <v>105365.38637880002</v>
      </c>
      <c r="N30" s="764">
        <f t="shared" si="27"/>
        <v>105365.38637880002</v>
      </c>
      <c r="O30" s="764">
        <f t="shared" si="27"/>
        <v>105365.38637880002</v>
      </c>
      <c r="P30" s="764">
        <f t="shared" si="27"/>
        <v>105365.38637880002</v>
      </c>
      <c r="Q30" s="764">
        <f t="shared" si="27"/>
        <v>0</v>
      </c>
      <c r="R30" s="764">
        <f t="shared" si="27"/>
        <v>348500</v>
      </c>
      <c r="S30" s="764">
        <f t="shared" si="27"/>
        <v>1915412.7466906162</v>
      </c>
      <c r="T30" s="764">
        <f t="shared" si="27"/>
        <v>1530497.7466906162</v>
      </c>
      <c r="U30" s="764">
        <f t="shared" si="27"/>
        <v>3060995.4933812325</v>
      </c>
      <c r="V30" s="764">
        <f t="shared" si="27"/>
        <v>3060995.4933812325</v>
      </c>
      <c r="W30" s="764">
        <f t="shared" si="27"/>
        <v>3060995.4933812325</v>
      </c>
      <c r="X30" s="764">
        <f t="shared" si="27"/>
        <v>2644310.3410120718</v>
      </c>
      <c r="Y30" s="764">
        <f t="shared" si="27"/>
        <v>0</v>
      </c>
      <c r="Z30" s="764">
        <f t="shared" si="27"/>
        <v>0</v>
      </c>
      <c r="AA30" s="764">
        <f t="shared" si="27"/>
        <v>0</v>
      </c>
      <c r="AB30" s="764">
        <f t="shared" si="27"/>
        <v>0</v>
      </c>
      <c r="AC30" s="764">
        <f t="shared" si="27"/>
        <v>0</v>
      </c>
      <c r="AD30" s="764">
        <f t="shared" si="27"/>
        <v>0</v>
      </c>
      <c r="AE30" s="764">
        <f t="shared" si="27"/>
        <v>0</v>
      </c>
      <c r="AF30" s="764">
        <f t="shared" si="27"/>
        <v>0</v>
      </c>
      <c r="AG30" s="764">
        <f t="shared" si="27"/>
        <v>0</v>
      </c>
      <c r="AH30" s="764">
        <f t="shared" si="27"/>
        <v>0</v>
      </c>
      <c r="AI30" s="764">
        <f t="shared" si="27"/>
        <v>0</v>
      </c>
      <c r="AJ30" s="764">
        <f t="shared" si="27"/>
        <v>0</v>
      </c>
      <c r="AK30" s="764"/>
      <c r="AL30" s="764"/>
      <c r="AM30" s="764"/>
      <c r="AN30" s="764"/>
      <c r="AO30" s="764"/>
      <c r="AP30" s="764"/>
      <c r="AQ30" s="764"/>
      <c r="AR30" s="764"/>
      <c r="AS30" s="764"/>
      <c r="AT30" s="764"/>
      <c r="AU30" s="764"/>
      <c r="AV30" s="783"/>
      <c r="AW30" s="783"/>
      <c r="AX30" s="783"/>
    </row>
    <row r="31" spans="1:50" ht="12.95" thickBot="1">
      <c r="A31" s="761" t="s">
        <v>349</v>
      </c>
      <c r="B31" s="784">
        <f>'EF Financial'!B77</f>
        <v>17980000</v>
      </c>
      <c r="C31" s="764">
        <f>C30</f>
        <v>0</v>
      </c>
      <c r="D31" s="764">
        <f>IF(SUM($C$30:D30)&lt;=$B31,SUM($C$30:D30),0)</f>
        <v>0</v>
      </c>
      <c r="E31" s="764">
        <f>IF(SUM($C$30:E30)&lt;=$B31,SUM($C$30:E30),0)</f>
        <v>0</v>
      </c>
      <c r="F31" s="764">
        <f>IF(SUM($C$30:F30)&lt;=$B31,SUM($C$30:F30),0)</f>
        <v>0</v>
      </c>
      <c r="G31" s="764">
        <f>IF(SUM($C$30:G30)&lt;=$B31,SUM($C$30:G30),0)</f>
        <v>1410004.2080538</v>
      </c>
      <c r="H31" s="764">
        <f>IF(SUM($C$30:H30)&lt;=$B31,SUM($C$30:H30),0)</f>
        <v>1515369.5944326001</v>
      </c>
      <c r="I31" s="764">
        <f>IF(SUM($C$30:I30)&lt;=$B31,SUM($C$30:I30),0)</f>
        <v>1620734.9808114001</v>
      </c>
      <c r="J31" s="764">
        <f>IF(SUM($C$30:J30)&lt;=$B31,SUM($C$30:J30),0)</f>
        <v>1726100.3671902001</v>
      </c>
      <c r="K31" s="764">
        <f>IF(SUM($C$30:K30)&lt;=$B31,SUM($C$30:K30),0)</f>
        <v>1831465.7535690002</v>
      </c>
      <c r="L31" s="764">
        <f>IF(SUM($C$30:L30)&lt;=$B31,SUM($C$30:L30),0)</f>
        <v>1936831.1399478002</v>
      </c>
      <c r="M31" s="764">
        <f>IF(SUM($C$30:M30)&lt;=$B31,SUM($C$30:M30),0)</f>
        <v>2042196.5263266002</v>
      </c>
      <c r="N31" s="764">
        <f>IF(SUM($C$30:N30)&lt;=$B31,SUM($C$30:N30),0)</f>
        <v>2147561.9127054</v>
      </c>
      <c r="O31" s="764">
        <f>IF(SUM($C$30:O30)&lt;=$B31,SUM($C$30:O30),0)</f>
        <v>2252927.2990842001</v>
      </c>
      <c r="P31" s="764">
        <f>IF(SUM($C$30:P30)&lt;=$B31,SUM($C$30:P30),0)</f>
        <v>2358292.6854630001</v>
      </c>
      <c r="Q31" s="764">
        <f>IF(SUM($C$30:Q30)&lt;=$B31,SUM($C$30:Q30),0)</f>
        <v>2358292.6854630001</v>
      </c>
      <c r="R31" s="764">
        <f>IF(SUM($C$30:R30)&lt;=$B31,SUM($C$30:R30),0)</f>
        <v>2706792.6854630001</v>
      </c>
      <c r="S31" s="764">
        <f>IF(SUM($C$30:S30)&lt;=$B31,SUM($C$30:S30),0)</f>
        <v>4622205.4321536161</v>
      </c>
      <c r="T31" s="764">
        <f>IF(SUM($C$30:T30)&lt;=$B31,SUM($C$30:T30),0)</f>
        <v>6152703.1788442321</v>
      </c>
      <c r="U31" s="764">
        <f>IF(SUM($C$30:U30)&lt;=$B31,SUM($C$30:U30),0)</f>
        <v>9213698.6722254641</v>
      </c>
      <c r="V31" s="764">
        <f>IF(SUM($C$30:V30)&lt;=$B31,SUM($C$30:V30),0)</f>
        <v>12274694.165606696</v>
      </c>
      <c r="W31" s="764">
        <f>IF(SUM($C$30:W30)&lt;=$B31,SUM($C$30:W30),0)</f>
        <v>15335689.658987928</v>
      </c>
      <c r="X31" s="764">
        <f>IF(SUM($C$30:X30)&lt;=$B31,SUM($C$30:X30),0)</f>
        <v>17980000</v>
      </c>
      <c r="Y31" s="764">
        <f>IF(SUM($C$30:Y30)&lt;=$B31,SUM($C$30:Y30),0)</f>
        <v>17980000</v>
      </c>
      <c r="Z31" s="764">
        <f>IF(SUM($C$30:Z30)&lt;=$B31,SUM($C$30:Z30),0)</f>
        <v>17980000</v>
      </c>
      <c r="AA31" s="764">
        <f>IF(SUM($C$30:AA30)&lt;=$B31,SUM($C$30:AA30),0)</f>
        <v>17980000</v>
      </c>
      <c r="AB31" s="764">
        <f>IF(SUM($C$30:AB30)&lt;=$B31,SUM($C$30:AB30),0)</f>
        <v>17980000</v>
      </c>
      <c r="AC31" s="764">
        <f>IF(SUM($C$30:AC30)&lt;=$B31,SUM($C$30:AC30),0)</f>
        <v>17980000</v>
      </c>
      <c r="AD31" s="764">
        <f>IF(SUM($C$30:AD30)&lt;=$B31,SUM($C$30:AD30),0)</f>
        <v>17980000</v>
      </c>
      <c r="AE31" s="764">
        <f>IF(SUM($C$30:AE30)&lt;=$B31,SUM($C$30:AE30),0)</f>
        <v>17980000</v>
      </c>
      <c r="AF31" s="764">
        <f>IF(SUM($C$30:AF30)&lt;=$B31,SUM($C$30:AF30),0)</f>
        <v>17980000</v>
      </c>
      <c r="AG31" s="764">
        <f>IF(SUM($C$30:AG30)&lt;=$B31,SUM($C$30:AG30),0)</f>
        <v>17980000</v>
      </c>
      <c r="AH31" s="764">
        <f>IF(SUM($C$30:AH30)&lt;=$B31,SUM($C$30:AH30),0)</f>
        <v>17980000</v>
      </c>
      <c r="AI31" s="764">
        <f>IF(SUM($C$30:AI30)&lt;=$B31,SUM($C$30:AI30),0)</f>
        <v>17980000</v>
      </c>
      <c r="AJ31" s="764">
        <f>IF(SUM($C$30:AJ30)&lt;=$B31,SUM($C$30:AJ30),0)</f>
        <v>17980000</v>
      </c>
      <c r="AK31" s="764"/>
      <c r="AL31" s="764"/>
      <c r="AM31" s="764"/>
      <c r="AN31" s="764"/>
      <c r="AO31" s="764"/>
      <c r="AP31" s="764"/>
      <c r="AQ31" s="764"/>
      <c r="AR31" s="764"/>
      <c r="AS31" s="764"/>
      <c r="AT31" s="764"/>
      <c r="AU31" s="764"/>
      <c r="AV31" s="783"/>
      <c r="AW31" s="783"/>
      <c r="AX31" s="783"/>
    </row>
    <row r="32" spans="1:50">
      <c r="A32" s="130" t="s">
        <v>350</v>
      </c>
      <c r="B32" s="131">
        <f>'EF Financial'!B76</f>
        <v>26970000</v>
      </c>
      <c r="C32" s="785"/>
      <c r="D32" s="786"/>
      <c r="E32" s="786"/>
      <c r="F32" s="786"/>
      <c r="G32" s="786"/>
      <c r="H32" s="786"/>
      <c r="I32" s="786"/>
      <c r="J32" s="786"/>
      <c r="K32" s="786"/>
      <c r="L32" s="786"/>
      <c r="M32" s="786"/>
      <c r="N32" s="786"/>
      <c r="O32" s="786"/>
      <c r="P32" s="786"/>
      <c r="Q32" s="786"/>
      <c r="R32" s="786"/>
      <c r="S32" s="786"/>
      <c r="T32" s="786"/>
      <c r="U32" s="786"/>
      <c r="V32" s="786"/>
      <c r="W32" s="786"/>
      <c r="X32" s="786"/>
      <c r="Y32" s="786"/>
      <c r="Z32" s="786"/>
      <c r="AA32" s="786"/>
      <c r="AB32" s="786"/>
      <c r="AC32" s="786"/>
      <c r="AD32" s="786"/>
      <c r="AE32" s="786"/>
      <c r="AF32" s="786"/>
      <c r="AG32" s="786"/>
      <c r="AH32" s="786"/>
      <c r="AI32" s="786"/>
      <c r="AJ32" s="786"/>
      <c r="AK32" s="786"/>
      <c r="AL32" s="786"/>
      <c r="AM32" s="786"/>
      <c r="AN32" s="786"/>
      <c r="AO32" s="786"/>
      <c r="AP32" s="786"/>
      <c r="AQ32" s="786"/>
      <c r="AR32" s="786"/>
      <c r="AS32" s="786"/>
      <c r="AT32" s="786"/>
      <c r="AU32" s="786"/>
      <c r="AV32" s="785"/>
      <c r="AW32" s="785"/>
      <c r="AX32" s="783"/>
    </row>
    <row r="33" spans="1:50" ht="12.95" thickBot="1">
      <c r="A33" s="787" t="s">
        <v>351</v>
      </c>
      <c r="B33" s="788">
        <f>PMT(0.045,30,(B32))</f>
        <v>-1655729.9122447572</v>
      </c>
      <c r="C33" s="785"/>
      <c r="D33" s="786"/>
      <c r="E33" s="786"/>
      <c r="F33" s="786"/>
      <c r="G33" s="786"/>
      <c r="H33" s="786"/>
      <c r="I33" s="786"/>
      <c r="J33" s="786"/>
      <c r="K33" s="786"/>
      <c r="L33" s="786"/>
      <c r="M33" s="786"/>
      <c r="N33" s="786"/>
      <c r="O33" s="786"/>
      <c r="P33" s="786"/>
      <c r="Q33" s="786"/>
      <c r="R33" s="786"/>
      <c r="S33" s="786"/>
      <c r="T33" s="786"/>
      <c r="U33" s="786"/>
      <c r="V33" s="786"/>
      <c r="W33" s="786"/>
      <c r="X33" s="786"/>
      <c r="Y33" s="786"/>
      <c r="Z33" s="786"/>
      <c r="AA33" s="786"/>
      <c r="AB33" s="786"/>
      <c r="AC33" s="786"/>
      <c r="AD33" s="786"/>
      <c r="AE33" s="786"/>
      <c r="AF33" s="786"/>
      <c r="AG33" s="786"/>
      <c r="AH33" s="786"/>
      <c r="AI33" s="786"/>
      <c r="AJ33" s="786"/>
      <c r="AK33" s="786"/>
      <c r="AL33" s="786"/>
      <c r="AM33" s="786"/>
      <c r="AN33" s="786"/>
      <c r="AO33" s="786"/>
      <c r="AP33" s="786"/>
      <c r="AQ33" s="786"/>
      <c r="AR33" s="786"/>
      <c r="AS33" s="786"/>
      <c r="AT33" s="786"/>
      <c r="AU33" s="786"/>
      <c r="AV33" s="785"/>
      <c r="AW33" s="785"/>
      <c r="AX33" s="783"/>
    </row>
    <row r="34" spans="1:50">
      <c r="A34" s="132" t="s">
        <v>352</v>
      </c>
      <c r="B34" s="133">
        <f>SUM(C34:AV34)</f>
        <v>0</v>
      </c>
      <c r="C34" s="764"/>
      <c r="D34" s="764"/>
      <c r="E34" s="764"/>
      <c r="F34" s="764"/>
      <c r="G34" s="764"/>
      <c r="H34" s="764"/>
      <c r="I34" s="764"/>
      <c r="J34" s="764"/>
      <c r="K34" s="764"/>
      <c r="L34" s="764"/>
      <c r="M34" s="764"/>
      <c r="N34" s="764"/>
      <c r="O34" s="764"/>
      <c r="P34" s="764"/>
      <c r="Q34" s="764"/>
      <c r="R34" s="764"/>
      <c r="S34" s="764"/>
      <c r="T34" s="764"/>
      <c r="U34" s="764"/>
      <c r="V34" s="764"/>
      <c r="W34" s="764"/>
      <c r="X34" s="764"/>
      <c r="Y34" s="764"/>
      <c r="Z34" s="764"/>
      <c r="AA34" s="764"/>
      <c r="AB34" s="764"/>
      <c r="AC34" s="764"/>
      <c r="AD34" s="764"/>
      <c r="AE34" s="764"/>
      <c r="AF34" s="764"/>
      <c r="AG34" s="764"/>
      <c r="AH34" s="764"/>
      <c r="AI34" s="764"/>
      <c r="AJ34" s="764"/>
      <c r="AK34" s="764"/>
      <c r="AL34" s="764"/>
      <c r="AM34" s="764"/>
      <c r="AN34" s="764"/>
      <c r="AO34" s="764"/>
      <c r="AP34" s="764"/>
      <c r="AQ34" s="764"/>
      <c r="AR34" s="764"/>
      <c r="AS34" s="509"/>
      <c r="AT34" s="509"/>
      <c r="AU34" s="509"/>
      <c r="AV34" s="791"/>
      <c r="AW34" s="785"/>
      <c r="AX34" s="783"/>
    </row>
    <row r="35" spans="1:50" ht="12.95">
      <c r="A35" s="922" t="s">
        <v>353</v>
      </c>
      <c r="B35" s="133"/>
      <c r="C35" s="764"/>
      <c r="D35" s="764"/>
      <c r="E35" s="764"/>
      <c r="F35" s="764"/>
      <c r="G35" s="764"/>
      <c r="H35" s="764"/>
      <c r="I35" s="764"/>
      <c r="J35" s="764"/>
      <c r="K35" s="764"/>
      <c r="L35" s="764"/>
      <c r="M35" s="764"/>
      <c r="N35" s="764"/>
      <c r="O35" s="764"/>
      <c r="P35" s="764"/>
      <c r="Q35" s="764"/>
      <c r="R35" s="764"/>
      <c r="S35" s="764"/>
      <c r="T35" s="764"/>
      <c r="U35" s="764"/>
      <c r="V35" s="764"/>
      <c r="W35" s="764"/>
      <c r="X35" s="764"/>
      <c r="Y35" s="764"/>
      <c r="Z35" s="764"/>
      <c r="AA35" s="764"/>
      <c r="AB35" s="764"/>
      <c r="AC35" s="764"/>
      <c r="AD35" s="764"/>
      <c r="AE35" s="764"/>
      <c r="AF35" s="764"/>
      <c r="AG35" s="764"/>
      <c r="AH35" s="764"/>
      <c r="AI35" s="764"/>
      <c r="AJ35" s="764"/>
      <c r="AK35" s="764"/>
      <c r="AL35" s="764"/>
      <c r="AM35" s="764"/>
      <c r="AN35" s="764"/>
      <c r="AO35" s="764"/>
      <c r="AP35" s="764"/>
      <c r="AQ35" s="764"/>
      <c r="AR35" s="764"/>
      <c r="AS35" s="509"/>
      <c r="AT35" s="509"/>
      <c r="AU35" s="509"/>
      <c r="AV35" s="791"/>
      <c r="AW35" s="786"/>
      <c r="AX35" s="783"/>
    </row>
    <row r="36" spans="1:50" ht="12.95">
      <c r="A36" s="781" t="s">
        <v>354</v>
      </c>
      <c r="B36" s="782">
        <f>'EF Financial'!B84+'EF Financial'!B85</f>
        <v>117320200</v>
      </c>
      <c r="C36" s="791"/>
      <c r="D36" s="792"/>
      <c r="E36" s="792"/>
      <c r="F36" s="792"/>
      <c r="G36" s="792"/>
      <c r="H36" s="792"/>
      <c r="I36" s="792"/>
      <c r="J36" s="792"/>
      <c r="K36" s="792"/>
      <c r="L36" s="792"/>
      <c r="M36" s="792"/>
      <c r="N36" s="792"/>
      <c r="O36" s="792"/>
      <c r="P36" s="792"/>
      <c r="Q36" s="792"/>
      <c r="R36" s="792"/>
      <c r="S36" s="792"/>
      <c r="T36" s="792"/>
      <c r="U36" s="792"/>
      <c r="V36" s="792"/>
      <c r="W36" s="792"/>
      <c r="X36" s="792"/>
      <c r="Y36" s="792"/>
      <c r="Z36" s="792"/>
      <c r="AA36" s="792"/>
      <c r="AB36" s="792"/>
      <c r="AC36" s="792"/>
      <c r="AD36" s="792"/>
      <c r="AE36" s="792"/>
      <c r="AF36" s="792"/>
      <c r="AG36" s="873"/>
      <c r="AH36" s="792"/>
      <c r="AI36" s="792"/>
      <c r="AJ36" s="792"/>
      <c r="AK36" s="792"/>
      <c r="AL36" s="792"/>
      <c r="AM36" s="792"/>
      <c r="AN36" s="792"/>
      <c r="AO36" s="792"/>
      <c r="AP36" s="792"/>
      <c r="AQ36" s="792"/>
      <c r="AR36" s="792"/>
      <c r="AS36" s="792"/>
      <c r="AT36" s="792"/>
      <c r="AU36" s="792"/>
      <c r="AV36" s="793"/>
      <c r="AW36" s="794"/>
      <c r="AX36" s="795"/>
    </row>
    <row r="37" spans="1:50" ht="12.95">
      <c r="A37" s="781" t="s">
        <v>355</v>
      </c>
      <c r="B37" s="796">
        <f>SUM(C37:AU37)</f>
        <v>99340200</v>
      </c>
      <c r="C37" s="797">
        <f t="shared" ref="C37:AI37" si="28">-C30</f>
        <v>0</v>
      </c>
      <c r="D37" s="797">
        <f t="shared" si="28"/>
        <v>0</v>
      </c>
      <c r="E37" s="797">
        <f t="shared" si="28"/>
        <v>0</v>
      </c>
      <c r="F37" s="797">
        <f t="shared" si="28"/>
        <v>0</v>
      </c>
      <c r="G37" s="797">
        <f t="shared" si="28"/>
        <v>-1410004.2080538</v>
      </c>
      <c r="H37" s="797">
        <f t="shared" si="28"/>
        <v>-105365.38637880002</v>
      </c>
      <c r="I37" s="797">
        <f t="shared" si="28"/>
        <v>-105365.38637880002</v>
      </c>
      <c r="J37" s="797">
        <f t="shared" si="28"/>
        <v>-105365.38637880002</v>
      </c>
      <c r="K37" s="797">
        <f t="shared" si="28"/>
        <v>-105365.38637880002</v>
      </c>
      <c r="L37" s="797">
        <f t="shared" si="28"/>
        <v>-105365.38637880002</v>
      </c>
      <c r="M37" s="797">
        <f t="shared" si="28"/>
        <v>-105365.38637880002</v>
      </c>
      <c r="N37" s="797">
        <f t="shared" si="28"/>
        <v>-105365.38637880002</v>
      </c>
      <c r="O37" s="797">
        <f t="shared" si="28"/>
        <v>-105365.38637880002</v>
      </c>
      <c r="P37" s="797">
        <f t="shared" si="28"/>
        <v>-105365.38637880002</v>
      </c>
      <c r="Q37" s="797">
        <f t="shared" si="28"/>
        <v>0</v>
      </c>
      <c r="R37" s="797">
        <f t="shared" si="28"/>
        <v>-348500</v>
      </c>
      <c r="S37" s="797">
        <f t="shared" si="28"/>
        <v>-1915412.7466906162</v>
      </c>
      <c r="T37" s="797">
        <f t="shared" si="28"/>
        <v>-1530497.7466906162</v>
      </c>
      <c r="U37" s="797">
        <f t="shared" si="28"/>
        <v>-3060995.4933812325</v>
      </c>
      <c r="V37" s="797">
        <f t="shared" si="28"/>
        <v>-3060995.4933812325</v>
      </c>
      <c r="W37" s="797">
        <f t="shared" si="28"/>
        <v>-3060995.4933812325</v>
      </c>
      <c r="X37" s="797">
        <f t="shared" si="28"/>
        <v>-2644310.3410120718</v>
      </c>
      <c r="Y37" s="797">
        <f t="shared" si="28"/>
        <v>0</v>
      </c>
      <c r="Z37" s="797">
        <f t="shared" si="28"/>
        <v>0</v>
      </c>
      <c r="AA37" s="797">
        <f t="shared" si="28"/>
        <v>0</v>
      </c>
      <c r="AB37" s="797">
        <f t="shared" si="28"/>
        <v>0</v>
      </c>
      <c r="AC37" s="797">
        <f t="shared" si="28"/>
        <v>0</v>
      </c>
      <c r="AD37" s="797">
        <f t="shared" si="28"/>
        <v>0</v>
      </c>
      <c r="AE37" s="797">
        <f t="shared" si="28"/>
        <v>0</v>
      </c>
      <c r="AF37" s="797">
        <f t="shared" si="28"/>
        <v>0</v>
      </c>
      <c r="AG37" s="797">
        <f t="shared" si="28"/>
        <v>0</v>
      </c>
      <c r="AH37" s="797">
        <f t="shared" si="28"/>
        <v>0</v>
      </c>
      <c r="AI37" s="797">
        <f t="shared" si="28"/>
        <v>0</v>
      </c>
      <c r="AJ37" s="136">
        <f>B36</f>
        <v>117320200</v>
      </c>
      <c r="AK37" s="135"/>
      <c r="AL37" s="875"/>
      <c r="AM37" s="875"/>
      <c r="AN37" s="875"/>
      <c r="AO37" s="875"/>
      <c r="AP37" s="875"/>
      <c r="AQ37" s="875"/>
      <c r="AR37" s="875"/>
      <c r="AS37" s="923"/>
      <c r="AT37" s="923"/>
      <c r="AU37" s="923"/>
      <c r="AV37" s="772"/>
      <c r="AW37" s="764"/>
      <c r="AX37" s="764"/>
    </row>
    <row r="38" spans="1:50" ht="12.95">
      <c r="A38" s="781" t="s">
        <v>411</v>
      </c>
      <c r="B38" s="799">
        <f>IF(B37&lt;0,0,IRR(C37:AIU37))</f>
        <v>0.11275279698187335</v>
      </c>
      <c r="C38" s="800"/>
      <c r="D38" s="800"/>
      <c r="E38" s="800"/>
      <c r="F38" s="800"/>
      <c r="G38" s="800"/>
      <c r="H38" s="800"/>
      <c r="I38" s="800"/>
      <c r="J38" s="800"/>
      <c r="K38" s="800"/>
      <c r="L38" s="800"/>
      <c r="M38" s="800"/>
      <c r="N38" s="800"/>
      <c r="O38" s="800"/>
      <c r="P38" s="800"/>
      <c r="Q38" s="800"/>
      <c r="R38" s="800"/>
      <c r="S38" s="800"/>
      <c r="T38" s="800"/>
      <c r="U38" s="800"/>
      <c r="V38" s="800"/>
      <c r="W38" s="800"/>
      <c r="X38" s="800"/>
      <c r="Y38" s="800"/>
      <c r="Z38" s="800"/>
      <c r="AA38" s="800"/>
      <c r="AB38" s="800"/>
      <c r="AC38" s="800"/>
      <c r="AD38" s="800"/>
      <c r="AE38" s="800"/>
      <c r="AF38" s="800"/>
      <c r="AG38" s="800"/>
      <c r="AH38" s="800"/>
      <c r="AI38" s="800"/>
      <c r="AJ38" s="800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793"/>
      <c r="AW38" s="800"/>
      <c r="AX38" s="801"/>
    </row>
    <row r="39" spans="1:50" ht="12.95">
      <c r="A39" s="772" t="s">
        <v>357</v>
      </c>
      <c r="B39" s="877">
        <f>POWER((1+B38),4)-1</f>
        <v>0.53318576495270698</v>
      </c>
      <c r="C39" s="793"/>
      <c r="D39" s="793"/>
      <c r="E39" s="803"/>
      <c r="F39" s="803"/>
      <c r="G39" s="803"/>
      <c r="H39" s="803"/>
      <c r="I39" s="803"/>
      <c r="J39" s="803"/>
      <c r="K39" s="803"/>
      <c r="L39" s="803"/>
      <c r="M39" s="803"/>
      <c r="N39" s="803"/>
      <c r="O39" s="803"/>
      <c r="P39" s="804"/>
      <c r="Q39" s="803"/>
      <c r="R39" s="803"/>
      <c r="S39" s="803"/>
      <c r="T39" s="803"/>
      <c r="U39" s="803"/>
      <c r="V39" s="804"/>
      <c r="W39" s="803"/>
      <c r="X39" s="803"/>
      <c r="Y39" s="803"/>
      <c r="Z39" s="803"/>
      <c r="AA39" s="803"/>
      <c r="AB39" s="803"/>
      <c r="AC39" s="803"/>
      <c r="AD39" s="803"/>
      <c r="AE39" s="803"/>
      <c r="AF39" s="803"/>
      <c r="AG39" s="803"/>
      <c r="AH39" s="803"/>
      <c r="AI39" s="803"/>
      <c r="AJ39" s="803"/>
      <c r="AK39" s="115"/>
      <c r="AL39" s="115"/>
      <c r="AM39" s="115"/>
      <c r="AN39" s="115"/>
      <c r="AO39" s="115"/>
      <c r="AP39" s="115"/>
      <c r="AQ39" s="115"/>
      <c r="AR39" s="138"/>
      <c r="AS39" s="138"/>
      <c r="AT39" s="115"/>
      <c r="AU39" s="115"/>
      <c r="AV39" s="803"/>
      <c r="AW39" s="803"/>
      <c r="AX39" s="805"/>
    </row>
    <row r="40" spans="1:50" ht="12.95">
      <c r="A40" s="926" t="s">
        <v>358</v>
      </c>
      <c r="B40" s="134"/>
      <c r="C40" s="793"/>
      <c r="D40" s="793"/>
      <c r="E40" s="793"/>
      <c r="F40" s="793"/>
      <c r="G40" s="793"/>
      <c r="H40" s="793"/>
      <c r="I40" s="793"/>
      <c r="J40" s="793"/>
      <c r="K40" s="793"/>
      <c r="L40" s="793"/>
      <c r="M40" s="793"/>
      <c r="N40" s="793"/>
      <c r="O40" s="793"/>
      <c r="P40" s="793"/>
      <c r="Q40" s="793"/>
      <c r="R40" s="793"/>
      <c r="S40" s="793"/>
      <c r="T40" s="793"/>
      <c r="U40" s="793"/>
      <c r="V40" s="793"/>
      <c r="W40" s="793"/>
      <c r="X40" s="793"/>
      <c r="Y40" s="793"/>
      <c r="Z40" s="793"/>
      <c r="AA40" s="793"/>
      <c r="AB40" s="793"/>
      <c r="AC40" s="793"/>
      <c r="AD40" s="793"/>
      <c r="AE40" s="793"/>
      <c r="AF40" s="793"/>
      <c r="AG40" s="793"/>
      <c r="AH40" s="793"/>
      <c r="AI40" s="793"/>
      <c r="AJ40" s="793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793"/>
      <c r="AW40" s="803"/>
      <c r="AX40" s="772"/>
    </row>
    <row r="41" spans="1:50">
      <c r="A41" s="781" t="s">
        <v>359</v>
      </c>
      <c r="B41" s="796">
        <f>'EF Financial'!B84-B28</f>
        <v>144290200</v>
      </c>
      <c r="C41" s="793"/>
      <c r="D41" s="793"/>
      <c r="E41" s="793"/>
      <c r="F41" s="793"/>
      <c r="G41" s="793"/>
      <c r="H41" s="793"/>
      <c r="I41" s="793"/>
      <c r="J41" s="793"/>
      <c r="K41" s="793"/>
      <c r="L41" s="793"/>
      <c r="M41" s="786"/>
      <c r="N41" s="793"/>
      <c r="O41" s="793"/>
      <c r="P41" s="793"/>
      <c r="Q41" s="793"/>
      <c r="R41" s="793"/>
      <c r="S41" s="786"/>
      <c r="T41" s="793"/>
      <c r="U41" s="793"/>
      <c r="V41" s="793"/>
      <c r="W41" s="793"/>
      <c r="X41" s="793"/>
      <c r="Y41" s="793"/>
      <c r="Z41" s="793"/>
      <c r="AA41" s="793"/>
      <c r="AB41" s="793"/>
      <c r="AC41" s="793"/>
      <c r="AD41" s="793"/>
      <c r="AE41" s="793"/>
      <c r="AF41" s="793"/>
      <c r="AG41" s="793"/>
      <c r="AH41" s="793"/>
      <c r="AI41" s="793"/>
      <c r="AJ41" s="793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793"/>
      <c r="AW41" s="793"/>
      <c r="AX41" s="772"/>
    </row>
    <row r="42" spans="1:50" ht="12.95">
      <c r="A42" s="781" t="s">
        <v>360</v>
      </c>
      <c r="B42" s="796">
        <f>SUM(C42:AU42)</f>
        <v>99340541.935724705</v>
      </c>
      <c r="C42" s="764">
        <f>-C27</f>
        <v>0</v>
      </c>
      <c r="D42" s="764">
        <f t="shared" ref="D42:AI42" si="29">-D27</f>
        <v>0</v>
      </c>
      <c r="E42" s="764">
        <f t="shared" si="29"/>
        <v>0</v>
      </c>
      <c r="F42" s="764">
        <f t="shared" si="29"/>
        <v>0</v>
      </c>
      <c r="G42" s="764">
        <f t="shared" si="29"/>
        <v>-1410004.2080538</v>
      </c>
      <c r="H42" s="764">
        <f t="shared" si="29"/>
        <v>-105365.38637880002</v>
      </c>
      <c r="I42" s="764">
        <f t="shared" si="29"/>
        <v>-105365.38637880002</v>
      </c>
      <c r="J42" s="764">
        <f t="shared" si="29"/>
        <v>-105365.38637880002</v>
      </c>
      <c r="K42" s="764">
        <f t="shared" si="29"/>
        <v>-105365.38637880002</v>
      </c>
      <c r="L42" s="764">
        <f t="shared" si="29"/>
        <v>-105365.38637880002</v>
      </c>
      <c r="M42" s="764">
        <f t="shared" si="29"/>
        <v>-105365.38637880002</v>
      </c>
      <c r="N42" s="764">
        <f t="shared" si="29"/>
        <v>-105365.38637880002</v>
      </c>
      <c r="O42" s="764">
        <f t="shared" si="29"/>
        <v>-105365.38637880002</v>
      </c>
      <c r="P42" s="764">
        <f t="shared" si="29"/>
        <v>-105365.38637880002</v>
      </c>
      <c r="Q42" s="764">
        <f t="shared" si="29"/>
        <v>0</v>
      </c>
      <c r="R42" s="764">
        <f t="shared" si="29"/>
        <v>-348500</v>
      </c>
      <c r="S42" s="764">
        <f t="shared" si="29"/>
        <v>-1915412.7466906162</v>
      </c>
      <c r="T42" s="764">
        <f t="shared" si="29"/>
        <v>-1530497.7466906162</v>
      </c>
      <c r="U42" s="764">
        <f t="shared" si="29"/>
        <v>-3060995.4933812325</v>
      </c>
      <c r="V42" s="764">
        <f t="shared" si="29"/>
        <v>-3060995.4933812325</v>
      </c>
      <c r="W42" s="764">
        <f t="shared" si="29"/>
        <v>-3060995.4933812325</v>
      </c>
      <c r="X42" s="764">
        <f t="shared" si="29"/>
        <v>-3060995.4933812325</v>
      </c>
      <c r="Y42" s="764">
        <f t="shared" si="29"/>
        <v>-3060995.4933812325</v>
      </c>
      <c r="Z42" s="764">
        <f t="shared" si="29"/>
        <v>-3060995.4933812325</v>
      </c>
      <c r="AA42" s="764">
        <f t="shared" si="29"/>
        <v>-3060995.4933812325</v>
      </c>
      <c r="AB42" s="764">
        <f t="shared" si="29"/>
        <v>-3060995.4933812325</v>
      </c>
      <c r="AC42" s="764">
        <f t="shared" si="29"/>
        <v>-1530497.7466906162</v>
      </c>
      <c r="AD42" s="764">
        <f t="shared" si="29"/>
        <v>-1530497.7466906162</v>
      </c>
      <c r="AE42" s="764">
        <f t="shared" si="29"/>
        <v>-1687199.31675</v>
      </c>
      <c r="AF42" s="764">
        <f t="shared" si="29"/>
        <v>-1687199.31675</v>
      </c>
      <c r="AG42" s="764">
        <f t="shared" si="29"/>
        <v>-1687199.31675</v>
      </c>
      <c r="AH42" s="764">
        <f t="shared" si="29"/>
        <v>-1687199.31675</v>
      </c>
      <c r="AI42" s="764">
        <f t="shared" si="29"/>
        <v>-2249599.0890000002</v>
      </c>
      <c r="AJ42" s="801">
        <f>B41-AJ27</f>
        <v>142040600.91100001</v>
      </c>
      <c r="AK42" s="783"/>
      <c r="AL42" s="764"/>
      <c r="AM42" s="764"/>
      <c r="AN42" s="764"/>
      <c r="AO42" s="764"/>
      <c r="AP42" s="764"/>
      <c r="AQ42" s="764"/>
      <c r="AR42" s="764"/>
      <c r="AS42" s="764"/>
      <c r="AT42" s="764"/>
      <c r="AU42" s="764"/>
      <c r="AV42" s="772"/>
      <c r="AW42" s="772"/>
      <c r="AX42" s="772"/>
    </row>
    <row r="43" spans="1:50">
      <c r="A43" s="781" t="s">
        <v>361</v>
      </c>
      <c r="B43" s="799">
        <f>IF(B42&lt;0,0,IRR(C42:AU42))</f>
        <v>9.9346306487797742E-2</v>
      </c>
      <c r="C43" s="793"/>
      <c r="D43" s="793"/>
      <c r="E43" s="793"/>
      <c r="F43" s="793"/>
      <c r="G43" s="793"/>
      <c r="H43" s="793"/>
      <c r="I43" s="793"/>
      <c r="J43" s="793"/>
      <c r="K43" s="793"/>
      <c r="L43" s="793"/>
      <c r="M43" s="793"/>
      <c r="N43" s="793"/>
      <c r="O43" s="793"/>
      <c r="P43" s="793"/>
      <c r="Q43" s="793"/>
      <c r="R43" s="793"/>
      <c r="S43" s="793"/>
      <c r="T43" s="793"/>
      <c r="U43" s="793"/>
      <c r="V43" s="793"/>
      <c r="W43" s="793"/>
      <c r="X43" s="793"/>
      <c r="Y43" s="793"/>
      <c r="Z43" s="793"/>
      <c r="AA43" s="793"/>
      <c r="AB43" s="793"/>
      <c r="AC43" s="793"/>
      <c r="AD43" s="793"/>
      <c r="AE43" s="793"/>
      <c r="AF43" s="793"/>
      <c r="AG43" s="793"/>
      <c r="AH43" s="793"/>
      <c r="AI43" s="793"/>
      <c r="AJ43" s="793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793"/>
      <c r="AW43" s="793"/>
      <c r="AX43" s="772"/>
    </row>
    <row r="44" spans="1:50" ht="12.95">
      <c r="A44" s="772" t="s">
        <v>362</v>
      </c>
      <c r="B44" s="802">
        <f>POWER((1+B43),4)-1</f>
        <v>0.46062283682056093</v>
      </c>
      <c r="C44" s="793"/>
      <c r="D44" s="793"/>
      <c r="E44" s="793"/>
      <c r="F44" s="793"/>
      <c r="G44" s="793"/>
      <c r="H44" s="793"/>
      <c r="I44" s="793"/>
      <c r="J44" s="793"/>
      <c r="K44" s="793"/>
      <c r="L44" s="793"/>
      <c r="M44" s="793"/>
      <c r="N44" s="793"/>
      <c r="O44" s="793"/>
      <c r="P44" s="793"/>
      <c r="Q44" s="793"/>
      <c r="R44" s="793"/>
      <c r="S44" s="793"/>
      <c r="T44" s="793"/>
      <c r="U44" s="793"/>
      <c r="V44" s="793"/>
      <c r="W44" s="793"/>
      <c r="X44" s="793"/>
      <c r="Y44" s="793"/>
      <c r="Z44" s="793"/>
      <c r="AA44" s="793"/>
      <c r="AB44" s="793"/>
      <c r="AC44" s="793"/>
      <c r="AD44" s="793"/>
      <c r="AE44" s="793"/>
      <c r="AF44" s="793"/>
      <c r="AG44" s="793"/>
      <c r="AH44" s="793"/>
      <c r="AI44" s="793"/>
      <c r="AJ44" s="793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793"/>
      <c r="AW44" s="793"/>
      <c r="AX44" s="772"/>
    </row>
    <row r="45" spans="1:50">
      <c r="G45" s="6"/>
      <c r="AB45" s="6"/>
      <c r="AE45" s="6"/>
      <c r="AI45" s="6"/>
    </row>
    <row r="46" spans="1:50">
      <c r="G46" s="6"/>
      <c r="AB46" s="6"/>
      <c r="AE46" s="6"/>
      <c r="AI46" s="6"/>
    </row>
    <row r="47" spans="1:50">
      <c r="G47" s="6"/>
      <c r="AB47" s="6"/>
      <c r="AE47" s="6"/>
      <c r="AI47" s="6"/>
    </row>
    <row r="48" spans="1:50">
      <c r="G48" s="6"/>
      <c r="AB48" s="6"/>
      <c r="AE48" s="6"/>
      <c r="AI48" s="6"/>
    </row>
    <row r="49" spans="7:35">
      <c r="G49" s="6"/>
      <c r="AB49" s="6"/>
      <c r="AE49" s="6"/>
      <c r="AI49" s="6"/>
    </row>
    <row r="50" spans="7:35">
      <c r="G50" s="6"/>
      <c r="AB50" s="6"/>
      <c r="AE50" s="6"/>
      <c r="AI50" s="6"/>
    </row>
    <row r="51" spans="7:35">
      <c r="G51" s="6"/>
      <c r="AB51" s="6"/>
      <c r="AE51" s="6"/>
      <c r="AI51" s="6"/>
    </row>
    <row r="52" spans="7:35">
      <c r="G52" s="6"/>
    </row>
    <row r="53" spans="7:35">
      <c r="G53" s="6"/>
    </row>
    <row r="54" spans="7:35">
      <c r="G54" s="6"/>
    </row>
    <row r="55" spans="7:35">
      <c r="G55" s="6"/>
    </row>
    <row r="56" spans="7:35">
      <c r="G56" s="6"/>
    </row>
    <row r="57" spans="7:35">
      <c r="G57" s="6"/>
    </row>
    <row r="58" spans="7:35">
      <c r="G58" s="6"/>
    </row>
    <row r="59" spans="7:35">
      <c r="G59" s="6"/>
    </row>
    <row r="60" spans="7:35">
      <c r="G60" s="6"/>
    </row>
    <row r="61" spans="7:35">
      <c r="G61" s="6"/>
    </row>
    <row r="62" spans="7:35">
      <c r="G62" s="6"/>
    </row>
    <row r="63" spans="7:35">
      <c r="G63" s="6"/>
    </row>
    <row r="64" spans="7:35">
      <c r="G64" s="6"/>
    </row>
    <row r="65" spans="7:7">
      <c r="G65" s="6"/>
    </row>
    <row r="66" spans="7:7">
      <c r="G66" s="6"/>
    </row>
    <row r="67" spans="7:7">
      <c r="G67" s="6"/>
    </row>
    <row r="68" spans="7:7">
      <c r="G68" s="6"/>
    </row>
    <row r="69" spans="7:7">
      <c r="G69" s="6"/>
    </row>
    <row r="70" spans="7:7">
      <c r="G70" s="6"/>
    </row>
    <row r="71" spans="7:7">
      <c r="G71" s="6"/>
    </row>
    <row r="72" spans="7:7">
      <c r="G72" s="6"/>
    </row>
    <row r="73" spans="7:7">
      <c r="G73" s="6"/>
    </row>
    <row r="74" spans="7:7">
      <c r="G74" s="6"/>
    </row>
    <row r="75" spans="7:7">
      <c r="G75" s="6"/>
    </row>
    <row r="76" spans="7:7">
      <c r="G76" s="6"/>
    </row>
    <row r="77" spans="7:7">
      <c r="G77" s="6"/>
    </row>
    <row r="78" spans="7:7">
      <c r="G78" s="6"/>
    </row>
    <row r="79" spans="7:7">
      <c r="G79" s="6"/>
    </row>
    <row r="80" spans="7:7">
      <c r="G80" s="6"/>
    </row>
    <row r="81" spans="7:7">
      <c r="G81" s="6"/>
    </row>
    <row r="82" spans="7:7">
      <c r="G82" s="6"/>
    </row>
    <row r="83" spans="7:7">
      <c r="G83" s="6"/>
    </row>
    <row r="84" spans="7:7">
      <c r="G84" s="6"/>
    </row>
    <row r="85" spans="7:7">
      <c r="G85" s="6"/>
    </row>
    <row r="86" spans="7:7">
      <c r="G86" s="6"/>
    </row>
    <row r="87" spans="7:7">
      <c r="G87" s="6"/>
    </row>
    <row r="88" spans="7:7">
      <c r="G88" s="6"/>
    </row>
    <row r="89" spans="7:7">
      <c r="G89" s="6"/>
    </row>
    <row r="90" spans="7:7">
      <c r="G90" s="6"/>
    </row>
    <row r="91" spans="7:7">
      <c r="G91" s="6"/>
    </row>
    <row r="92" spans="7:7">
      <c r="G92" s="6"/>
    </row>
    <row r="93" spans="7:7">
      <c r="G93" s="6"/>
    </row>
    <row r="94" spans="7:7">
      <c r="G94" s="6"/>
    </row>
    <row r="95" spans="7:7">
      <c r="G95" s="6"/>
    </row>
    <row r="96" spans="7:7">
      <c r="G96" s="6"/>
    </row>
    <row r="97" spans="7:7">
      <c r="G97" s="6"/>
    </row>
    <row r="98" spans="7:7">
      <c r="G98" s="6"/>
    </row>
    <row r="99" spans="7:7">
      <c r="G99" s="6"/>
    </row>
    <row r="100" spans="7:7">
      <c r="G100" s="6"/>
    </row>
    <row r="101" spans="7:7">
      <c r="G101" s="6"/>
    </row>
    <row r="102" spans="7:7">
      <c r="G102" s="6"/>
    </row>
    <row r="103" spans="7:7">
      <c r="G103" s="6"/>
    </row>
    <row r="104" spans="7:7">
      <c r="G104" s="6"/>
    </row>
    <row r="105" spans="7:7">
      <c r="G105" s="6"/>
    </row>
    <row r="106" spans="7:7">
      <c r="G106" s="6"/>
    </row>
    <row r="107" spans="7:7">
      <c r="G107" s="6"/>
    </row>
    <row r="108" spans="7:7">
      <c r="G108" s="6"/>
    </row>
    <row r="109" spans="7:7">
      <c r="G109" s="6"/>
    </row>
    <row r="110" spans="7:7">
      <c r="G110" s="6"/>
    </row>
    <row r="111" spans="7:7">
      <c r="G111" s="6"/>
    </row>
    <row r="112" spans="7:7">
      <c r="G112" s="6"/>
    </row>
    <row r="113" spans="7:7">
      <c r="G113" s="6"/>
    </row>
    <row r="114" spans="7:7">
      <c r="G114" s="6"/>
    </row>
    <row r="115" spans="7:7">
      <c r="G115" s="6"/>
    </row>
    <row r="116" spans="7:7">
      <c r="G116" s="6"/>
    </row>
    <row r="117" spans="7:7">
      <c r="G117" s="6"/>
    </row>
    <row r="118" spans="7:7">
      <c r="G118" s="6"/>
    </row>
    <row r="119" spans="7:7">
      <c r="G119" s="6"/>
    </row>
    <row r="120" spans="7:7">
      <c r="G120" s="6"/>
    </row>
    <row r="121" spans="7:7">
      <c r="G121" s="6"/>
    </row>
    <row r="122" spans="7:7">
      <c r="G122" s="6"/>
    </row>
    <row r="123" spans="7:7">
      <c r="G123" s="6"/>
    </row>
    <row r="124" spans="7:7">
      <c r="G124" s="6"/>
    </row>
    <row r="125" spans="7:7">
      <c r="G125" s="6"/>
    </row>
    <row r="126" spans="7:7">
      <c r="G126" s="6"/>
    </row>
    <row r="127" spans="7:7">
      <c r="G127" s="6"/>
    </row>
    <row r="128" spans="7:7">
      <c r="G128" s="6"/>
    </row>
    <row r="129" spans="7:7">
      <c r="G129" s="6"/>
    </row>
    <row r="130" spans="7:7">
      <c r="G130" s="6"/>
    </row>
    <row r="131" spans="7:7">
      <c r="G131" s="6"/>
    </row>
    <row r="132" spans="7:7">
      <c r="G132" s="6"/>
    </row>
    <row r="133" spans="7:7">
      <c r="G133" s="6"/>
    </row>
    <row r="134" spans="7:7">
      <c r="G134" s="6"/>
    </row>
    <row r="135" spans="7:7">
      <c r="G135" s="6"/>
    </row>
    <row r="136" spans="7:7">
      <c r="G136" s="6"/>
    </row>
    <row r="137" spans="7:7">
      <c r="G137" s="6"/>
    </row>
    <row r="138" spans="7:7">
      <c r="G138" s="6"/>
    </row>
    <row r="139" spans="7:7">
      <c r="G139" s="6"/>
    </row>
    <row r="140" spans="7:7">
      <c r="G140" s="6"/>
    </row>
    <row r="141" spans="7:7">
      <c r="G141" s="6"/>
    </row>
    <row r="142" spans="7:7">
      <c r="G142" s="6"/>
    </row>
    <row r="143" spans="7:7">
      <c r="G143" s="6"/>
    </row>
    <row r="144" spans="7:7">
      <c r="G144" s="6"/>
    </row>
    <row r="145" spans="7:7">
      <c r="G145" s="6"/>
    </row>
    <row r="146" spans="7:7">
      <c r="G146" s="6"/>
    </row>
    <row r="147" spans="7:7">
      <c r="G147" s="6"/>
    </row>
    <row r="148" spans="7:7">
      <c r="G148" s="6"/>
    </row>
    <row r="149" spans="7:7">
      <c r="G149" s="6"/>
    </row>
    <row r="150" spans="7:7">
      <c r="G150" s="6"/>
    </row>
    <row r="151" spans="7:7">
      <c r="G151" s="6"/>
    </row>
    <row r="152" spans="7:7">
      <c r="G152" s="6"/>
    </row>
    <row r="153" spans="7:7">
      <c r="G153" s="6"/>
    </row>
    <row r="154" spans="7:7">
      <c r="G154" s="6"/>
    </row>
    <row r="155" spans="7:7">
      <c r="G155" s="6"/>
    </row>
    <row r="156" spans="7:7">
      <c r="G156" s="6"/>
    </row>
    <row r="157" spans="7:7">
      <c r="G157" s="6"/>
    </row>
    <row r="158" spans="7:7">
      <c r="G158" s="6"/>
    </row>
    <row r="159" spans="7:7">
      <c r="G159" s="6"/>
    </row>
    <row r="160" spans="7:7">
      <c r="G160" s="6"/>
    </row>
    <row r="161" spans="7:7">
      <c r="G161" s="6"/>
    </row>
    <row r="162" spans="7:7">
      <c r="G162" s="6"/>
    </row>
    <row r="163" spans="7:7">
      <c r="G163" s="6"/>
    </row>
    <row r="164" spans="7:7">
      <c r="G164" s="6"/>
    </row>
    <row r="165" spans="7:7">
      <c r="G165" s="6"/>
    </row>
    <row r="166" spans="7:7">
      <c r="G166" s="6"/>
    </row>
    <row r="167" spans="7:7">
      <c r="G167" s="6"/>
    </row>
    <row r="168" spans="7:7">
      <c r="G168" s="6"/>
    </row>
    <row r="169" spans="7:7">
      <c r="G169" s="6"/>
    </row>
    <row r="170" spans="7:7">
      <c r="G170" s="6"/>
    </row>
    <row r="171" spans="7:7">
      <c r="G171" s="6"/>
    </row>
    <row r="172" spans="7:7">
      <c r="G172" s="6"/>
    </row>
    <row r="173" spans="7:7">
      <c r="G173" s="6"/>
    </row>
    <row r="174" spans="7:7">
      <c r="G174" s="6"/>
    </row>
    <row r="175" spans="7:7">
      <c r="G175" s="6"/>
    </row>
    <row r="176" spans="7:7">
      <c r="G176" s="6"/>
    </row>
    <row r="177" spans="7:7">
      <c r="G177" s="6"/>
    </row>
    <row r="178" spans="7:7">
      <c r="G178" s="6"/>
    </row>
    <row r="179" spans="7:7">
      <c r="G179" s="6"/>
    </row>
    <row r="180" spans="7:7">
      <c r="G180" s="6"/>
    </row>
    <row r="181" spans="7:7">
      <c r="G181" s="6"/>
    </row>
    <row r="182" spans="7:7">
      <c r="G182" s="6"/>
    </row>
    <row r="183" spans="7:7">
      <c r="G183" s="6"/>
    </row>
    <row r="184" spans="7:7">
      <c r="G184" s="6"/>
    </row>
    <row r="185" spans="7:7">
      <c r="G185" s="6"/>
    </row>
    <row r="186" spans="7:7">
      <c r="G186" s="6"/>
    </row>
    <row r="187" spans="7:7">
      <c r="G187" s="6"/>
    </row>
    <row r="188" spans="7:7">
      <c r="G188" s="6"/>
    </row>
    <row r="189" spans="7:7">
      <c r="G189" s="6"/>
    </row>
    <row r="190" spans="7:7">
      <c r="G190" s="6"/>
    </row>
    <row r="191" spans="7:7">
      <c r="G191" s="6"/>
    </row>
    <row r="192" spans="7:7">
      <c r="G192" s="6"/>
    </row>
    <row r="193" spans="7:7">
      <c r="G193" s="6"/>
    </row>
    <row r="194" spans="7:7">
      <c r="G194" s="6"/>
    </row>
    <row r="195" spans="7:7">
      <c r="G195" s="6"/>
    </row>
    <row r="196" spans="7:7">
      <c r="G196" s="6"/>
    </row>
    <row r="197" spans="7:7">
      <c r="G197" s="6"/>
    </row>
    <row r="198" spans="7:7">
      <c r="G198" s="6"/>
    </row>
    <row r="199" spans="7:7">
      <c r="G199" s="6"/>
    </row>
    <row r="200" spans="7:7">
      <c r="G200" s="6"/>
    </row>
    <row r="201" spans="7:7">
      <c r="G201" s="6"/>
    </row>
    <row r="202" spans="7:7">
      <c r="G202" s="6"/>
    </row>
    <row r="203" spans="7:7">
      <c r="G203" s="6"/>
    </row>
    <row r="204" spans="7:7">
      <c r="G204" s="6"/>
    </row>
    <row r="205" spans="7:7">
      <c r="G205" s="6"/>
    </row>
    <row r="206" spans="7:7">
      <c r="G206" s="6"/>
    </row>
    <row r="207" spans="7:7">
      <c r="G207" s="6"/>
    </row>
    <row r="208" spans="7:7">
      <c r="G208" s="6"/>
    </row>
    <row r="209" spans="7:7">
      <c r="G209" s="6"/>
    </row>
    <row r="210" spans="7:7">
      <c r="G210" s="6"/>
    </row>
    <row r="211" spans="7:7">
      <c r="G211" s="6"/>
    </row>
    <row r="212" spans="7:7">
      <c r="G212" s="6"/>
    </row>
    <row r="213" spans="7:7">
      <c r="G213" s="6"/>
    </row>
    <row r="214" spans="7:7">
      <c r="G214" s="6"/>
    </row>
    <row r="215" spans="7:7">
      <c r="G215" s="6"/>
    </row>
    <row r="216" spans="7:7">
      <c r="G216" s="6"/>
    </row>
    <row r="217" spans="7:7">
      <c r="G217" s="6"/>
    </row>
    <row r="218" spans="7:7">
      <c r="G218" s="6"/>
    </row>
    <row r="219" spans="7:7">
      <c r="G219" s="6"/>
    </row>
    <row r="220" spans="7:7">
      <c r="G220" s="6"/>
    </row>
    <row r="221" spans="7:7">
      <c r="G221" s="6"/>
    </row>
    <row r="222" spans="7:7">
      <c r="G222" s="6"/>
    </row>
    <row r="223" spans="7:7">
      <c r="G223" s="6"/>
    </row>
    <row r="224" spans="7:7">
      <c r="G224" s="6"/>
    </row>
    <row r="225" spans="7:7">
      <c r="G225" s="6"/>
    </row>
    <row r="226" spans="7:7">
      <c r="G226" s="6"/>
    </row>
    <row r="227" spans="7:7">
      <c r="G227" s="6"/>
    </row>
    <row r="228" spans="7:7">
      <c r="G228" s="6"/>
    </row>
    <row r="229" spans="7:7">
      <c r="G229" s="6"/>
    </row>
    <row r="230" spans="7:7">
      <c r="G230" s="6"/>
    </row>
    <row r="231" spans="7:7">
      <c r="G231" s="6"/>
    </row>
    <row r="232" spans="7:7">
      <c r="G232" s="6"/>
    </row>
    <row r="233" spans="7:7">
      <c r="G233" s="6"/>
    </row>
    <row r="234" spans="7:7">
      <c r="G234" s="6"/>
    </row>
    <row r="235" spans="7:7">
      <c r="G235" s="6"/>
    </row>
    <row r="236" spans="7:7">
      <c r="G236" s="6"/>
    </row>
    <row r="237" spans="7:7">
      <c r="G237" s="6"/>
    </row>
    <row r="238" spans="7:7">
      <c r="G238" s="6"/>
    </row>
    <row r="239" spans="7:7">
      <c r="G239" s="6"/>
    </row>
    <row r="240" spans="7:7">
      <c r="G240" s="6"/>
    </row>
    <row r="241" spans="7:7">
      <c r="G241" s="6"/>
    </row>
    <row r="242" spans="7:7">
      <c r="G242" s="6"/>
    </row>
    <row r="243" spans="7:7">
      <c r="G243" s="6"/>
    </row>
    <row r="244" spans="7:7">
      <c r="G244" s="6"/>
    </row>
    <row r="245" spans="7:7">
      <c r="G245" s="6"/>
    </row>
    <row r="246" spans="7:7">
      <c r="G246" s="6"/>
    </row>
    <row r="247" spans="7:7">
      <c r="G247" s="6"/>
    </row>
    <row r="248" spans="7:7">
      <c r="G248" s="6"/>
    </row>
    <row r="249" spans="7:7">
      <c r="G249" s="6"/>
    </row>
    <row r="250" spans="7:7">
      <c r="G250" s="6"/>
    </row>
    <row r="251" spans="7:7">
      <c r="G251" s="6"/>
    </row>
    <row r="252" spans="7:7">
      <c r="G252" s="6"/>
    </row>
    <row r="253" spans="7:7">
      <c r="G253" s="6"/>
    </row>
    <row r="254" spans="7:7">
      <c r="G254" s="6"/>
    </row>
    <row r="255" spans="7:7">
      <c r="G255" s="6"/>
    </row>
    <row r="256" spans="7:7">
      <c r="G256" s="6"/>
    </row>
    <row r="257" spans="7:7">
      <c r="G257" s="6"/>
    </row>
    <row r="258" spans="7:7">
      <c r="G258" s="6"/>
    </row>
    <row r="259" spans="7:7">
      <c r="G259" s="6"/>
    </row>
    <row r="260" spans="7:7">
      <c r="G260" s="6"/>
    </row>
    <row r="261" spans="7:7">
      <c r="G261" s="6"/>
    </row>
    <row r="262" spans="7:7">
      <c r="G262" s="6"/>
    </row>
    <row r="263" spans="7:7">
      <c r="G263" s="6"/>
    </row>
    <row r="264" spans="7:7">
      <c r="G264" s="6"/>
    </row>
    <row r="265" spans="7:7">
      <c r="G265" s="6"/>
    </row>
    <row r="266" spans="7:7">
      <c r="G266" s="6"/>
    </row>
    <row r="267" spans="7:7">
      <c r="G267" s="6"/>
    </row>
    <row r="268" spans="7:7">
      <c r="G268" s="6"/>
    </row>
    <row r="269" spans="7:7">
      <c r="G269" s="6"/>
    </row>
    <row r="270" spans="7:7">
      <c r="G270" s="6"/>
    </row>
    <row r="271" spans="7:7">
      <c r="G271" s="6"/>
    </row>
    <row r="272" spans="7:7">
      <c r="G272" s="6"/>
    </row>
    <row r="273" spans="7:7">
      <c r="G273" s="6"/>
    </row>
    <row r="274" spans="7:7">
      <c r="G274" s="6"/>
    </row>
    <row r="275" spans="7:7">
      <c r="G275" s="6"/>
    </row>
    <row r="276" spans="7:7">
      <c r="G276" s="6"/>
    </row>
    <row r="277" spans="7:7">
      <c r="G277" s="6"/>
    </row>
    <row r="278" spans="7:7">
      <c r="G278" s="6"/>
    </row>
    <row r="279" spans="7:7">
      <c r="G279" s="6"/>
    </row>
    <row r="280" spans="7:7">
      <c r="G280" s="6"/>
    </row>
    <row r="281" spans="7:7">
      <c r="G281" s="6"/>
    </row>
    <row r="282" spans="7:7">
      <c r="G282" s="6"/>
    </row>
    <row r="283" spans="7:7">
      <c r="G283" s="6"/>
    </row>
    <row r="284" spans="7:7">
      <c r="G284" s="6"/>
    </row>
    <row r="285" spans="7:7">
      <c r="G285" s="6"/>
    </row>
    <row r="286" spans="7:7">
      <c r="G286" s="6"/>
    </row>
    <row r="287" spans="7:7">
      <c r="G287" s="6"/>
    </row>
    <row r="288" spans="7:7">
      <c r="G288" s="6"/>
    </row>
    <row r="289" spans="7:7">
      <c r="G289" s="6"/>
    </row>
    <row r="290" spans="7:7">
      <c r="G290" s="6"/>
    </row>
    <row r="291" spans="7:7">
      <c r="G291" s="6"/>
    </row>
    <row r="292" spans="7:7">
      <c r="G292" s="6"/>
    </row>
    <row r="293" spans="7:7">
      <c r="G293" s="6"/>
    </row>
    <row r="294" spans="7:7">
      <c r="G294" s="6"/>
    </row>
    <row r="295" spans="7:7">
      <c r="G295" s="6"/>
    </row>
    <row r="296" spans="7:7">
      <c r="G296" s="6"/>
    </row>
    <row r="297" spans="7:7">
      <c r="G297" s="6"/>
    </row>
    <row r="298" spans="7:7">
      <c r="G298" s="6"/>
    </row>
    <row r="299" spans="7:7">
      <c r="G299" s="6"/>
    </row>
    <row r="300" spans="7:7">
      <c r="G300" s="6"/>
    </row>
    <row r="301" spans="7:7">
      <c r="G301" s="6"/>
    </row>
    <row r="302" spans="7:7">
      <c r="G302" s="6"/>
    </row>
    <row r="303" spans="7:7">
      <c r="G303" s="6"/>
    </row>
    <row r="304" spans="7:7">
      <c r="G304" s="6"/>
    </row>
    <row r="305" spans="7:7">
      <c r="G305" s="6"/>
    </row>
    <row r="306" spans="7:7">
      <c r="G306" s="6"/>
    </row>
    <row r="307" spans="7:7">
      <c r="G307" s="6"/>
    </row>
    <row r="308" spans="7:7">
      <c r="G308" s="6"/>
    </row>
    <row r="309" spans="7:7">
      <c r="G309" s="6"/>
    </row>
    <row r="310" spans="7:7">
      <c r="G310" s="6"/>
    </row>
    <row r="311" spans="7:7">
      <c r="G311" s="6"/>
    </row>
    <row r="312" spans="7:7">
      <c r="G312" s="6"/>
    </row>
    <row r="313" spans="7:7">
      <c r="G313" s="6"/>
    </row>
    <row r="314" spans="7:7">
      <c r="G314" s="6"/>
    </row>
    <row r="315" spans="7:7">
      <c r="G315" s="6"/>
    </row>
    <row r="316" spans="7:7">
      <c r="G316" s="6"/>
    </row>
    <row r="317" spans="7:7">
      <c r="G317" s="6"/>
    </row>
    <row r="318" spans="7:7">
      <c r="G318" s="6"/>
    </row>
    <row r="319" spans="7:7">
      <c r="G319" s="6"/>
    </row>
    <row r="320" spans="7:7">
      <c r="G320" s="6"/>
    </row>
    <row r="321" spans="7:7">
      <c r="G321" s="6"/>
    </row>
    <row r="322" spans="7:7">
      <c r="G322" s="6"/>
    </row>
    <row r="323" spans="7:7">
      <c r="G323" s="6"/>
    </row>
    <row r="324" spans="7:7">
      <c r="G324" s="6"/>
    </row>
    <row r="325" spans="7:7">
      <c r="G325" s="6"/>
    </row>
    <row r="326" spans="7:7">
      <c r="G326" s="6"/>
    </row>
    <row r="327" spans="7:7">
      <c r="G327" s="6"/>
    </row>
    <row r="328" spans="7:7">
      <c r="G328" s="6"/>
    </row>
    <row r="329" spans="7:7">
      <c r="G329" s="6"/>
    </row>
    <row r="330" spans="7:7">
      <c r="G330" s="6"/>
    </row>
    <row r="331" spans="7:7">
      <c r="G331" s="6"/>
    </row>
    <row r="332" spans="7:7">
      <c r="G332" s="6"/>
    </row>
    <row r="333" spans="7:7">
      <c r="G333" s="6"/>
    </row>
    <row r="334" spans="7:7">
      <c r="G334" s="6"/>
    </row>
    <row r="335" spans="7:7">
      <c r="G335" s="6"/>
    </row>
    <row r="336" spans="7:7">
      <c r="G336" s="6"/>
    </row>
    <row r="337" spans="7:7">
      <c r="G337" s="6"/>
    </row>
    <row r="338" spans="7:7">
      <c r="G338" s="6"/>
    </row>
    <row r="339" spans="7:7">
      <c r="G339" s="6"/>
    </row>
    <row r="340" spans="7:7">
      <c r="G340" s="6"/>
    </row>
    <row r="341" spans="7:7">
      <c r="G341" s="6"/>
    </row>
    <row r="342" spans="7:7">
      <c r="G342" s="6"/>
    </row>
    <row r="343" spans="7:7">
      <c r="G343" s="6"/>
    </row>
    <row r="344" spans="7:7">
      <c r="G344" s="6"/>
    </row>
    <row r="345" spans="7:7">
      <c r="G345" s="6"/>
    </row>
    <row r="346" spans="7:7">
      <c r="G346" s="6"/>
    </row>
    <row r="347" spans="7:7">
      <c r="G347" s="6"/>
    </row>
    <row r="348" spans="7:7">
      <c r="G348" s="6"/>
    </row>
    <row r="349" spans="7:7">
      <c r="G349" s="6"/>
    </row>
    <row r="350" spans="7:7">
      <c r="G350" s="6"/>
    </row>
    <row r="351" spans="7:7">
      <c r="G351" s="6"/>
    </row>
    <row r="352" spans="7:7">
      <c r="G352" s="6"/>
    </row>
    <row r="353" spans="7:7">
      <c r="G353" s="6"/>
    </row>
    <row r="354" spans="7:7">
      <c r="G354" s="6"/>
    </row>
    <row r="355" spans="7:7">
      <c r="G355" s="6"/>
    </row>
    <row r="356" spans="7:7">
      <c r="G356" s="6"/>
    </row>
    <row r="357" spans="7:7">
      <c r="G357" s="6"/>
    </row>
    <row r="358" spans="7:7">
      <c r="G358" s="6"/>
    </row>
    <row r="359" spans="7:7">
      <c r="G359" s="6"/>
    </row>
    <row r="360" spans="7:7">
      <c r="G360" s="6"/>
    </row>
    <row r="361" spans="7:7">
      <c r="G361" s="6"/>
    </row>
    <row r="362" spans="7:7">
      <c r="G362" s="6"/>
    </row>
    <row r="363" spans="7:7">
      <c r="G363" s="6"/>
    </row>
    <row r="364" spans="7:7">
      <c r="G364" s="6"/>
    </row>
    <row r="365" spans="7:7">
      <c r="G365" s="6"/>
    </row>
    <row r="366" spans="7:7">
      <c r="G366" s="6"/>
    </row>
    <row r="367" spans="7:7">
      <c r="G367" s="6"/>
    </row>
    <row r="368" spans="7:7">
      <c r="G368" s="6"/>
    </row>
    <row r="369" spans="7:7">
      <c r="G369" s="6"/>
    </row>
    <row r="370" spans="7:7">
      <c r="G370" s="6"/>
    </row>
    <row r="371" spans="7:7">
      <c r="G371" s="6"/>
    </row>
    <row r="372" spans="7:7">
      <c r="G372" s="6"/>
    </row>
    <row r="373" spans="7:7">
      <c r="G373" s="6"/>
    </row>
    <row r="374" spans="7:7">
      <c r="G374" s="6"/>
    </row>
    <row r="375" spans="7:7">
      <c r="G375" s="6"/>
    </row>
    <row r="376" spans="7:7">
      <c r="G376" s="6"/>
    </row>
    <row r="377" spans="7:7">
      <c r="G377" s="6"/>
    </row>
    <row r="378" spans="7:7">
      <c r="G378" s="6"/>
    </row>
    <row r="379" spans="7:7">
      <c r="G379" s="6"/>
    </row>
    <row r="380" spans="7:7">
      <c r="G380" s="6"/>
    </row>
    <row r="381" spans="7:7">
      <c r="G381" s="6"/>
    </row>
    <row r="382" spans="7:7">
      <c r="G382" s="6"/>
    </row>
    <row r="383" spans="7:7">
      <c r="G383" s="6"/>
    </row>
    <row r="384" spans="7:7">
      <c r="G384" s="6"/>
    </row>
    <row r="385" spans="7:7">
      <c r="G385" s="6"/>
    </row>
    <row r="386" spans="7:7">
      <c r="G386" s="6"/>
    </row>
    <row r="387" spans="7:7">
      <c r="G387" s="6"/>
    </row>
    <row r="388" spans="7:7">
      <c r="G388" s="6"/>
    </row>
    <row r="389" spans="7:7">
      <c r="G389" s="6"/>
    </row>
    <row r="390" spans="7:7">
      <c r="G390" s="6"/>
    </row>
    <row r="391" spans="7:7">
      <c r="G391" s="6"/>
    </row>
    <row r="392" spans="7:7">
      <c r="G392" s="6"/>
    </row>
    <row r="393" spans="7:7">
      <c r="G393" s="6"/>
    </row>
    <row r="394" spans="7:7">
      <c r="G394" s="6"/>
    </row>
    <row r="395" spans="7:7">
      <c r="G395" s="6"/>
    </row>
    <row r="396" spans="7:7">
      <c r="G396" s="6"/>
    </row>
    <row r="397" spans="7:7">
      <c r="G397" s="6"/>
    </row>
    <row r="398" spans="7:7">
      <c r="G398" s="6"/>
    </row>
    <row r="399" spans="7:7">
      <c r="G399" s="6"/>
    </row>
    <row r="400" spans="7:7">
      <c r="G400" s="6"/>
    </row>
    <row r="401" spans="7:7">
      <c r="G401" s="6"/>
    </row>
    <row r="402" spans="7:7">
      <c r="G402" s="6"/>
    </row>
    <row r="403" spans="7:7">
      <c r="G403" s="6"/>
    </row>
    <row r="404" spans="7:7">
      <c r="G404" s="6"/>
    </row>
    <row r="405" spans="7:7">
      <c r="G405" s="6"/>
    </row>
    <row r="406" spans="7:7">
      <c r="G406" s="6"/>
    </row>
    <row r="407" spans="7:7">
      <c r="G407" s="6"/>
    </row>
    <row r="408" spans="7:7">
      <c r="G408" s="6"/>
    </row>
    <row r="409" spans="7:7">
      <c r="G409" s="6"/>
    </row>
    <row r="410" spans="7:7">
      <c r="G410" s="6"/>
    </row>
    <row r="411" spans="7:7">
      <c r="G411" s="6"/>
    </row>
    <row r="412" spans="7:7">
      <c r="G412" s="6"/>
    </row>
    <row r="413" spans="7:7">
      <c r="G413" s="6"/>
    </row>
    <row r="414" spans="7:7">
      <c r="G414" s="6"/>
    </row>
    <row r="415" spans="7:7">
      <c r="G415" s="6"/>
    </row>
    <row r="416" spans="7:7">
      <c r="G416" s="6"/>
    </row>
    <row r="417" spans="7:7">
      <c r="G417" s="6"/>
    </row>
    <row r="418" spans="7:7">
      <c r="G418" s="6"/>
    </row>
    <row r="419" spans="7:7">
      <c r="G419" s="6"/>
    </row>
    <row r="420" spans="7:7">
      <c r="G420" s="6"/>
    </row>
    <row r="421" spans="7:7">
      <c r="G421" s="6"/>
    </row>
    <row r="422" spans="7:7">
      <c r="G422" s="6"/>
    </row>
    <row r="423" spans="7:7">
      <c r="G423" s="6"/>
    </row>
    <row r="424" spans="7:7">
      <c r="G424" s="6"/>
    </row>
    <row r="425" spans="7:7">
      <c r="G425" s="6"/>
    </row>
    <row r="426" spans="7:7">
      <c r="G426" s="6"/>
    </row>
    <row r="427" spans="7:7">
      <c r="G427" s="6"/>
    </row>
    <row r="428" spans="7:7">
      <c r="G428" s="6"/>
    </row>
    <row r="429" spans="7:7">
      <c r="G429" s="6"/>
    </row>
    <row r="430" spans="7:7">
      <c r="G430" s="6"/>
    </row>
    <row r="431" spans="7:7">
      <c r="G431" s="6"/>
    </row>
    <row r="432" spans="7:7">
      <c r="G432" s="6"/>
    </row>
    <row r="433" spans="7:7">
      <c r="G433" s="6"/>
    </row>
    <row r="434" spans="7:7">
      <c r="G434" s="6"/>
    </row>
    <row r="435" spans="7:7">
      <c r="G435" s="6"/>
    </row>
    <row r="436" spans="7:7">
      <c r="G436" s="6"/>
    </row>
    <row r="437" spans="7:7">
      <c r="G437" s="6"/>
    </row>
    <row r="438" spans="7:7">
      <c r="G438" s="6"/>
    </row>
    <row r="439" spans="7:7">
      <c r="G439" s="6"/>
    </row>
    <row r="440" spans="7:7">
      <c r="G440" s="6"/>
    </row>
    <row r="441" spans="7:7">
      <c r="G441" s="6"/>
    </row>
    <row r="442" spans="7:7">
      <c r="G442" s="6"/>
    </row>
    <row r="443" spans="7:7">
      <c r="G443" s="6"/>
    </row>
    <row r="444" spans="7:7">
      <c r="G444" s="6"/>
    </row>
    <row r="445" spans="7:7">
      <c r="G445" s="6"/>
    </row>
    <row r="446" spans="7:7">
      <c r="G446" s="6"/>
    </row>
    <row r="447" spans="7:7">
      <c r="G447" s="6"/>
    </row>
    <row r="448" spans="7:7">
      <c r="G448" s="6"/>
    </row>
    <row r="449" spans="7:7">
      <c r="G449" s="6"/>
    </row>
    <row r="450" spans="7:7">
      <c r="G450" s="6"/>
    </row>
    <row r="451" spans="7:7">
      <c r="G451" s="6"/>
    </row>
    <row r="452" spans="7:7">
      <c r="G452" s="6"/>
    </row>
    <row r="453" spans="7:7">
      <c r="G453" s="6"/>
    </row>
    <row r="454" spans="7:7">
      <c r="G454" s="6"/>
    </row>
    <row r="455" spans="7:7">
      <c r="G455" s="6"/>
    </row>
    <row r="456" spans="7:7">
      <c r="G456" s="6"/>
    </row>
    <row r="457" spans="7:7">
      <c r="G457" s="6"/>
    </row>
    <row r="458" spans="7:7">
      <c r="G458" s="6"/>
    </row>
    <row r="459" spans="7:7">
      <c r="G459" s="6"/>
    </row>
    <row r="460" spans="7:7">
      <c r="G460" s="6"/>
    </row>
    <row r="461" spans="7:7">
      <c r="G461" s="6"/>
    </row>
    <row r="462" spans="7:7">
      <c r="G462" s="6"/>
    </row>
    <row r="463" spans="7:7">
      <c r="G463" s="6"/>
    </row>
    <row r="464" spans="7:7">
      <c r="G464" s="6"/>
    </row>
    <row r="465" spans="7:7">
      <c r="G465" s="6"/>
    </row>
    <row r="466" spans="7:7">
      <c r="G466" s="6"/>
    </row>
    <row r="467" spans="7:7">
      <c r="G467" s="6"/>
    </row>
    <row r="468" spans="7:7">
      <c r="G468" s="6"/>
    </row>
    <row r="469" spans="7:7">
      <c r="G469" s="6"/>
    </row>
    <row r="470" spans="7:7">
      <c r="G470" s="6"/>
    </row>
    <row r="471" spans="7:7">
      <c r="G471" s="6"/>
    </row>
    <row r="472" spans="7:7">
      <c r="G472" s="6"/>
    </row>
    <row r="473" spans="7:7">
      <c r="G473" s="6"/>
    </row>
    <row r="474" spans="7:7">
      <c r="G474" s="6"/>
    </row>
    <row r="475" spans="7:7">
      <c r="G475" s="6"/>
    </row>
    <row r="476" spans="7:7">
      <c r="G476" s="6"/>
    </row>
    <row r="477" spans="7:7">
      <c r="G477" s="6"/>
    </row>
    <row r="478" spans="7:7">
      <c r="G478" s="6"/>
    </row>
    <row r="479" spans="7:7">
      <c r="G479" s="6"/>
    </row>
    <row r="480" spans="7:7">
      <c r="G480" s="6"/>
    </row>
    <row r="481" spans="7:7">
      <c r="G481" s="6"/>
    </row>
    <row r="482" spans="7:7">
      <c r="G482" s="6"/>
    </row>
    <row r="483" spans="7:7">
      <c r="G483" s="6"/>
    </row>
    <row r="484" spans="7:7">
      <c r="G484" s="6"/>
    </row>
    <row r="485" spans="7:7">
      <c r="G485" s="6"/>
    </row>
    <row r="486" spans="7:7">
      <c r="G486" s="6"/>
    </row>
    <row r="487" spans="7:7">
      <c r="G487" s="6"/>
    </row>
    <row r="488" spans="7:7">
      <c r="G488" s="6"/>
    </row>
    <row r="489" spans="7:7">
      <c r="G489" s="6"/>
    </row>
    <row r="490" spans="7:7">
      <c r="G490" s="6"/>
    </row>
    <row r="491" spans="7:7">
      <c r="G491" s="6"/>
    </row>
    <row r="492" spans="7:7">
      <c r="G492" s="6"/>
    </row>
    <row r="493" spans="7:7">
      <c r="G493" s="6"/>
    </row>
    <row r="494" spans="7:7">
      <c r="G494" s="6"/>
    </row>
    <row r="495" spans="7:7">
      <c r="G495" s="6"/>
    </row>
    <row r="496" spans="7:7">
      <c r="G496" s="6"/>
    </row>
    <row r="497" spans="7:7">
      <c r="G497" s="6"/>
    </row>
    <row r="498" spans="7:7">
      <c r="G498" s="6"/>
    </row>
    <row r="499" spans="7:7">
      <c r="G499" s="6"/>
    </row>
    <row r="500" spans="7:7">
      <c r="G500" s="6"/>
    </row>
    <row r="501" spans="7:7">
      <c r="G501" s="6"/>
    </row>
    <row r="502" spans="7:7">
      <c r="G502" s="6"/>
    </row>
    <row r="503" spans="7:7">
      <c r="G503" s="6"/>
    </row>
    <row r="504" spans="7:7">
      <c r="G504" s="6"/>
    </row>
    <row r="505" spans="7:7">
      <c r="G505" s="6"/>
    </row>
    <row r="506" spans="7:7">
      <c r="G506" s="6"/>
    </row>
    <row r="507" spans="7:7">
      <c r="G507" s="6"/>
    </row>
    <row r="508" spans="7:7">
      <c r="G508" s="6"/>
    </row>
    <row r="509" spans="7:7">
      <c r="G509" s="6"/>
    </row>
    <row r="510" spans="7:7">
      <c r="G510" s="6"/>
    </row>
    <row r="511" spans="7:7">
      <c r="G511" s="6"/>
    </row>
    <row r="512" spans="7:7">
      <c r="G512" s="6"/>
    </row>
    <row r="513" spans="7:7">
      <c r="G513" s="6"/>
    </row>
    <row r="514" spans="7:7">
      <c r="G514" s="6"/>
    </row>
    <row r="515" spans="7:7">
      <c r="G515" s="6"/>
    </row>
    <row r="516" spans="7:7">
      <c r="G516" s="6"/>
    </row>
    <row r="517" spans="7:7">
      <c r="G517" s="6"/>
    </row>
    <row r="518" spans="7:7">
      <c r="G518" s="6"/>
    </row>
    <row r="519" spans="7:7">
      <c r="G519" s="6"/>
    </row>
    <row r="520" spans="7:7">
      <c r="G520" s="6"/>
    </row>
    <row r="521" spans="7:7">
      <c r="G521" s="6"/>
    </row>
    <row r="522" spans="7:7">
      <c r="G522" s="6"/>
    </row>
    <row r="523" spans="7:7">
      <c r="G523" s="6"/>
    </row>
    <row r="524" spans="7:7">
      <c r="G524" s="6"/>
    </row>
    <row r="525" spans="7:7">
      <c r="G525" s="6"/>
    </row>
    <row r="526" spans="7:7">
      <c r="G526" s="6"/>
    </row>
    <row r="527" spans="7:7">
      <c r="G527" s="6"/>
    </row>
    <row r="528" spans="7:7">
      <c r="G528" s="6"/>
    </row>
    <row r="529" spans="7:7">
      <c r="G529" s="6"/>
    </row>
    <row r="530" spans="7:7">
      <c r="G530" s="6"/>
    </row>
    <row r="531" spans="7:7">
      <c r="G531" s="6"/>
    </row>
    <row r="532" spans="7:7">
      <c r="G532" s="6"/>
    </row>
    <row r="533" spans="7:7">
      <c r="G533" s="6"/>
    </row>
    <row r="534" spans="7:7">
      <c r="G534" s="6"/>
    </row>
    <row r="535" spans="7:7">
      <c r="G535" s="6"/>
    </row>
    <row r="536" spans="7:7">
      <c r="G536" s="6"/>
    </row>
    <row r="537" spans="7:7">
      <c r="G537" s="6"/>
    </row>
    <row r="538" spans="7:7">
      <c r="G538" s="6"/>
    </row>
    <row r="539" spans="7:7">
      <c r="G539" s="6"/>
    </row>
    <row r="540" spans="7:7">
      <c r="G540" s="6"/>
    </row>
    <row r="541" spans="7:7">
      <c r="G541" s="6"/>
    </row>
    <row r="542" spans="7:7">
      <c r="G542" s="6"/>
    </row>
    <row r="543" spans="7:7">
      <c r="G543" s="6"/>
    </row>
    <row r="544" spans="7:7">
      <c r="G544" s="6"/>
    </row>
    <row r="545" spans="7:7">
      <c r="G545" s="6"/>
    </row>
    <row r="546" spans="7:7">
      <c r="G546" s="6"/>
    </row>
    <row r="547" spans="7:7">
      <c r="G547" s="6"/>
    </row>
    <row r="548" spans="7:7">
      <c r="G548" s="6"/>
    </row>
    <row r="549" spans="7:7">
      <c r="G549" s="6"/>
    </row>
    <row r="550" spans="7:7">
      <c r="G550" s="6"/>
    </row>
    <row r="551" spans="7:7">
      <c r="G551" s="6"/>
    </row>
    <row r="552" spans="7:7">
      <c r="G552" s="6"/>
    </row>
    <row r="553" spans="7:7">
      <c r="G553" s="6"/>
    </row>
    <row r="554" spans="7:7">
      <c r="G554" s="6"/>
    </row>
    <row r="555" spans="7:7">
      <c r="G555" s="6"/>
    </row>
    <row r="556" spans="7:7">
      <c r="G556" s="6"/>
    </row>
    <row r="557" spans="7:7">
      <c r="G557" s="6"/>
    </row>
    <row r="558" spans="7:7">
      <c r="G558" s="6"/>
    </row>
    <row r="559" spans="7:7">
      <c r="G559" s="6"/>
    </row>
    <row r="560" spans="7:7">
      <c r="G560" s="6"/>
    </row>
    <row r="561" spans="7:7">
      <c r="G561" s="6"/>
    </row>
    <row r="562" spans="7:7">
      <c r="G562" s="6"/>
    </row>
    <row r="563" spans="7:7">
      <c r="G563" s="6"/>
    </row>
    <row r="564" spans="7:7">
      <c r="G564" s="6"/>
    </row>
    <row r="565" spans="7:7">
      <c r="G565" s="6"/>
    </row>
    <row r="566" spans="7:7">
      <c r="G566" s="6"/>
    </row>
    <row r="567" spans="7:7">
      <c r="G567" s="6"/>
    </row>
    <row r="568" spans="7:7">
      <c r="G568" s="6"/>
    </row>
    <row r="569" spans="7:7">
      <c r="G569" s="6"/>
    </row>
    <row r="570" spans="7:7">
      <c r="G570" s="6"/>
    </row>
    <row r="571" spans="7:7">
      <c r="G571" s="6"/>
    </row>
    <row r="572" spans="7:7">
      <c r="G572" s="6"/>
    </row>
    <row r="573" spans="7:7">
      <c r="G573" s="6"/>
    </row>
    <row r="574" spans="7:7">
      <c r="G574" s="6"/>
    </row>
    <row r="575" spans="7:7">
      <c r="G575" s="6"/>
    </row>
    <row r="576" spans="7:7">
      <c r="G576" s="6"/>
    </row>
    <row r="577" spans="7:7">
      <c r="G577" s="6"/>
    </row>
    <row r="578" spans="7:7">
      <c r="G578" s="6"/>
    </row>
    <row r="579" spans="7:7">
      <c r="G579" s="6"/>
    </row>
    <row r="580" spans="7:7">
      <c r="G580" s="6"/>
    </row>
    <row r="581" spans="7:7">
      <c r="G581" s="6"/>
    </row>
    <row r="582" spans="7:7">
      <c r="G582" s="6"/>
    </row>
    <row r="583" spans="7:7">
      <c r="G583" s="6"/>
    </row>
    <row r="584" spans="7:7">
      <c r="G584" s="6"/>
    </row>
    <row r="585" spans="7:7">
      <c r="G585" s="6"/>
    </row>
    <row r="586" spans="7:7">
      <c r="G586" s="6"/>
    </row>
    <row r="587" spans="7:7">
      <c r="G587" s="6"/>
    </row>
    <row r="588" spans="7:7">
      <c r="G588" s="6"/>
    </row>
    <row r="589" spans="7:7">
      <c r="G589" s="6"/>
    </row>
    <row r="590" spans="7:7">
      <c r="G590" s="6"/>
    </row>
    <row r="591" spans="7:7">
      <c r="G591" s="6"/>
    </row>
    <row r="592" spans="7:7">
      <c r="G592" s="6"/>
    </row>
    <row r="593" spans="7:7">
      <c r="G593" s="6"/>
    </row>
    <row r="594" spans="7:7">
      <c r="G594" s="6"/>
    </row>
    <row r="595" spans="7:7">
      <c r="G595" s="6"/>
    </row>
    <row r="596" spans="7:7">
      <c r="G596" s="6"/>
    </row>
    <row r="597" spans="7:7">
      <c r="G597" s="6"/>
    </row>
    <row r="598" spans="7:7">
      <c r="G598" s="6"/>
    </row>
    <row r="599" spans="7:7">
      <c r="G599" s="6"/>
    </row>
  </sheetData>
  <mergeCells count="2">
    <mergeCell ref="A1:A3"/>
    <mergeCell ref="AV2:AX2"/>
  </mergeCells>
  <conditionalFormatting sqref="AV3:AX3">
    <cfRule type="cellIs" dxfId="79" priority="17" operator="equal">
      <formula>#REF!</formula>
    </cfRule>
    <cfRule type="cellIs" dxfId="78" priority="18" operator="equal">
      <formula>#REF!</formula>
    </cfRule>
  </conditionalFormatting>
  <conditionalFormatting sqref="AV3:AX3">
    <cfRule type="cellIs" dxfId="77" priority="19" operator="equal">
      <formula>#REF!</formula>
    </cfRule>
    <cfRule type="cellIs" dxfId="76" priority="20" operator="equal">
      <formula>#REF!</formula>
    </cfRule>
  </conditionalFormatting>
  <conditionalFormatting sqref="AE4:AS4">
    <cfRule type="cellIs" dxfId="75" priority="13" operator="equal">
      <formula>#REF!</formula>
    </cfRule>
    <cfRule type="cellIs" dxfId="74" priority="14" operator="equal">
      <formula>#REF!</formula>
    </cfRule>
  </conditionalFormatting>
  <conditionalFormatting sqref="AE4:AS4">
    <cfRule type="cellIs" dxfId="73" priority="15" operator="equal">
      <formula>#REF!</formula>
    </cfRule>
    <cfRule type="cellIs" dxfId="72" priority="16" operator="equal">
      <formula>#REF!</formula>
    </cfRule>
  </conditionalFormatting>
  <conditionalFormatting sqref="G3:AU3">
    <cfRule type="cellIs" dxfId="71" priority="5" operator="equal">
      <formula>#REF!</formula>
    </cfRule>
    <cfRule type="cellIs" dxfId="70" priority="6" operator="equal">
      <formula>#REF!</formula>
    </cfRule>
  </conditionalFormatting>
  <conditionalFormatting sqref="G3:AU3">
    <cfRule type="cellIs" dxfId="69" priority="7" operator="equal">
      <formula>#REF!</formula>
    </cfRule>
    <cfRule type="cellIs" dxfId="68" priority="8" operator="equal">
      <formula>#REF!</formula>
    </cfRule>
  </conditionalFormatting>
  <conditionalFormatting sqref="D3:AU3">
    <cfRule type="cellIs" dxfId="67" priority="1" operator="equal">
      <formula>#REF!</formula>
    </cfRule>
    <cfRule type="cellIs" dxfId="66" priority="2" operator="equal">
      <formula>#REF!</formula>
    </cfRule>
  </conditionalFormatting>
  <conditionalFormatting sqref="D3:AU3">
    <cfRule type="cellIs" dxfId="65" priority="3" operator="equal">
      <formula>#REF!</formula>
    </cfRule>
    <cfRule type="cellIs" dxfId="64" priority="4" operator="equal">
      <formula>#REF!</formula>
    </cfRule>
  </conditionalFormatting>
  <pageMargins left="0.7" right="0.7" top="0.75" bottom="0.75" header="0.3" footer="0.3"/>
  <pageSetup orientation="portrait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031CB-AC71-40AF-B3D6-6FC617CA1C3D}">
  <sheetPr>
    <tabColor theme="6" tint="-0.249977111117893"/>
    <pageSetUpPr fitToPage="1"/>
  </sheetPr>
  <dimension ref="A1:G109"/>
  <sheetViews>
    <sheetView showOutlineSymbols="0" showWhiteSpace="0" topLeftCell="A14" workbookViewId="0">
      <selection activeCell="B69" sqref="B69"/>
    </sheetView>
  </sheetViews>
  <sheetFormatPr defaultColWidth="8.85546875" defaultRowHeight="52.35" customHeight="1"/>
  <cols>
    <col min="1" max="1" width="36.5703125" style="6" bestFit="1" customWidth="1"/>
    <col min="2" max="2" width="22.140625" style="6" bestFit="1" customWidth="1"/>
    <col min="3" max="3" width="33.85546875" style="6" bestFit="1" customWidth="1"/>
    <col min="4" max="4" width="12.85546875" style="6" customWidth="1"/>
    <col min="5" max="5" width="18.140625" style="6" bestFit="1" customWidth="1"/>
    <col min="6" max="6" width="2.85546875" style="6" bestFit="1" customWidth="1"/>
    <col min="7" max="7" width="10.5703125" style="6" bestFit="1" customWidth="1"/>
    <col min="8" max="8" width="24.5703125" style="6" customWidth="1"/>
    <col min="9" max="9" width="32.42578125" style="6" customWidth="1"/>
    <col min="10" max="10" width="20.140625" style="6" customWidth="1"/>
    <col min="11" max="16384" width="8.85546875" style="6"/>
  </cols>
  <sheetData>
    <row r="1" spans="1:5" ht="15.95" thickBot="1">
      <c r="A1" s="428" t="s">
        <v>265</v>
      </c>
      <c r="B1" s="429"/>
      <c r="C1" s="429"/>
      <c r="D1" s="427" t="str">
        <f>'Development Program'!A9</f>
        <v>Tree Hotel</v>
      </c>
      <c r="E1" s="427"/>
    </row>
    <row r="2" spans="1:5" ht="12.95">
      <c r="A2" s="7"/>
      <c r="B2" s="8"/>
      <c r="C2" s="8"/>
      <c r="D2" s="930">
        <v>0</v>
      </c>
      <c r="E2" s="629" t="s">
        <v>266</v>
      </c>
    </row>
    <row r="3" spans="1:5" ht="12.95">
      <c r="A3" s="9" t="s">
        <v>363</v>
      </c>
      <c r="B3" s="10" t="s">
        <v>268</v>
      </c>
      <c r="C3" s="10" t="s">
        <v>398</v>
      </c>
      <c r="D3" s="10" t="s">
        <v>365</v>
      </c>
      <c r="E3" s="11" t="s">
        <v>278</v>
      </c>
    </row>
    <row r="4" spans="1:5" ht="13.5" thickBot="1">
      <c r="A4" s="232" t="s">
        <v>420</v>
      </c>
      <c r="B4" s="931">
        <v>0</v>
      </c>
      <c r="C4" s="931">
        <v>1000</v>
      </c>
      <c r="D4" s="932">
        <v>7</v>
      </c>
      <c r="E4" s="633">
        <f>12*B4*C4*D4</f>
        <v>0</v>
      </c>
    </row>
    <row r="5" spans="1:5" ht="12.95" hidden="1">
      <c r="A5" s="630"/>
      <c r="B5" s="931"/>
      <c r="C5" s="931"/>
      <c r="D5" s="932"/>
      <c r="E5" s="633"/>
    </row>
    <row r="6" spans="1:5" ht="12.95" hidden="1">
      <c r="A6" s="232"/>
      <c r="B6" s="933"/>
      <c r="C6" s="933"/>
      <c r="D6" s="932"/>
      <c r="E6" s="633"/>
    </row>
    <row r="7" spans="1:5" ht="12.95" hidden="1">
      <c r="A7" s="232"/>
      <c r="B7" s="931"/>
      <c r="C7" s="931"/>
      <c r="D7" s="932"/>
      <c r="E7" s="633"/>
    </row>
    <row r="8" spans="1:5" ht="12.6" hidden="1">
      <c r="A8" s="232"/>
      <c r="B8" s="634"/>
      <c r="C8" s="634"/>
      <c r="D8" s="637"/>
      <c r="E8" s="633"/>
    </row>
    <row r="9" spans="1:5" ht="12.95" hidden="1" thickBot="1">
      <c r="A9" s="232"/>
      <c r="B9" s="634"/>
      <c r="C9" s="634"/>
      <c r="D9" s="637"/>
      <c r="E9" s="638"/>
    </row>
    <row r="10" spans="1:5" ht="14.1" thickTop="1" thickBot="1">
      <c r="A10" s="12" t="s">
        <v>273</v>
      </c>
      <c r="B10" s="13">
        <f>SUM(B4:B9)</f>
        <v>0</v>
      </c>
      <c r="C10" s="14">
        <v>1</v>
      </c>
      <c r="D10" s="15"/>
      <c r="E10" s="639">
        <f>SUM(E4:E9)</f>
        <v>0</v>
      </c>
    </row>
    <row r="11" spans="1:5" ht="14.1" thickTop="1" thickBot="1">
      <c r="A11" s="16" t="s">
        <v>274</v>
      </c>
      <c r="B11" s="17"/>
      <c r="C11" s="18">
        <f>IF(B10=0,0,C10/B10)</f>
        <v>0</v>
      </c>
      <c r="D11" s="19">
        <f>(E10/12)/C10</f>
        <v>0</v>
      </c>
      <c r="E11" s="20"/>
    </row>
    <row r="12" spans="1:5" ht="12.95">
      <c r="A12" s="21"/>
      <c r="B12" s="22"/>
      <c r="C12" s="23"/>
      <c r="D12" s="24"/>
    </row>
    <row r="13" spans="1:5" ht="12.95">
      <c r="A13" s="9" t="s">
        <v>275</v>
      </c>
      <c r="B13" s="10" t="s">
        <v>276</v>
      </c>
      <c r="C13" s="10" t="s">
        <v>277</v>
      </c>
      <c r="D13" s="10" t="s">
        <v>278</v>
      </c>
    </row>
    <row r="14" spans="1:5" ht="12.95">
      <c r="A14" s="640" t="s">
        <v>46</v>
      </c>
      <c r="B14" s="949">
        <v>0</v>
      </c>
      <c r="C14" s="950">
        <v>0</v>
      </c>
      <c r="D14" s="643">
        <f>B14*C14</f>
        <v>0</v>
      </c>
    </row>
    <row r="15" spans="1:5" ht="13.5" thickBot="1">
      <c r="A15" s="644" t="s">
        <v>39</v>
      </c>
      <c r="B15" s="951">
        <f>645*9</f>
        <v>5805</v>
      </c>
      <c r="C15" s="952">
        <f>Assumptions!F9/645</f>
        <v>0.34108527131782945</v>
      </c>
      <c r="D15" s="647">
        <f>B15*C15*365*(1-Assumptions!I12)</f>
        <v>505889.99999999994</v>
      </c>
      <c r="E15" s="6" t="s">
        <v>421</v>
      </c>
    </row>
    <row r="16" spans="1:5" ht="13.5" thickTop="1" thickBot="1">
      <c r="A16" s="25" t="s">
        <v>279</v>
      </c>
      <c r="B16" s="648">
        <f>SUM(B14:B15)</f>
        <v>5805</v>
      </c>
      <c r="C16" s="26">
        <f>IF(B16=0,0,D16/B16)</f>
        <v>87.147286821705421</v>
      </c>
      <c r="D16" s="27">
        <f>SUM(D14:D15)</f>
        <v>505889.99999999994</v>
      </c>
    </row>
    <row r="17" spans="1:5" ht="12.95">
      <c r="A17" s="652" t="s">
        <v>280</v>
      </c>
      <c r="B17" s="650"/>
    </row>
    <row r="18" spans="1:5" ht="12.95">
      <c r="A18" s="514" t="s">
        <v>372</v>
      </c>
      <c r="B18" s="886">
        <v>0</v>
      </c>
      <c r="C18" s="29"/>
      <c r="D18" s="30"/>
    </row>
    <row r="19" spans="1:5" ht="13.5" thickBot="1">
      <c r="A19" s="515" t="s">
        <v>373</v>
      </c>
      <c r="B19" s="886">
        <v>9</v>
      </c>
      <c r="C19" s="29"/>
      <c r="D19" s="30"/>
    </row>
    <row r="20" spans="1:5" ht="13.5" thickTop="1" thickBot="1">
      <c r="A20" s="31" t="s">
        <v>284</v>
      </c>
      <c r="B20" s="32">
        <f>SUM(B18:B19)</f>
        <v>9</v>
      </c>
      <c r="C20" s="29"/>
      <c r="D20" s="30"/>
    </row>
    <row r="21" spans="1:5" ht="12.95">
      <c r="A21" s="652" t="s">
        <v>285</v>
      </c>
      <c r="B21" s="934" t="str">
        <f>D1</f>
        <v>Tree Hotel</v>
      </c>
      <c r="C21" s="33"/>
      <c r="D21" s="33"/>
      <c r="E21" s="33"/>
    </row>
    <row r="22" spans="1:5" ht="12.95">
      <c r="A22" s="654" t="s">
        <v>286</v>
      </c>
      <c r="B22" s="655">
        <f>'Development Program'!C9</f>
        <v>28005.440000000002</v>
      </c>
      <c r="C22" s="34"/>
      <c r="D22" s="35"/>
      <c r="E22" s="33"/>
    </row>
    <row r="23" spans="1:5" ht="12.95">
      <c r="A23" s="654" t="s">
        <v>374</v>
      </c>
      <c r="B23" s="655">
        <f>B16</f>
        <v>5805</v>
      </c>
      <c r="C23" s="34"/>
      <c r="D23" s="35"/>
      <c r="E23" s="33"/>
    </row>
    <row r="24" spans="1:5" ht="12.95">
      <c r="A24" s="656">
        <v>0</v>
      </c>
      <c r="B24" s="655">
        <f>B20*A24</f>
        <v>0</v>
      </c>
      <c r="C24" s="172" t="s">
        <v>422</v>
      </c>
      <c r="D24" s="35"/>
      <c r="E24" s="33"/>
    </row>
    <row r="25" spans="1:5" ht="12.95">
      <c r="A25" s="810">
        <v>0.1</v>
      </c>
      <c r="B25" s="655">
        <f>(1+A25)*(B23)</f>
        <v>6385.5000000000009</v>
      </c>
      <c r="C25" s="34"/>
      <c r="D25" s="35"/>
      <c r="E25" s="33"/>
    </row>
    <row r="26" spans="1:5" ht="13.5" thickBot="1">
      <c r="A26" s="811">
        <v>2</v>
      </c>
      <c r="B26" s="659">
        <f>B25/A26</f>
        <v>3192.7500000000005</v>
      </c>
      <c r="C26" s="34"/>
      <c r="D26" s="35"/>
      <c r="E26" s="33"/>
    </row>
    <row r="27" spans="1:5" ht="13.5" thickBot="1">
      <c r="A27" s="436" t="s">
        <v>289</v>
      </c>
      <c r="B27" s="437"/>
      <c r="C27" s="456" t="str">
        <f>D1</f>
        <v>Tree Hotel</v>
      </c>
      <c r="D27" s="452"/>
      <c r="E27" s="33"/>
    </row>
    <row r="28" spans="1:5" ht="13.5" thickBot="1">
      <c r="A28" s="662" t="s">
        <v>290</v>
      </c>
      <c r="B28" s="663" t="s">
        <v>291</v>
      </c>
      <c r="C28" s="663" t="s">
        <v>292</v>
      </c>
      <c r="D28" s="664" t="s">
        <v>293</v>
      </c>
      <c r="E28" s="33"/>
    </row>
    <row r="29" spans="1:5" ht="12.6">
      <c r="A29" s="665" t="s">
        <v>375</v>
      </c>
      <c r="B29" s="666">
        <f>IF(D29=0,0,D29/B10)</f>
        <v>0</v>
      </c>
      <c r="C29" s="667">
        <f>IF(D29=0,0,D29/C10)</f>
        <v>0</v>
      </c>
      <c r="D29" s="36">
        <f>E10</f>
        <v>0</v>
      </c>
      <c r="E29" s="33"/>
    </row>
    <row r="30" spans="1:5" ht="12.6">
      <c r="A30" s="812" t="str">
        <f>A16</f>
        <v>Total Commercial</v>
      </c>
      <c r="B30" s="669" t="s">
        <v>376</v>
      </c>
      <c r="C30" s="435"/>
      <c r="D30" s="670">
        <f>D16</f>
        <v>505889.99999999994</v>
      </c>
      <c r="E30" s="33"/>
    </row>
    <row r="31" spans="1:5" ht="12.95">
      <c r="A31" s="671"/>
      <c r="B31" s="813" t="s">
        <v>377</v>
      </c>
      <c r="C31" s="813"/>
      <c r="D31" s="673">
        <f>SUM(D29:D30)</f>
        <v>505889.99999999994</v>
      </c>
      <c r="E31" s="33"/>
    </row>
    <row r="32" spans="1:5" ht="12.95">
      <c r="A32" s="814" t="s">
        <v>378</v>
      </c>
      <c r="B32" s="673" t="s">
        <v>415</v>
      </c>
      <c r="C32" s="673"/>
      <c r="D32" s="673"/>
      <c r="E32" s="33"/>
    </row>
    <row r="33" spans="1:5" ht="12.6">
      <c r="A33" s="671" t="s">
        <v>416</v>
      </c>
      <c r="B33" s="677">
        <f>Assumptions!C38</f>
        <v>18</v>
      </c>
      <c r="C33" s="815"/>
      <c r="D33" s="677">
        <f>B33*B20*365</f>
        <v>59130</v>
      </c>
      <c r="E33" s="33"/>
    </row>
    <row r="34" spans="1:5" ht="12.6">
      <c r="A34" s="671" t="s">
        <v>382</v>
      </c>
      <c r="B34" s="677"/>
      <c r="C34" s="815"/>
      <c r="D34" s="677">
        <f>Assumptions!F15*D31</f>
        <v>17706.150000000001</v>
      </c>
      <c r="E34" s="33"/>
    </row>
    <row r="35" spans="1:5" ht="13.5" thickBot="1">
      <c r="A35" s="37" t="s">
        <v>383</v>
      </c>
      <c r="B35" s="444"/>
      <c r="C35" s="816"/>
      <c r="D35" s="38">
        <f>SUM(D33:D34)</f>
        <v>76836.149999999994</v>
      </c>
      <c r="E35" s="33"/>
    </row>
    <row r="36" spans="1:5" ht="14.1" thickTop="1" thickBot="1">
      <c r="A36" s="817" t="s">
        <v>384</v>
      </c>
      <c r="B36" s="41"/>
      <c r="C36" s="818"/>
      <c r="D36" s="42">
        <f>D31+D35</f>
        <v>582726.14999999991</v>
      </c>
      <c r="E36" s="33"/>
    </row>
    <row r="37" spans="1:5" ht="12.95">
      <c r="A37" s="9" t="s">
        <v>385</v>
      </c>
      <c r="B37" s="10" t="s">
        <v>291</v>
      </c>
      <c r="C37" s="10" t="s">
        <v>386</v>
      </c>
      <c r="D37" s="43" t="s">
        <v>293</v>
      </c>
      <c r="E37" s="33"/>
    </row>
    <row r="38" spans="1:5" ht="13.5" thickBot="1">
      <c r="A38" s="44" t="s">
        <v>387</v>
      </c>
      <c r="B38" s="45"/>
      <c r="C38" s="45"/>
      <c r="D38" s="45">
        <f>-Assumptions!F16*D31</f>
        <v>-151766.99999999997</v>
      </c>
      <c r="E38" s="33"/>
    </row>
    <row r="39" spans="1:5" ht="13.5" thickBot="1">
      <c r="A39" s="819" t="s">
        <v>388</v>
      </c>
      <c r="B39" s="820"/>
      <c r="C39" s="821"/>
      <c r="D39" s="820">
        <f>D36+D38</f>
        <v>430959.14999999991</v>
      </c>
      <c r="E39" s="33"/>
    </row>
    <row r="40" spans="1:5" ht="13.5" thickBot="1">
      <c r="A40" s="822" t="s">
        <v>389</v>
      </c>
      <c r="B40" s="46" t="s">
        <v>390</v>
      </c>
      <c r="C40" s="281">
        <f>Assumptions!H12</f>
        <v>6.2E-2</v>
      </c>
      <c r="D40" s="823">
        <f>D39/C40</f>
        <v>6950954.0322580626</v>
      </c>
      <c r="E40" s="33"/>
    </row>
    <row r="41" spans="1:5" ht="13.5" thickBot="1">
      <c r="A41" s="438" t="s">
        <v>296</v>
      </c>
      <c r="B41" s="439"/>
      <c r="C41" s="430" t="str">
        <f>D1</f>
        <v>Tree Hotel</v>
      </c>
      <c r="D41" s="454"/>
    </row>
    <row r="42" spans="1:5" ht="13.5" thickBot="1">
      <c r="A42" s="652"/>
      <c r="B42" s="48" t="s">
        <v>297</v>
      </c>
      <c r="C42" s="48" t="s">
        <v>298</v>
      </c>
      <c r="D42" s="48" t="s">
        <v>386</v>
      </c>
    </row>
    <row r="43" spans="1:5" ht="12.6">
      <c r="A43" s="674" t="s">
        <v>299</v>
      </c>
      <c r="B43" s="675">
        <f>Assumptions!F24</f>
        <v>207</v>
      </c>
      <c r="C43" s="824">
        <f>B43*(C10+B16)</f>
        <v>1201842</v>
      </c>
      <c r="D43" s="935">
        <f>C43/B$23</f>
        <v>207.03565891472869</v>
      </c>
    </row>
    <row r="44" spans="1:5" ht="12.6">
      <c r="A44" s="49" t="s">
        <v>391</v>
      </c>
      <c r="B44" s="678">
        <f>Assumptions!C33</f>
        <v>534</v>
      </c>
      <c r="C44" s="50">
        <f>B20*B44</f>
        <v>4806</v>
      </c>
      <c r="D44" s="935">
        <f t="shared" ref="D44:D64" si="0">C44/B$23</f>
        <v>0.82790697674418601</v>
      </c>
    </row>
    <row r="45" spans="1:5" ht="12.95">
      <c r="A45" s="49" t="s">
        <v>300</v>
      </c>
      <c r="B45" s="825">
        <v>0.12</v>
      </c>
      <c r="C45" s="50">
        <f>B45*C43</f>
        <v>144221.04</v>
      </c>
      <c r="D45" s="935">
        <f t="shared" si="0"/>
        <v>24.844279069767442</v>
      </c>
    </row>
    <row r="46" spans="1:5" ht="12.6">
      <c r="A46" s="49" t="s">
        <v>191</v>
      </c>
      <c r="B46" s="826"/>
      <c r="C46" s="50"/>
      <c r="D46" s="935">
        <f t="shared" si="0"/>
        <v>0</v>
      </c>
    </row>
    <row r="47" spans="1:5" ht="12.6">
      <c r="A47" s="49" t="s">
        <v>301</v>
      </c>
      <c r="B47" s="828">
        <f>'EF Financial'!B48</f>
        <v>10.5</v>
      </c>
      <c r="C47" s="50">
        <f>B47*'Development Program'!C9</f>
        <v>294057.12</v>
      </c>
      <c r="D47" s="935">
        <f t="shared" si="0"/>
        <v>50.655834625322996</v>
      </c>
    </row>
    <row r="48" spans="1:5" ht="24.95">
      <c r="A48" s="49" t="s">
        <v>79</v>
      </c>
      <c r="B48" s="828" t="str">
        <f>'EF Financial'!B49</f>
        <v>(Non Residential SF/3000 ) * $72</v>
      </c>
      <c r="C48" s="50">
        <f>(B16/3000)*72</f>
        <v>139.32</v>
      </c>
      <c r="D48" s="935">
        <f t="shared" si="0"/>
        <v>2.4E-2</v>
      </c>
    </row>
    <row r="49" spans="1:7" ht="12.6">
      <c r="A49" s="49" t="s">
        <v>302</v>
      </c>
      <c r="B49" s="936" t="s">
        <v>101</v>
      </c>
      <c r="C49" s="50">
        <f>1799.5+((C43-500000)/1000)*3</f>
        <v>3905.0259999999998</v>
      </c>
      <c r="D49" s="935">
        <f t="shared" si="0"/>
        <v>0.67270043066322138</v>
      </c>
    </row>
    <row r="50" spans="1:7" ht="12.95">
      <c r="A50" s="49" t="s">
        <v>303</v>
      </c>
      <c r="B50" s="937" t="s">
        <v>304</v>
      </c>
      <c r="C50" s="50">
        <f>'Development Program'!H24</f>
        <v>1276355.8500000001</v>
      </c>
      <c r="D50" s="935">
        <f t="shared" si="0"/>
        <v>219.87180878552974</v>
      </c>
    </row>
    <row r="51" spans="1:7" ht="12.6">
      <c r="A51" s="514" t="s">
        <v>88</v>
      </c>
      <c r="B51" s="953">
        <f>'CD Financial'!B53</f>
        <v>7.4999999999999997E-3</v>
      </c>
      <c r="C51" s="686">
        <f>B51*C43</f>
        <v>9013.8150000000005</v>
      </c>
      <c r="D51" s="935">
        <f t="shared" si="0"/>
        <v>1.5527674418604651</v>
      </c>
    </row>
    <row r="52" spans="1:7" ht="12.6">
      <c r="A52" s="514" t="s">
        <v>90</v>
      </c>
      <c r="B52" s="939">
        <f>Assumptions!F31</f>
        <v>1.4999999999999999E-2</v>
      </c>
      <c r="C52" s="686">
        <f>B52*C47</f>
        <v>4410.8567999999996</v>
      </c>
      <c r="D52" s="935">
        <f t="shared" si="0"/>
        <v>0.75983751937984489</v>
      </c>
      <c r="E52" s="51"/>
    </row>
    <row r="53" spans="1:7" ht="12.6">
      <c r="A53" s="514" t="s">
        <v>305</v>
      </c>
      <c r="B53" s="688">
        <v>0.04</v>
      </c>
      <c r="C53" s="686">
        <f>B53*(C43+C45)</f>
        <v>53842.5216</v>
      </c>
      <c r="D53" s="935">
        <f t="shared" si="0"/>
        <v>9.2751975193798444</v>
      </c>
    </row>
    <row r="54" spans="1:7" ht="12.6">
      <c r="A54" s="514" t="s">
        <v>94</v>
      </c>
      <c r="B54" s="689">
        <v>0.03</v>
      </c>
      <c r="C54" s="686">
        <f>B54*SUM(C43:C53)</f>
        <v>89777.806482000015</v>
      </c>
      <c r="D54" s="935">
        <f t="shared" si="0"/>
        <v>15.465599738501295</v>
      </c>
    </row>
    <row r="55" spans="1:7" ht="12.6">
      <c r="A55" s="514" t="s">
        <v>306</v>
      </c>
      <c r="B55" s="688">
        <v>0.02</v>
      </c>
      <c r="C55" s="686">
        <f>B55*(C43+C45)</f>
        <v>26921.2608</v>
      </c>
      <c r="D55" s="935">
        <f t="shared" si="0"/>
        <v>4.6375987596899222</v>
      </c>
    </row>
    <row r="56" spans="1:7" ht="12.6">
      <c r="A56" s="514" t="s">
        <v>307</v>
      </c>
      <c r="B56" s="832">
        <f>Assumptions!F44</f>
        <v>0.06</v>
      </c>
      <c r="C56" s="686">
        <f>B56*C47</f>
        <v>17643.427199999998</v>
      </c>
      <c r="D56" s="935">
        <f t="shared" si="0"/>
        <v>3.0393500775193796</v>
      </c>
    </row>
    <row r="57" spans="1:7" ht="12.6">
      <c r="A57" s="514" t="s">
        <v>100</v>
      </c>
      <c r="B57" s="940" t="s">
        <v>101</v>
      </c>
      <c r="C57" s="686">
        <f>'Insurance Calculations'!G36</f>
        <v>3756.3694228488962</v>
      </c>
      <c r="D57" s="935">
        <f t="shared" si="0"/>
        <v>0.64709206250626983</v>
      </c>
    </row>
    <row r="58" spans="1:7" ht="12.6">
      <c r="A58" s="514" t="s">
        <v>308</v>
      </c>
      <c r="B58" s="833" t="s">
        <v>101</v>
      </c>
      <c r="C58" s="686">
        <v>500000</v>
      </c>
      <c r="D58" s="935">
        <f t="shared" si="0"/>
        <v>86.132644272179149</v>
      </c>
    </row>
    <row r="59" spans="1:7" ht="12.6">
      <c r="A59" s="514" t="s">
        <v>105</v>
      </c>
      <c r="B59" s="835">
        <f>Assumptions!F38</f>
        <v>6</v>
      </c>
      <c r="C59" s="686">
        <f>-B59*(D38/12)</f>
        <v>75883.499999999985</v>
      </c>
      <c r="D59" s="935">
        <f t="shared" si="0"/>
        <v>13.072093023255812</v>
      </c>
    </row>
    <row r="60" spans="1:7" ht="12.6">
      <c r="A60" s="514" t="s">
        <v>309</v>
      </c>
      <c r="B60" s="329"/>
      <c r="C60" s="686"/>
      <c r="D60" s="935">
        <f t="shared" si="0"/>
        <v>0</v>
      </c>
    </row>
    <row r="61" spans="1:7" ht="12.6">
      <c r="A61" s="514" t="s">
        <v>310</v>
      </c>
      <c r="B61" s="836"/>
      <c r="C61" s="686"/>
      <c r="D61" s="935">
        <f t="shared" si="0"/>
        <v>0</v>
      </c>
    </row>
    <row r="62" spans="1:7" ht="12.95">
      <c r="A62" s="514" t="s">
        <v>108</v>
      </c>
      <c r="B62" s="941">
        <v>1.4999999999999999E-2</v>
      </c>
      <c r="C62" s="686">
        <v>33435</v>
      </c>
      <c r="D62" s="935">
        <f t="shared" si="0"/>
        <v>5.7596899224806197</v>
      </c>
      <c r="E62" s="269" t="s">
        <v>392</v>
      </c>
      <c r="F62" s="270"/>
      <c r="G62" s="52">
        <f>B62*B75</f>
        <v>35070</v>
      </c>
    </row>
    <row r="63" spans="1:7" ht="12.95">
      <c r="A63" s="694" t="s">
        <v>109</v>
      </c>
      <c r="B63" s="942">
        <v>7.0000000000000007E-2</v>
      </c>
      <c r="C63" s="686">
        <v>156030.00000000003</v>
      </c>
      <c r="D63" s="935">
        <f t="shared" si="0"/>
        <v>26.878552971576234</v>
      </c>
      <c r="E63" s="269" t="s">
        <v>392</v>
      </c>
      <c r="F63" s="270"/>
      <c r="G63" s="53">
        <f>B63*B75</f>
        <v>163660.00000000003</v>
      </c>
    </row>
    <row r="64" spans="1:7" ht="12.95" thickBot="1">
      <c r="A64" s="515" t="s">
        <v>312</v>
      </c>
      <c r="B64" s="839"/>
      <c r="C64" s="840"/>
      <c r="D64" s="935">
        <f t="shared" si="0"/>
        <v>0</v>
      </c>
    </row>
    <row r="65" spans="1:4" ht="14.1" thickTop="1" thickBot="1">
      <c r="A65" s="698" t="s">
        <v>313</v>
      </c>
      <c r="B65" s="699"/>
      <c r="C65" s="54">
        <f>SUM(C43:C64)</f>
        <v>3896040.9133048491</v>
      </c>
      <c r="D65" s="54">
        <f>C65/B23</f>
        <v>671.15261211108509</v>
      </c>
    </row>
    <row r="66" spans="1:4" ht="12.95">
      <c r="A66" s="700" t="s">
        <v>393</v>
      </c>
      <c r="B66" s="701">
        <f>D39/C65</f>
        <v>0.11061463665032081</v>
      </c>
    </row>
    <row r="67" spans="1:4" ht="12.95">
      <c r="A67" s="702" t="s">
        <v>314</v>
      </c>
      <c r="B67" s="703">
        <f>(D40/C65)-1</f>
        <v>0.78410704274710974</v>
      </c>
      <c r="C67" s="55"/>
      <c r="D67" s="56"/>
    </row>
    <row r="68" spans="1:4" ht="13.5" thickBot="1">
      <c r="A68" s="704">
        <v>0.3</v>
      </c>
      <c r="B68" s="705">
        <f>(D40/(1+A68))</f>
        <v>5346887.7171215862</v>
      </c>
    </row>
    <row r="69" spans="1:4" ht="13.5" thickBot="1">
      <c r="A69" s="841">
        <v>0.3</v>
      </c>
      <c r="B69" s="705">
        <f>ROUND((D40/(1+A69))-C65,-3)</f>
        <v>1451000</v>
      </c>
      <c r="C69" s="57" t="s">
        <v>315</v>
      </c>
    </row>
    <row r="70" spans="1:4" ht="13.5" thickBot="1">
      <c r="A70" s="58"/>
      <c r="B70" s="59"/>
    </row>
    <row r="71" spans="1:4" ht="13.5" thickBot="1">
      <c r="A71" s="447" t="s">
        <v>316</v>
      </c>
      <c r="B71" s="448"/>
      <c r="C71" s="944" t="str">
        <f>D1</f>
        <v>Tree Hotel</v>
      </c>
    </row>
    <row r="72" spans="1:4" ht="13.5" thickBot="1">
      <c r="A72" s="708"/>
      <c r="B72" s="709" t="s">
        <v>211</v>
      </c>
      <c r="C72" s="710" t="s">
        <v>418</v>
      </c>
    </row>
    <row r="73" spans="1:4" ht="12.95">
      <c r="A73" s="60" t="s">
        <v>317</v>
      </c>
      <c r="B73" s="61">
        <f>IF(B69&lt;0,B69,0)</f>
        <v>0</v>
      </c>
      <c r="C73" s="639">
        <f>B73/B23</f>
        <v>0</v>
      </c>
    </row>
    <row r="74" spans="1:4" ht="12.95">
      <c r="A74" s="62" t="s">
        <v>318</v>
      </c>
      <c r="B74" s="61">
        <f>C65+B73</f>
        <v>3896040.9133048491</v>
      </c>
      <c r="C74" s="639">
        <f>B74/B$23</f>
        <v>671.15261211108509</v>
      </c>
    </row>
    <row r="75" spans="1:4" ht="12.95">
      <c r="A75" s="843">
        <f>Assumptions!H18</f>
        <v>0.6</v>
      </c>
      <c r="B75" s="63">
        <f>ROUND(A75*C65,-3)</f>
        <v>2338000</v>
      </c>
      <c r="C75" s="639">
        <f t="shared" ref="C75:C77" si="1">B75/B$23</f>
        <v>402.75624461670975</v>
      </c>
    </row>
    <row r="76" spans="1:4" ht="13.5" thickBot="1">
      <c r="A76" s="713">
        <f>1-A75</f>
        <v>0.4</v>
      </c>
      <c r="B76" s="63">
        <f>ROUND(A76*C65,-3)</f>
        <v>1558000</v>
      </c>
      <c r="C76" s="639">
        <f t="shared" si="1"/>
        <v>268.38931955211024</v>
      </c>
      <c r="D76" s="56"/>
    </row>
    <row r="77" spans="1:4" ht="13.5" thickTop="1">
      <c r="A77" s="97" t="s">
        <v>319</v>
      </c>
      <c r="B77" s="845">
        <f>B75+B76</f>
        <v>3896000</v>
      </c>
      <c r="C77" s="639">
        <f t="shared" si="1"/>
        <v>671.14556416881999</v>
      </c>
    </row>
    <row r="78" spans="1:4" ht="13.5" thickBot="1">
      <c r="A78" s="716"/>
      <c r="B78" s="717"/>
      <c r="C78" s="718"/>
    </row>
    <row r="79" spans="1:4" ht="13.5" thickBot="1">
      <c r="A79" s="431" t="s">
        <v>320</v>
      </c>
      <c r="B79" s="432"/>
      <c r="C79" s="707" t="str">
        <f>D1</f>
        <v>Tree Hotel</v>
      </c>
    </row>
    <row r="80" spans="1:4" ht="13.5" thickBot="1">
      <c r="A80" s="66"/>
      <c r="B80" s="719" t="s">
        <v>321</v>
      </c>
      <c r="C80" s="719"/>
    </row>
    <row r="81" spans="1:5" ht="12.6">
      <c r="A81" s="720" t="s">
        <v>294</v>
      </c>
      <c r="B81" s="722">
        <f>ROUND(D40,-2)</f>
        <v>6951000</v>
      </c>
      <c r="C81" s="722"/>
    </row>
    <row r="82" spans="1:5" ht="13.5" thickBot="1">
      <c r="A82" s="847">
        <v>0.02</v>
      </c>
      <c r="B82" s="848">
        <f>(-ROUND(A82*B81,-2))</f>
        <v>-139000</v>
      </c>
      <c r="C82" s="725"/>
    </row>
    <row r="83" spans="1:5" ht="13.5" thickTop="1" thickBot="1">
      <c r="A83" s="726" t="s">
        <v>295</v>
      </c>
      <c r="B83" s="67">
        <f>B81+B82</f>
        <v>6812000</v>
      </c>
      <c r="C83" s="67"/>
      <c r="E83" s="68"/>
    </row>
    <row r="84" spans="1:5" ht="12.6">
      <c r="A84" s="720" t="s">
        <v>322</v>
      </c>
      <c r="B84" s="722">
        <f>-B75</f>
        <v>-2338000</v>
      </c>
      <c r="C84" s="722"/>
    </row>
    <row r="85" spans="1:5" ht="12.95" thickBot="1">
      <c r="A85" s="727" t="s">
        <v>323</v>
      </c>
      <c r="B85" s="725">
        <f>-B76</f>
        <v>-1558000</v>
      </c>
      <c r="C85" s="725"/>
    </row>
    <row r="86" spans="1:5" ht="14.1" thickTop="1" thickBot="1">
      <c r="A86" s="109" t="s">
        <v>324</v>
      </c>
      <c r="B86" s="69">
        <f>ROUND(B83+B84+B85,-2)</f>
        <v>2916000</v>
      </c>
      <c r="C86" s="69"/>
      <c r="D86" s="70"/>
    </row>
    <row r="87" spans="1:5" ht="13.5" thickBot="1">
      <c r="A87" s="729" t="s">
        <v>404</v>
      </c>
      <c r="B87" s="730"/>
      <c r="C87" s="731"/>
    </row>
    <row r="88" spans="1:5" ht="12.6">
      <c r="A88" s="732" t="s">
        <v>326</v>
      </c>
      <c r="B88" s="733">
        <f>(B81)/B$23</f>
        <v>1197.4160206718345</v>
      </c>
      <c r="C88" s="733"/>
    </row>
    <row r="89" spans="1:5" ht="12.95" thickBot="1">
      <c r="A89" s="734" t="s">
        <v>327</v>
      </c>
      <c r="B89" s="733">
        <f>(B83)/B$23</f>
        <v>1173.4711455641689</v>
      </c>
      <c r="C89" s="735"/>
    </row>
    <row r="90" spans="1:5" ht="12.95">
      <c r="A90" s="736" t="s">
        <v>328</v>
      </c>
      <c r="B90" s="737"/>
      <c r="C90" s="738"/>
    </row>
    <row r="91" spans="1:5" ht="13.5" thickBot="1">
      <c r="A91" s="716"/>
      <c r="B91" s="71"/>
      <c r="C91" s="71"/>
    </row>
    <row r="92" spans="1:5" ht="12.95">
      <c r="A92" s="72"/>
      <c r="B92" s="719" t="s">
        <v>321</v>
      </c>
      <c r="C92" s="719"/>
    </row>
    <row r="93" spans="1:5" ht="12.6">
      <c r="A93" s="739" t="s">
        <v>329</v>
      </c>
      <c r="B93" s="740">
        <f>(B86+B76)/B76</f>
        <v>2.8716302952503208</v>
      </c>
      <c r="C93" s="740"/>
    </row>
    <row r="94" spans="1:5" ht="12.95">
      <c r="A94" s="741" t="s">
        <v>330</v>
      </c>
      <c r="B94" s="742">
        <f>'GH Draw'!B39</f>
        <v>0.31212214796455662</v>
      </c>
      <c r="C94" s="742"/>
      <c r="D94" s="73"/>
    </row>
    <row r="95" spans="1:5" ht="12.6">
      <c r="A95" s="739" t="s">
        <v>332</v>
      </c>
      <c r="B95" s="743">
        <f>D39/B75</f>
        <v>0.18432812232677498</v>
      </c>
      <c r="C95" s="743"/>
    </row>
    <row r="96" spans="1:5" ht="12.6">
      <c r="A96" s="739" t="s">
        <v>333</v>
      </c>
      <c r="B96" s="744">
        <f>C40</f>
        <v>6.2E-2</v>
      </c>
      <c r="C96" s="744"/>
    </row>
    <row r="103" spans="1:4" ht="52.35" hidden="1" customHeight="1" thickBot="1"/>
    <row r="109" spans="1:4" ht="52.35" customHeight="1">
      <c r="A109" s="140"/>
      <c r="B109" s="140"/>
      <c r="C109" s="140"/>
      <c r="D109" s="30"/>
    </row>
  </sheetData>
  <mergeCells count="13">
    <mergeCell ref="A87:C87"/>
    <mergeCell ref="A90:C90"/>
    <mergeCell ref="A41:B41"/>
    <mergeCell ref="C41:D41"/>
    <mergeCell ref="A71:B71"/>
    <mergeCell ref="A79:B79"/>
    <mergeCell ref="B35:C35"/>
    <mergeCell ref="B30:C30"/>
    <mergeCell ref="B31:C31"/>
    <mergeCell ref="A1:C1"/>
    <mergeCell ref="D1:E1"/>
    <mergeCell ref="A27:B27"/>
    <mergeCell ref="C27:D27"/>
  </mergeCells>
  <printOptions horizontalCentered="1" verticalCentered="1"/>
  <pageMargins left="0.7" right="0.7" top="0.75" bottom="0.75" header="0.3" footer="0.3"/>
  <pageSetup scale="51"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2" manualBreakCount="2">
    <brk id="53" max="8" man="1"/>
    <brk id="83" max="8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460A6-D78B-4825-AA1E-88D18D808DB5}">
  <sheetPr>
    <tabColor rgb="FF0070C0"/>
  </sheetPr>
  <dimension ref="A1:BW599"/>
  <sheetViews>
    <sheetView showOutlineSymbols="0" showWhiteSpace="0" topLeftCell="A28" zoomScale="101" workbookViewId="0">
      <selection activeCell="B38" sqref="B38"/>
    </sheetView>
  </sheetViews>
  <sheetFormatPr defaultColWidth="8.85546875" defaultRowHeight="14.45"/>
  <cols>
    <col min="1" max="1" width="38.5703125" style="6" bestFit="1" customWidth="1"/>
    <col min="2" max="2" width="14.5703125" style="6" customWidth="1"/>
    <col min="3" max="3" width="20" style="6" hidden="1" customWidth="1"/>
    <col min="4" max="4" width="9.85546875" style="6" hidden="1" customWidth="1"/>
    <col min="5" max="6" width="19" style="6" hidden="1" customWidth="1"/>
    <col min="7" max="7" width="11.85546875" style="116" hidden="1" customWidth="1"/>
    <col min="8" max="10" width="10.5703125" style="6" hidden="1" customWidth="1"/>
    <col min="11" max="11" width="22.28515625" style="6" bestFit="1" customWidth="1"/>
    <col min="12" max="15" width="10.5703125" style="6" bestFit="1" customWidth="1"/>
    <col min="16" max="16" width="13.5703125" style="6" customWidth="1"/>
    <col min="17" max="17" width="10.85546875" style="6" customWidth="1"/>
    <col min="18" max="21" width="10.5703125" style="6" bestFit="1" customWidth="1"/>
    <col min="22" max="22" width="13.5703125" style="6" customWidth="1"/>
    <col min="23" max="23" width="14.42578125" style="6" customWidth="1"/>
    <col min="24" max="27" width="16.5703125" style="6" customWidth="1"/>
    <col min="28" max="28" width="16.5703125" style="117" customWidth="1"/>
    <col min="29" max="29" width="16.5703125" style="6" customWidth="1"/>
    <col min="30" max="30" width="19.42578125" style="6" bestFit="1" customWidth="1"/>
    <col min="31" max="31" width="18.5703125" style="117" bestFit="1" customWidth="1"/>
    <col min="32" max="40" width="16.5703125" style="6" customWidth="1"/>
    <col min="41" max="46" width="16.5703125" style="6" hidden="1" customWidth="1"/>
    <col min="47" max="47" width="16.5703125" style="118" hidden="1" customWidth="1"/>
    <col min="48" max="48" width="17" style="6" bestFit="1" customWidth="1"/>
    <col min="49" max="49" width="15.5703125" style="6" customWidth="1"/>
    <col min="50" max="50" width="19.140625" style="6" customWidth="1"/>
    <col min="51" max="73" width="17" customWidth="1"/>
    <col min="74" max="74" width="16.5703125" customWidth="1"/>
    <col min="75" max="75" width="17.85546875" bestFit="1" customWidth="1"/>
    <col min="76" max="76" width="9.5703125" style="6" bestFit="1" customWidth="1"/>
    <col min="77" max="77" width="11.85546875" style="6" bestFit="1" customWidth="1"/>
    <col min="78" max="79" width="9.5703125" style="6" bestFit="1" customWidth="1"/>
    <col min="80" max="16384" width="8.85546875" style="6"/>
  </cols>
  <sheetData>
    <row r="1" spans="1:50" ht="15" thickBot="1">
      <c r="A1" s="440" t="str">
        <f>'Development Program'!A32</f>
        <v>Tree Hotel</v>
      </c>
      <c r="B1" s="199" t="s">
        <v>334</v>
      </c>
      <c r="C1" s="184" t="str">
        <f>'Development Program'!B27</f>
        <v>Pre-Development</v>
      </c>
      <c r="D1" s="184" t="str">
        <f>'Development Program'!C27</f>
        <v>Demolition</v>
      </c>
      <c r="E1" s="184" t="str">
        <f>'Development Program'!D27</f>
        <v>Construction</v>
      </c>
      <c r="F1" s="185" t="str">
        <f>'Development Program'!E27</f>
        <v>Close-out</v>
      </c>
      <c r="G1" s="6"/>
      <c r="AB1" s="6"/>
      <c r="AE1" s="6"/>
      <c r="AU1" s="6"/>
    </row>
    <row r="2" spans="1:50" ht="15" thickBot="1">
      <c r="A2" s="441"/>
      <c r="B2" s="745" t="s">
        <v>335</v>
      </c>
      <c r="C2" s="746" t="str">
        <f>_xlfn.XLOOKUP($A$1,'Development Program'!$A$28:$A$33,'Development Program'!$B$28:$B$33)</f>
        <v>1/1/2026 to 12/31/2030</v>
      </c>
      <c r="D2" s="746" t="str">
        <f>_xlfn.XLOOKUP($A$1,'Development Program'!$A$28:$A$33,'Development Program'!$C$28:$C$33)</f>
        <v>None</v>
      </c>
      <c r="E2" s="746" t="str">
        <f>_xlfn.XLOOKUP($A$1,'Development Program'!$A$28:$A$33,'Development Program'!$D$28:$D$33)</f>
        <v>1/1/2031 to 6/30/2032</v>
      </c>
      <c r="F2" s="849" t="str">
        <f>_xlfn.XLOOKUP($A$1,'Development Program'!$A$28:$A$33,'Development Program'!$E$28:$E$33)</f>
        <v>7/1/2032 to 6/30/2033</v>
      </c>
      <c r="G2" s="6"/>
      <c r="K2" s="266" t="s">
        <v>405</v>
      </c>
      <c r="P2" s="188"/>
      <c r="Q2" s="188"/>
      <c r="X2" s="188"/>
      <c r="Y2" s="188"/>
      <c r="AB2" s="188"/>
      <c r="AD2" s="266" t="s">
        <v>336</v>
      </c>
      <c r="AE2" s="266" t="s">
        <v>337</v>
      </c>
      <c r="AJ2" s="266" t="s">
        <v>394</v>
      </c>
      <c r="AK2" s="266" t="s">
        <v>395</v>
      </c>
      <c r="AN2" s="266" t="s">
        <v>396</v>
      </c>
      <c r="AU2" s="6"/>
      <c r="AV2" s="459" t="s">
        <v>341</v>
      </c>
      <c r="AW2" s="459"/>
      <c r="AX2" s="459"/>
    </row>
    <row r="3" spans="1:50" ht="15" thickBot="1">
      <c r="A3" s="442"/>
      <c r="B3" s="120" t="s">
        <v>188</v>
      </c>
      <c r="C3" s="186">
        <v>45292</v>
      </c>
      <c r="D3" s="187">
        <f>EOMONTH(C3,3)</f>
        <v>45412</v>
      </c>
      <c r="E3" s="187">
        <f t="shared" ref="E3:AU3" si="0">EOMONTH(D3,3)</f>
        <v>45504</v>
      </c>
      <c r="F3" s="187">
        <f t="shared" si="0"/>
        <v>45596</v>
      </c>
      <c r="G3" s="749">
        <f t="shared" si="0"/>
        <v>45688</v>
      </c>
      <c r="H3" s="749">
        <f t="shared" si="0"/>
        <v>45777</v>
      </c>
      <c r="I3" s="749">
        <f t="shared" si="0"/>
        <v>45869</v>
      </c>
      <c r="J3" s="749">
        <f t="shared" si="0"/>
        <v>45961</v>
      </c>
      <c r="K3" s="187">
        <f t="shared" si="0"/>
        <v>46053</v>
      </c>
      <c r="L3" s="749">
        <f t="shared" si="0"/>
        <v>46142</v>
      </c>
      <c r="M3" s="749">
        <f t="shared" si="0"/>
        <v>46234</v>
      </c>
      <c r="N3" s="749">
        <f t="shared" si="0"/>
        <v>46326</v>
      </c>
      <c r="O3" s="749">
        <f t="shared" si="0"/>
        <v>46418</v>
      </c>
      <c r="P3" s="749">
        <f t="shared" si="0"/>
        <v>46507</v>
      </c>
      <c r="Q3" s="749">
        <f t="shared" si="0"/>
        <v>46599</v>
      </c>
      <c r="R3" s="749">
        <f t="shared" si="0"/>
        <v>46691</v>
      </c>
      <c r="S3" s="749">
        <f t="shared" si="0"/>
        <v>46783</v>
      </c>
      <c r="T3" s="749">
        <f t="shared" si="0"/>
        <v>46873</v>
      </c>
      <c r="U3" s="749">
        <f t="shared" si="0"/>
        <v>46965</v>
      </c>
      <c r="V3" s="749">
        <f t="shared" si="0"/>
        <v>47057</v>
      </c>
      <c r="W3" s="749">
        <f t="shared" si="0"/>
        <v>47149</v>
      </c>
      <c r="X3" s="749">
        <f t="shared" si="0"/>
        <v>47238</v>
      </c>
      <c r="Y3" s="749">
        <f t="shared" si="0"/>
        <v>47330</v>
      </c>
      <c r="Z3" s="749">
        <f t="shared" si="0"/>
        <v>47422</v>
      </c>
      <c r="AA3" s="749">
        <f t="shared" si="0"/>
        <v>47514</v>
      </c>
      <c r="AB3" s="749">
        <f t="shared" si="0"/>
        <v>47603</v>
      </c>
      <c r="AC3" s="749">
        <f t="shared" si="0"/>
        <v>47695</v>
      </c>
      <c r="AD3" s="187">
        <f t="shared" si="0"/>
        <v>47787</v>
      </c>
      <c r="AE3" s="187">
        <f t="shared" si="0"/>
        <v>47879</v>
      </c>
      <c r="AF3" s="749">
        <f t="shared" si="0"/>
        <v>47968</v>
      </c>
      <c r="AG3" s="749">
        <f t="shared" si="0"/>
        <v>48060</v>
      </c>
      <c r="AH3" s="749">
        <f t="shared" si="0"/>
        <v>48152</v>
      </c>
      <c r="AI3" s="749">
        <f t="shared" si="0"/>
        <v>48244</v>
      </c>
      <c r="AJ3" s="187">
        <f t="shared" si="0"/>
        <v>48334</v>
      </c>
      <c r="AK3" s="187">
        <f t="shared" si="0"/>
        <v>48426</v>
      </c>
      <c r="AL3" s="749">
        <f t="shared" si="0"/>
        <v>48518</v>
      </c>
      <c r="AM3" s="749">
        <f t="shared" si="0"/>
        <v>48610</v>
      </c>
      <c r="AN3" s="187">
        <f t="shared" si="0"/>
        <v>48699</v>
      </c>
      <c r="AO3" s="749">
        <f t="shared" si="0"/>
        <v>48791</v>
      </c>
      <c r="AP3" s="749">
        <f t="shared" si="0"/>
        <v>48883</v>
      </c>
      <c r="AQ3" s="749">
        <f t="shared" si="0"/>
        <v>48975</v>
      </c>
      <c r="AR3" s="749">
        <f t="shared" si="0"/>
        <v>49064</v>
      </c>
      <c r="AS3" s="749">
        <f t="shared" si="0"/>
        <v>49156</v>
      </c>
      <c r="AT3" s="749">
        <f t="shared" si="0"/>
        <v>49248</v>
      </c>
      <c r="AU3" s="749">
        <f t="shared" si="0"/>
        <v>49340</v>
      </c>
      <c r="AV3" s="754" t="s">
        <v>342</v>
      </c>
      <c r="AW3" s="755" t="s">
        <v>343</v>
      </c>
      <c r="AX3" s="754"/>
    </row>
    <row r="4" spans="1:50" ht="15" thickBot="1">
      <c r="A4" s="756" t="s">
        <v>344</v>
      </c>
      <c r="B4" s="757">
        <v>1</v>
      </c>
      <c r="C4" s="213"/>
      <c r="D4" s="213"/>
      <c r="E4" s="213"/>
      <c r="F4" s="213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2"/>
      <c r="AC4" s="212"/>
      <c r="AD4" s="212"/>
      <c r="AE4" s="212">
        <v>0.15</v>
      </c>
      <c r="AF4" s="212">
        <v>0.2</v>
      </c>
      <c r="AG4" s="212">
        <v>0.2</v>
      </c>
      <c r="AH4" s="212">
        <v>0.2</v>
      </c>
      <c r="AI4" s="212">
        <v>0.15</v>
      </c>
      <c r="AJ4" s="212">
        <v>0.1</v>
      </c>
      <c r="AK4" s="212"/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758">
        <f t="shared" ref="AV4:AV26" si="1">SUM(C4:AU4)</f>
        <v>1</v>
      </c>
      <c r="AW4" s="759"/>
      <c r="AX4" s="760" t="s">
        <v>345</v>
      </c>
    </row>
    <row r="5" spans="1:50">
      <c r="A5" s="761" t="str">
        <f>'GH Financial'!A43</f>
        <v>Hard Costs for Construction</v>
      </c>
      <c r="B5" s="901">
        <f>'GH Financial'!C43</f>
        <v>1201842</v>
      </c>
      <c r="C5" s="763"/>
      <c r="D5" s="763"/>
      <c r="E5" s="763"/>
      <c r="F5" s="763"/>
      <c r="G5" s="763"/>
      <c r="H5" s="763"/>
      <c r="I5" s="763"/>
      <c r="J5" s="763"/>
      <c r="K5" s="763"/>
      <c r="L5" s="763"/>
      <c r="M5" s="763"/>
      <c r="N5" s="763"/>
      <c r="O5" s="763"/>
      <c r="P5" s="763"/>
      <c r="Q5" s="763"/>
      <c r="R5" s="763"/>
      <c r="S5" s="763"/>
      <c r="T5" s="763"/>
      <c r="U5" s="763"/>
      <c r="V5" s="763"/>
      <c r="W5" s="763"/>
      <c r="X5" s="763"/>
      <c r="Y5" s="763"/>
      <c r="Z5" s="763"/>
      <c r="AA5" s="763"/>
      <c r="AB5" s="763"/>
      <c r="AC5" s="763"/>
      <c r="AD5" s="763"/>
      <c r="AE5" s="763">
        <f>AE$4*$B5</f>
        <v>180276.3</v>
      </c>
      <c r="AF5" s="763">
        <f t="shared" ref="AF5:AJ19" si="2">AF$4*$B5</f>
        <v>240368.40000000002</v>
      </c>
      <c r="AG5" s="763">
        <f t="shared" si="2"/>
        <v>240368.40000000002</v>
      </c>
      <c r="AH5" s="763">
        <f t="shared" si="2"/>
        <v>240368.40000000002</v>
      </c>
      <c r="AI5" s="763">
        <f t="shared" si="2"/>
        <v>180276.3</v>
      </c>
      <c r="AJ5" s="763">
        <f t="shared" si="2"/>
        <v>120184.20000000001</v>
      </c>
      <c r="AK5" s="763"/>
      <c r="AL5" s="763"/>
      <c r="AM5" s="763"/>
      <c r="AN5" s="763"/>
      <c r="AO5" s="763"/>
      <c r="AP5" s="763"/>
      <c r="AQ5" s="763"/>
      <c r="AR5" s="763"/>
      <c r="AS5" s="763"/>
      <c r="AT5" s="763"/>
      <c r="AU5" s="763"/>
      <c r="AV5" s="764">
        <f t="shared" si="1"/>
        <v>1201842</v>
      </c>
      <c r="AW5" s="764">
        <f t="shared" ref="AW5:AW26" si="3">B5</f>
        <v>1201842</v>
      </c>
      <c r="AX5" s="946">
        <f>AW5-AV5</f>
        <v>0</v>
      </c>
    </row>
    <row r="6" spans="1:50">
      <c r="A6" s="761" t="str">
        <f>'GH Financial'!A44</f>
        <v>Parking stalls</v>
      </c>
      <c r="B6" s="901">
        <f>'GH Financial'!C44</f>
        <v>4806</v>
      </c>
      <c r="C6" s="763"/>
      <c r="D6" s="763"/>
      <c r="E6" s="763"/>
      <c r="F6" s="763"/>
      <c r="G6" s="763"/>
      <c r="H6" s="763"/>
      <c r="I6" s="763"/>
      <c r="J6" s="763"/>
      <c r="K6" s="763"/>
      <c r="L6" s="763"/>
      <c r="M6" s="763"/>
      <c r="N6" s="763"/>
      <c r="O6" s="763"/>
      <c r="P6" s="763"/>
      <c r="Q6" s="763"/>
      <c r="R6" s="763"/>
      <c r="S6" s="763"/>
      <c r="T6" s="763"/>
      <c r="U6" s="763"/>
      <c r="V6" s="763"/>
      <c r="W6" s="763"/>
      <c r="X6" s="763"/>
      <c r="Y6" s="763"/>
      <c r="Z6" s="763"/>
      <c r="AA6" s="763"/>
      <c r="AB6" s="763"/>
      <c r="AC6" s="763"/>
      <c r="AD6" s="763"/>
      <c r="AE6" s="763">
        <f t="shared" ref="AE6:AJ26" si="4">AE$4*$B6</f>
        <v>720.9</v>
      </c>
      <c r="AF6" s="763">
        <f t="shared" si="2"/>
        <v>961.2</v>
      </c>
      <c r="AG6" s="763">
        <f t="shared" si="2"/>
        <v>961.2</v>
      </c>
      <c r="AH6" s="763">
        <f t="shared" si="2"/>
        <v>961.2</v>
      </c>
      <c r="AI6" s="763">
        <f t="shared" si="2"/>
        <v>720.9</v>
      </c>
      <c r="AJ6" s="763">
        <f t="shared" si="2"/>
        <v>480.6</v>
      </c>
      <c r="AK6" s="763"/>
      <c r="AL6" s="763"/>
      <c r="AM6" s="763"/>
      <c r="AN6" s="763"/>
      <c r="AO6" s="763"/>
      <c r="AP6" s="763"/>
      <c r="AQ6" s="763"/>
      <c r="AR6" s="763"/>
      <c r="AS6" s="763"/>
      <c r="AT6" s="763"/>
      <c r="AU6" s="763"/>
      <c r="AV6" s="764">
        <f t="shared" si="1"/>
        <v>4806</v>
      </c>
      <c r="AW6" s="764">
        <f t="shared" si="3"/>
        <v>4806</v>
      </c>
      <c r="AX6" s="946">
        <f t="shared" ref="AX6:AX26" si="5">AW6-AV6</f>
        <v>0</v>
      </c>
    </row>
    <row r="7" spans="1:50">
      <c r="A7" s="761" t="str">
        <f>'GH Financial'!A45</f>
        <v>Hard Cost Contingency</v>
      </c>
      <c r="B7" s="901">
        <f>'GH Financial'!C45</f>
        <v>144221.04</v>
      </c>
      <c r="C7" s="763"/>
      <c r="D7" s="763"/>
      <c r="E7" s="763"/>
      <c r="F7" s="763"/>
      <c r="G7" s="763"/>
      <c r="H7" s="763"/>
      <c r="I7" s="763"/>
      <c r="J7" s="763"/>
      <c r="K7" s="763"/>
      <c r="L7" s="763"/>
      <c r="M7" s="763"/>
      <c r="N7" s="763"/>
      <c r="O7" s="763"/>
      <c r="P7" s="763"/>
      <c r="Q7" s="763"/>
      <c r="R7" s="763"/>
      <c r="S7" s="763"/>
      <c r="T7" s="763"/>
      <c r="U7" s="763"/>
      <c r="V7" s="763"/>
      <c r="W7" s="763"/>
      <c r="X7" s="763"/>
      <c r="Y7" s="763"/>
      <c r="Z7" s="763"/>
      <c r="AA7" s="763"/>
      <c r="AB7" s="763"/>
      <c r="AC7" s="763"/>
      <c r="AD7" s="763"/>
      <c r="AE7" s="763">
        <f t="shared" si="4"/>
        <v>21633.155999999999</v>
      </c>
      <c r="AF7" s="763">
        <f t="shared" si="2"/>
        <v>28844.208000000002</v>
      </c>
      <c r="AG7" s="763">
        <f t="shared" si="2"/>
        <v>28844.208000000002</v>
      </c>
      <c r="AH7" s="763">
        <f t="shared" si="2"/>
        <v>28844.208000000002</v>
      </c>
      <c r="AI7" s="763">
        <f t="shared" si="2"/>
        <v>21633.155999999999</v>
      </c>
      <c r="AJ7" s="763">
        <f t="shared" si="2"/>
        <v>14422.104000000001</v>
      </c>
      <c r="AK7" s="763"/>
      <c r="AL7" s="763"/>
      <c r="AM7" s="763"/>
      <c r="AN7" s="763"/>
      <c r="AO7" s="763"/>
      <c r="AP7" s="763"/>
      <c r="AQ7" s="763"/>
      <c r="AR7" s="763"/>
      <c r="AS7" s="763"/>
      <c r="AT7" s="763"/>
      <c r="AU7" s="763"/>
      <c r="AV7" s="764">
        <f t="shared" si="1"/>
        <v>144221.04</v>
      </c>
      <c r="AW7" s="764">
        <f t="shared" si="3"/>
        <v>144221.04</v>
      </c>
      <c r="AX7" s="946">
        <f t="shared" si="5"/>
        <v>0</v>
      </c>
    </row>
    <row r="8" spans="1:50">
      <c r="A8" s="761" t="str">
        <f>'GH Financial'!A46</f>
        <v>Demolition</v>
      </c>
      <c r="B8" s="901">
        <f>'GH Financial'!C46</f>
        <v>0</v>
      </c>
      <c r="C8" s="763"/>
      <c r="D8" s="763"/>
      <c r="E8" s="763"/>
      <c r="F8" s="763"/>
      <c r="G8" s="763"/>
      <c r="H8" s="763"/>
      <c r="I8" s="763"/>
      <c r="J8" s="763"/>
      <c r="K8" s="763"/>
      <c r="L8" s="763"/>
      <c r="M8" s="763"/>
      <c r="N8" s="763"/>
      <c r="O8" s="763"/>
      <c r="P8" s="763"/>
      <c r="Q8" s="763"/>
      <c r="R8" s="763"/>
      <c r="S8" s="763"/>
      <c r="T8" s="763"/>
      <c r="U8" s="763"/>
      <c r="V8" s="763"/>
      <c r="W8" s="763"/>
      <c r="X8" s="763"/>
      <c r="Y8" s="763"/>
      <c r="Z8" s="763"/>
      <c r="AA8" s="763"/>
      <c r="AB8" s="763"/>
      <c r="AC8" s="763"/>
      <c r="AD8" s="763"/>
      <c r="AE8" s="763"/>
      <c r="AF8" s="763"/>
      <c r="AG8" s="763"/>
      <c r="AH8" s="763"/>
      <c r="AI8" s="763"/>
      <c r="AJ8" s="763"/>
      <c r="AK8" s="763"/>
      <c r="AL8" s="763"/>
      <c r="AM8" s="763"/>
      <c r="AN8" s="763"/>
      <c r="AO8" s="763"/>
      <c r="AP8" s="763"/>
      <c r="AQ8" s="763"/>
      <c r="AR8" s="763"/>
      <c r="AS8" s="763"/>
      <c r="AT8" s="763"/>
      <c r="AU8" s="763"/>
      <c r="AV8" s="764">
        <f t="shared" si="1"/>
        <v>0</v>
      </c>
      <c r="AW8" s="764">
        <f t="shared" si="3"/>
        <v>0</v>
      </c>
      <c r="AX8" s="946">
        <f t="shared" si="5"/>
        <v>0</v>
      </c>
    </row>
    <row r="9" spans="1:50">
      <c r="A9" s="761" t="str">
        <f>'GH Financial'!A47</f>
        <v>LAND</v>
      </c>
      <c r="B9" s="901">
        <f>'GH Financial'!C47</f>
        <v>294057.12</v>
      </c>
      <c r="C9" s="767"/>
      <c r="D9" s="763"/>
      <c r="E9" s="763"/>
      <c r="F9" s="763"/>
      <c r="G9" s="766"/>
      <c r="H9" s="766"/>
      <c r="I9" s="766"/>
      <c r="J9" s="767"/>
      <c r="K9" s="763">
        <f>B9</f>
        <v>294057.12</v>
      </c>
      <c r="L9" s="763"/>
      <c r="M9" s="767"/>
      <c r="N9" s="763"/>
      <c r="O9" s="763"/>
      <c r="P9" s="763"/>
      <c r="Q9" s="767"/>
      <c r="R9" s="763"/>
      <c r="S9" s="763"/>
      <c r="T9" s="763"/>
      <c r="U9" s="763"/>
      <c r="V9" s="763"/>
      <c r="W9" s="763"/>
      <c r="X9" s="763"/>
      <c r="Y9" s="763"/>
      <c r="Z9" s="763"/>
      <c r="AA9" s="763"/>
      <c r="AB9" s="763"/>
      <c r="AC9" s="765"/>
      <c r="AD9" s="765"/>
      <c r="AE9" s="763"/>
      <c r="AF9" s="763"/>
      <c r="AG9" s="763"/>
      <c r="AH9" s="763"/>
      <c r="AI9" s="763"/>
      <c r="AJ9" s="763"/>
      <c r="AK9" s="853"/>
      <c r="AL9" s="853"/>
      <c r="AM9" s="853"/>
      <c r="AN9" s="853"/>
      <c r="AO9" s="853"/>
      <c r="AP9" s="853"/>
      <c r="AQ9" s="853"/>
      <c r="AR9" s="853"/>
      <c r="AS9" s="853"/>
      <c r="AT9" s="853"/>
      <c r="AU9" s="853"/>
      <c r="AV9" s="764">
        <f t="shared" si="1"/>
        <v>294057.12</v>
      </c>
      <c r="AW9" s="764">
        <f t="shared" si="3"/>
        <v>294057.12</v>
      </c>
      <c r="AX9" s="946">
        <f t="shared" si="5"/>
        <v>0</v>
      </c>
    </row>
    <row r="10" spans="1:50">
      <c r="A10" s="761" t="str">
        <f>'GH Financial'!A48</f>
        <v>Stormwater Utility Fee</v>
      </c>
      <c r="B10" s="901">
        <f>'GH Financial'!C48</f>
        <v>139.32</v>
      </c>
      <c r="C10" s="767"/>
      <c r="D10" s="763"/>
      <c r="E10" s="763"/>
      <c r="F10" s="763"/>
      <c r="G10" s="766"/>
      <c r="H10" s="766"/>
      <c r="I10" s="766"/>
      <c r="J10" s="767"/>
      <c r="K10" s="763"/>
      <c r="L10" s="763"/>
      <c r="M10" s="767"/>
      <c r="N10" s="763"/>
      <c r="O10" s="763"/>
      <c r="P10" s="763"/>
      <c r="Q10" s="767"/>
      <c r="R10" s="763"/>
      <c r="S10" s="763"/>
      <c r="T10" s="763"/>
      <c r="U10" s="763"/>
      <c r="V10" s="763"/>
      <c r="W10" s="763"/>
      <c r="X10" s="763"/>
      <c r="Y10" s="763"/>
      <c r="Z10" s="763"/>
      <c r="AA10" s="763"/>
      <c r="AB10" s="763"/>
      <c r="AC10" s="765"/>
      <c r="AD10" s="765"/>
      <c r="AE10" s="763">
        <f>B10</f>
        <v>139.32</v>
      </c>
      <c r="AF10" s="763"/>
      <c r="AG10" s="763"/>
      <c r="AH10" s="763"/>
      <c r="AI10" s="763"/>
      <c r="AJ10" s="763"/>
      <c r="AK10" s="853"/>
      <c r="AL10" s="853"/>
      <c r="AM10" s="853"/>
      <c r="AN10" s="853"/>
      <c r="AO10" s="853"/>
      <c r="AP10" s="853"/>
      <c r="AQ10" s="853"/>
      <c r="AR10" s="853"/>
      <c r="AS10" s="853"/>
      <c r="AT10" s="853"/>
      <c r="AU10" s="853"/>
      <c r="AV10" s="764">
        <f t="shared" si="1"/>
        <v>139.32</v>
      </c>
      <c r="AW10" s="764">
        <f t="shared" si="3"/>
        <v>139.32</v>
      </c>
      <c r="AX10" s="946">
        <f t="shared" si="5"/>
        <v>0</v>
      </c>
    </row>
    <row r="11" spans="1:50">
      <c r="A11" s="761" t="str">
        <f>'GH Financial'!A49</f>
        <v>Municipal Fees and Allowances</v>
      </c>
      <c r="B11" s="901">
        <f>'GH Financial'!C49</f>
        <v>3905.0259999999998</v>
      </c>
      <c r="C11" s="767"/>
      <c r="D11" s="763"/>
      <c r="E11" s="763"/>
      <c r="F11" s="763"/>
      <c r="G11" s="763"/>
      <c r="H11" s="766"/>
      <c r="I11" s="763"/>
      <c r="J11" s="763"/>
      <c r="K11" s="763"/>
      <c r="L11" s="763"/>
      <c r="M11" s="763"/>
      <c r="N11" s="763"/>
      <c r="O11" s="763"/>
      <c r="P11" s="763"/>
      <c r="Q11" s="763"/>
      <c r="R11" s="765"/>
      <c r="S11" s="853"/>
      <c r="T11" s="765"/>
      <c r="U11" s="765"/>
      <c r="V11" s="765"/>
      <c r="W11" s="765"/>
      <c r="X11" s="765"/>
      <c r="Y11" s="765"/>
      <c r="Z11" s="765"/>
      <c r="AA11" s="765"/>
      <c r="AB11" s="765"/>
      <c r="AC11" s="765"/>
      <c r="AD11" s="765"/>
      <c r="AE11" s="763">
        <f t="shared" si="4"/>
        <v>585.75389999999993</v>
      </c>
      <c r="AF11" s="763">
        <f t="shared" si="2"/>
        <v>781.00520000000006</v>
      </c>
      <c r="AG11" s="763">
        <f t="shared" si="2"/>
        <v>781.00520000000006</v>
      </c>
      <c r="AH11" s="763">
        <f t="shared" si="2"/>
        <v>781.00520000000006</v>
      </c>
      <c r="AI11" s="763">
        <f t="shared" si="2"/>
        <v>585.75389999999993</v>
      </c>
      <c r="AJ11" s="763">
        <f t="shared" si="2"/>
        <v>390.50260000000003</v>
      </c>
      <c r="AK11" s="853"/>
      <c r="AL11" s="853"/>
      <c r="AM11" s="853"/>
      <c r="AN11" s="853"/>
      <c r="AO11" s="853"/>
      <c r="AP11" s="853"/>
      <c r="AQ11" s="853"/>
      <c r="AR11" s="853"/>
      <c r="AS11" s="853"/>
      <c r="AT11" s="853"/>
      <c r="AU11" s="853"/>
      <c r="AV11" s="764">
        <f t="shared" si="1"/>
        <v>3905.0259999999998</v>
      </c>
      <c r="AW11" s="764">
        <f t="shared" si="3"/>
        <v>3905.0259999999998</v>
      </c>
      <c r="AX11" s="946">
        <f t="shared" si="5"/>
        <v>0</v>
      </c>
    </row>
    <row r="12" spans="1:50">
      <c r="A12" s="761" t="str">
        <f>'GH Financial'!A50</f>
        <v>Infrastructure allocation</v>
      </c>
      <c r="B12" s="901">
        <f>'GH Financial'!C50</f>
        <v>1276355.8500000001</v>
      </c>
      <c r="C12" s="767"/>
      <c r="D12" s="763"/>
      <c r="E12" s="763"/>
      <c r="F12" s="763"/>
      <c r="G12" s="763"/>
      <c r="H12" s="763"/>
      <c r="I12" s="763"/>
      <c r="J12" s="763"/>
      <c r="K12" s="763"/>
      <c r="L12" s="763"/>
      <c r="M12" s="763"/>
      <c r="N12" s="763"/>
      <c r="O12" s="763"/>
      <c r="P12" s="763"/>
      <c r="Q12" s="763"/>
      <c r="R12" s="765"/>
      <c r="S12" s="215"/>
      <c r="T12" s="765"/>
      <c r="U12" s="765"/>
      <c r="V12" s="765"/>
      <c r="W12" s="765"/>
      <c r="X12" s="765"/>
      <c r="Y12" s="765"/>
      <c r="Z12" s="765"/>
      <c r="AA12" s="765"/>
      <c r="AB12" s="765"/>
      <c r="AC12" s="765"/>
      <c r="AD12" s="765"/>
      <c r="AE12" s="763">
        <f t="shared" si="4"/>
        <v>191453.3775</v>
      </c>
      <c r="AF12" s="763">
        <f t="shared" si="2"/>
        <v>255271.17000000004</v>
      </c>
      <c r="AG12" s="763">
        <f t="shared" si="2"/>
        <v>255271.17000000004</v>
      </c>
      <c r="AH12" s="763">
        <f t="shared" si="2"/>
        <v>255271.17000000004</v>
      </c>
      <c r="AI12" s="763">
        <f t="shared" si="2"/>
        <v>191453.3775</v>
      </c>
      <c r="AJ12" s="763">
        <f t="shared" si="2"/>
        <v>127635.58500000002</v>
      </c>
      <c r="AK12" s="853"/>
      <c r="AL12" s="853"/>
      <c r="AM12" s="853"/>
      <c r="AN12" s="853"/>
      <c r="AO12" s="853"/>
      <c r="AP12" s="853"/>
      <c r="AQ12" s="853"/>
      <c r="AR12" s="853"/>
      <c r="AS12" s="853"/>
      <c r="AT12" s="853"/>
      <c r="AU12" s="853"/>
      <c r="AV12" s="764">
        <f t="shared" si="1"/>
        <v>1276355.8500000001</v>
      </c>
      <c r="AW12" s="764">
        <f t="shared" si="3"/>
        <v>1276355.8500000001</v>
      </c>
      <c r="AX12" s="946">
        <f t="shared" si="5"/>
        <v>0</v>
      </c>
    </row>
    <row r="13" spans="1:50">
      <c r="A13" s="761" t="str">
        <f>'GH Financial'!A51</f>
        <v>Legal</v>
      </c>
      <c r="B13" s="901">
        <f>'GH Financial'!C51</f>
        <v>9013.8150000000005</v>
      </c>
      <c r="C13" s="767"/>
      <c r="D13" s="767"/>
      <c r="E13" s="767"/>
      <c r="F13" s="767"/>
      <c r="G13" s="767"/>
      <c r="H13" s="767"/>
      <c r="I13" s="767"/>
      <c r="J13" s="767"/>
      <c r="K13" s="767"/>
      <c r="L13" s="767"/>
      <c r="M13" s="767"/>
      <c r="N13" s="767"/>
      <c r="O13" s="767"/>
      <c r="P13" s="767"/>
      <c r="Q13" s="763"/>
      <c r="R13" s="765"/>
      <c r="S13" s="765"/>
      <c r="T13" s="765"/>
      <c r="U13" s="765"/>
      <c r="V13" s="765"/>
      <c r="W13" s="765"/>
      <c r="X13" s="765"/>
      <c r="Y13" s="765"/>
      <c r="Z13" s="765"/>
      <c r="AA13" s="765"/>
      <c r="AB13" s="765"/>
      <c r="AC13" s="765"/>
      <c r="AD13" s="765"/>
      <c r="AE13" s="763">
        <f t="shared" si="4"/>
        <v>1352.0722499999999</v>
      </c>
      <c r="AF13" s="763">
        <f t="shared" si="2"/>
        <v>1802.7630000000001</v>
      </c>
      <c r="AG13" s="763">
        <f t="shared" si="2"/>
        <v>1802.7630000000001</v>
      </c>
      <c r="AH13" s="763">
        <f t="shared" si="2"/>
        <v>1802.7630000000001</v>
      </c>
      <c r="AI13" s="763">
        <f t="shared" si="2"/>
        <v>1352.0722499999999</v>
      </c>
      <c r="AJ13" s="763">
        <f t="shared" si="2"/>
        <v>901.38150000000007</v>
      </c>
      <c r="AK13" s="765"/>
      <c r="AL13" s="765"/>
      <c r="AM13" s="765"/>
      <c r="AN13" s="765"/>
      <c r="AO13" s="765"/>
      <c r="AP13" s="765"/>
      <c r="AQ13" s="765"/>
      <c r="AR13" s="765"/>
      <c r="AS13" s="765"/>
      <c r="AT13" s="765"/>
      <c r="AU13" s="765"/>
      <c r="AV13" s="764">
        <f t="shared" si="1"/>
        <v>9013.8150000000005</v>
      </c>
      <c r="AW13" s="764">
        <f t="shared" si="3"/>
        <v>9013.8150000000005</v>
      </c>
      <c r="AX13" s="946">
        <f t="shared" si="5"/>
        <v>0</v>
      </c>
    </row>
    <row r="14" spans="1:50">
      <c r="A14" s="761" t="str">
        <f>'GH Financial'!A52</f>
        <v>Land Closing Costs/commissions</v>
      </c>
      <c r="B14" s="901">
        <f>'GH Financial'!C52</f>
        <v>4410.8567999999996</v>
      </c>
      <c r="C14" s="767"/>
      <c r="D14" s="763"/>
      <c r="E14" s="763"/>
      <c r="F14" s="763"/>
      <c r="G14" s="214"/>
      <c r="H14" s="763"/>
      <c r="I14" s="214"/>
      <c r="J14" s="763"/>
      <c r="K14" s="763">
        <f>B14</f>
        <v>4410.8567999999996</v>
      </c>
      <c r="L14" s="763"/>
      <c r="M14" s="214"/>
      <c r="N14" s="763"/>
      <c r="O14" s="763"/>
      <c r="P14" s="763"/>
      <c r="Q14" s="763"/>
      <c r="R14" s="763"/>
      <c r="S14" s="763"/>
      <c r="T14" s="763"/>
      <c r="U14" s="763"/>
      <c r="V14" s="763"/>
      <c r="W14" s="763"/>
      <c r="X14" s="763"/>
      <c r="Y14" s="763"/>
      <c r="Z14" s="763"/>
      <c r="AA14" s="763"/>
      <c r="AB14" s="763"/>
      <c r="AC14" s="763"/>
      <c r="AD14" s="763"/>
      <c r="AE14" s="763"/>
      <c r="AF14" s="763"/>
      <c r="AG14" s="763"/>
      <c r="AH14" s="763"/>
      <c r="AI14" s="763"/>
      <c r="AJ14" s="763"/>
      <c r="AK14" s="766"/>
      <c r="AL14" s="766"/>
      <c r="AM14" s="766"/>
      <c r="AN14" s="766"/>
      <c r="AO14" s="766"/>
      <c r="AP14" s="766"/>
      <c r="AQ14" s="766"/>
      <c r="AR14" s="766"/>
      <c r="AS14" s="766"/>
      <c r="AT14" s="766"/>
      <c r="AU14" s="766"/>
      <c r="AV14" s="764">
        <f t="shared" si="1"/>
        <v>4410.8567999999996</v>
      </c>
      <c r="AW14" s="764">
        <f t="shared" si="3"/>
        <v>4410.8567999999996</v>
      </c>
      <c r="AX14" s="946">
        <f t="shared" si="5"/>
        <v>0</v>
      </c>
    </row>
    <row r="15" spans="1:50">
      <c r="A15" s="761" t="str">
        <f>'GH Financial'!A53</f>
        <v xml:space="preserve">Design </v>
      </c>
      <c r="B15" s="901">
        <f>'GH Financial'!C53</f>
        <v>53842.5216</v>
      </c>
      <c r="C15" s="763"/>
      <c r="D15" s="763"/>
      <c r="E15" s="763"/>
      <c r="F15" s="763"/>
      <c r="G15" s="763"/>
      <c r="H15" s="763"/>
      <c r="I15" s="763"/>
      <c r="J15" s="763"/>
      <c r="K15" s="763">
        <f>$B$15*0.05</f>
        <v>2692.12608</v>
      </c>
      <c r="L15" s="763">
        <f t="shared" ref="L15:AD15" si="6">$B$15*0.05</f>
        <v>2692.12608</v>
      </c>
      <c r="M15" s="763">
        <f t="shared" si="6"/>
        <v>2692.12608</v>
      </c>
      <c r="N15" s="763">
        <f t="shared" si="6"/>
        <v>2692.12608</v>
      </c>
      <c r="O15" s="763">
        <f t="shared" si="6"/>
        <v>2692.12608</v>
      </c>
      <c r="P15" s="763">
        <f t="shared" si="6"/>
        <v>2692.12608</v>
      </c>
      <c r="Q15" s="763">
        <f t="shared" si="6"/>
        <v>2692.12608</v>
      </c>
      <c r="R15" s="763">
        <f t="shared" si="6"/>
        <v>2692.12608</v>
      </c>
      <c r="S15" s="763">
        <f t="shared" si="6"/>
        <v>2692.12608</v>
      </c>
      <c r="T15" s="763">
        <f t="shared" si="6"/>
        <v>2692.12608</v>
      </c>
      <c r="U15" s="763">
        <f t="shared" si="6"/>
        <v>2692.12608</v>
      </c>
      <c r="V15" s="763">
        <f t="shared" si="6"/>
        <v>2692.12608</v>
      </c>
      <c r="W15" s="763">
        <f t="shared" si="6"/>
        <v>2692.12608</v>
      </c>
      <c r="X15" s="763">
        <f t="shared" si="6"/>
        <v>2692.12608</v>
      </c>
      <c r="Y15" s="763">
        <f t="shared" si="6"/>
        <v>2692.12608</v>
      </c>
      <c r="Z15" s="763">
        <f t="shared" si="6"/>
        <v>2692.12608</v>
      </c>
      <c r="AA15" s="763">
        <f t="shared" si="6"/>
        <v>2692.12608</v>
      </c>
      <c r="AB15" s="763">
        <f t="shared" si="6"/>
        <v>2692.12608</v>
      </c>
      <c r="AC15" s="763">
        <f t="shared" si="6"/>
        <v>2692.12608</v>
      </c>
      <c r="AD15" s="763">
        <f t="shared" si="6"/>
        <v>2692.12608</v>
      </c>
      <c r="AE15" s="763"/>
      <c r="AF15" s="763"/>
      <c r="AG15" s="763"/>
      <c r="AH15" s="763"/>
      <c r="AI15" s="763"/>
      <c r="AJ15" s="763"/>
      <c r="AK15" s="763"/>
      <c r="AL15" s="763"/>
      <c r="AM15" s="763"/>
      <c r="AN15" s="763"/>
      <c r="AO15" s="763"/>
      <c r="AP15" s="763"/>
      <c r="AQ15" s="763"/>
      <c r="AR15" s="763"/>
      <c r="AS15" s="763"/>
      <c r="AT15" s="763"/>
      <c r="AU15" s="763"/>
      <c r="AV15" s="764">
        <f t="shared" si="1"/>
        <v>53842.521600000022</v>
      </c>
      <c r="AW15" s="764">
        <f t="shared" si="3"/>
        <v>53842.5216</v>
      </c>
      <c r="AX15" s="946">
        <f t="shared" si="5"/>
        <v>0</v>
      </c>
    </row>
    <row r="16" spans="1:50">
      <c r="A16" s="761" t="str">
        <f>'GH Financial'!A54</f>
        <v>Developer Fee</v>
      </c>
      <c r="B16" s="901">
        <f>'GH Financial'!C54</f>
        <v>89777.806482000015</v>
      </c>
      <c r="C16" s="763"/>
      <c r="D16" s="763"/>
      <c r="E16" s="763"/>
      <c r="F16" s="763"/>
      <c r="G16" s="763"/>
      <c r="H16" s="763"/>
      <c r="I16" s="763"/>
      <c r="J16" s="763"/>
      <c r="K16" s="763"/>
      <c r="L16" s="763"/>
      <c r="M16" s="763"/>
      <c r="N16" s="763"/>
      <c r="O16" s="763"/>
      <c r="P16" s="763"/>
      <c r="Q16" s="763"/>
      <c r="R16" s="763"/>
      <c r="S16" s="763"/>
      <c r="T16" s="763"/>
      <c r="U16" s="763"/>
      <c r="V16" s="763"/>
      <c r="W16" s="763"/>
      <c r="X16" s="763"/>
      <c r="Y16" s="763"/>
      <c r="Z16" s="763"/>
      <c r="AA16" s="763"/>
      <c r="AB16" s="763"/>
      <c r="AC16" s="763"/>
      <c r="AD16" s="763"/>
      <c r="AE16" s="763">
        <f t="shared" si="4"/>
        <v>13466.670972300002</v>
      </c>
      <c r="AF16" s="763">
        <f t="shared" si="2"/>
        <v>17955.561296400003</v>
      </c>
      <c r="AG16" s="763">
        <f t="shared" si="2"/>
        <v>17955.561296400003</v>
      </c>
      <c r="AH16" s="763">
        <f t="shared" si="2"/>
        <v>17955.561296400003</v>
      </c>
      <c r="AI16" s="763">
        <f t="shared" si="2"/>
        <v>13466.670972300002</v>
      </c>
      <c r="AJ16" s="763">
        <f t="shared" si="2"/>
        <v>8977.7806482000015</v>
      </c>
      <c r="AK16" s="763"/>
      <c r="AL16" s="763"/>
      <c r="AM16" s="763"/>
      <c r="AN16" s="763"/>
      <c r="AO16" s="763"/>
      <c r="AP16" s="763"/>
      <c r="AQ16" s="763"/>
      <c r="AR16" s="763"/>
      <c r="AS16" s="763"/>
      <c r="AT16" s="763"/>
      <c r="AU16" s="763"/>
      <c r="AV16" s="764">
        <f t="shared" si="1"/>
        <v>89777.806482</v>
      </c>
      <c r="AW16" s="764">
        <f t="shared" si="3"/>
        <v>89777.806482000015</v>
      </c>
      <c r="AX16" s="946">
        <f t="shared" si="5"/>
        <v>0</v>
      </c>
    </row>
    <row r="17" spans="1:50">
      <c r="A17" s="761" t="str">
        <f>'GH Financial'!A55</f>
        <v>Construction Management Fee</v>
      </c>
      <c r="B17" s="901">
        <f>'GH Financial'!C55</f>
        <v>26921.2608</v>
      </c>
      <c r="C17" s="763"/>
      <c r="D17" s="763"/>
      <c r="E17" s="763"/>
      <c r="F17" s="763"/>
      <c r="G17" s="763"/>
      <c r="H17" s="763"/>
      <c r="I17" s="763"/>
      <c r="J17" s="763"/>
      <c r="K17" s="763"/>
      <c r="L17" s="763"/>
      <c r="M17" s="763"/>
      <c r="N17" s="763"/>
      <c r="O17" s="763"/>
      <c r="P17" s="763"/>
      <c r="Q17" s="763"/>
      <c r="R17" s="763"/>
      <c r="S17" s="763"/>
      <c r="T17" s="763"/>
      <c r="U17" s="763"/>
      <c r="V17" s="763"/>
      <c r="W17" s="763"/>
      <c r="X17" s="763"/>
      <c r="Y17" s="763"/>
      <c r="Z17" s="763"/>
      <c r="AA17" s="763"/>
      <c r="AB17" s="763"/>
      <c r="AC17" s="763"/>
      <c r="AD17" s="763"/>
      <c r="AE17" s="763">
        <f t="shared" si="4"/>
        <v>4038.18912</v>
      </c>
      <c r="AF17" s="763">
        <f t="shared" si="2"/>
        <v>5384.25216</v>
      </c>
      <c r="AG17" s="763">
        <f t="shared" si="2"/>
        <v>5384.25216</v>
      </c>
      <c r="AH17" s="763">
        <f t="shared" si="2"/>
        <v>5384.25216</v>
      </c>
      <c r="AI17" s="763">
        <f t="shared" si="2"/>
        <v>4038.18912</v>
      </c>
      <c r="AJ17" s="763">
        <f t="shared" si="2"/>
        <v>2692.12608</v>
      </c>
      <c r="AK17" s="763"/>
      <c r="AL17" s="763"/>
      <c r="AM17" s="763"/>
      <c r="AN17" s="763"/>
      <c r="AO17" s="763"/>
      <c r="AP17" s="763"/>
      <c r="AQ17" s="763"/>
      <c r="AR17" s="763"/>
      <c r="AS17" s="763"/>
      <c r="AT17" s="763"/>
      <c r="AU17" s="763"/>
      <c r="AV17" s="764">
        <f t="shared" si="1"/>
        <v>26921.260799999996</v>
      </c>
      <c r="AW17" s="764">
        <f t="shared" si="3"/>
        <v>26921.2608</v>
      </c>
      <c r="AX17" s="946">
        <f t="shared" si="5"/>
        <v>0</v>
      </c>
    </row>
    <row r="18" spans="1:50">
      <c r="A18" s="761" t="str">
        <f>'GH Financial'!A56</f>
        <v>Taxes</v>
      </c>
      <c r="B18" s="901">
        <f>'GH Financial'!C56</f>
        <v>17643.427199999998</v>
      </c>
      <c r="C18" s="767"/>
      <c r="D18" s="763"/>
      <c r="E18" s="763"/>
      <c r="F18" s="763"/>
      <c r="G18" s="766"/>
      <c r="H18" s="763"/>
      <c r="I18" s="763"/>
      <c r="J18" s="763"/>
      <c r="K18" s="763"/>
      <c r="L18" s="214"/>
      <c r="M18" s="763"/>
      <c r="N18" s="763"/>
      <c r="O18" s="763"/>
      <c r="P18" s="763"/>
      <c r="Q18" s="214"/>
      <c r="R18" s="763"/>
      <c r="S18" s="214"/>
      <c r="T18" s="763"/>
      <c r="U18" s="763"/>
      <c r="V18" s="763"/>
      <c r="W18" s="763"/>
      <c r="X18" s="214"/>
      <c r="Y18" s="763"/>
      <c r="Z18" s="763"/>
      <c r="AA18" s="763"/>
      <c r="AB18" s="763"/>
      <c r="AC18" s="763"/>
      <c r="AD18" s="763"/>
      <c r="AE18" s="763">
        <f t="shared" si="4"/>
        <v>2646.5140799999995</v>
      </c>
      <c r="AF18" s="763">
        <f t="shared" si="2"/>
        <v>3528.6854399999997</v>
      </c>
      <c r="AG18" s="763">
        <f t="shared" si="2"/>
        <v>3528.6854399999997</v>
      </c>
      <c r="AH18" s="763">
        <f t="shared" si="2"/>
        <v>3528.6854399999997</v>
      </c>
      <c r="AI18" s="763">
        <f t="shared" si="2"/>
        <v>2646.5140799999995</v>
      </c>
      <c r="AJ18" s="763">
        <f t="shared" si="2"/>
        <v>1764.3427199999999</v>
      </c>
      <c r="AK18" s="225"/>
      <c r="AL18" s="225"/>
      <c r="AM18" s="225"/>
      <c r="AN18" s="225"/>
      <c r="AO18" s="225"/>
      <c r="AP18" s="225"/>
      <c r="AQ18" s="225"/>
      <c r="AR18" s="225"/>
      <c r="AS18" s="214"/>
      <c r="AT18" s="763"/>
      <c r="AU18" s="766"/>
      <c r="AV18" s="764">
        <f t="shared" si="1"/>
        <v>17643.427199999998</v>
      </c>
      <c r="AW18" s="764">
        <f t="shared" si="3"/>
        <v>17643.427199999998</v>
      </c>
      <c r="AX18" s="946">
        <f t="shared" si="5"/>
        <v>0</v>
      </c>
    </row>
    <row r="19" spans="1:50">
      <c r="A19" s="761" t="str">
        <f>'GH Financial'!A57</f>
        <v>Insurance</v>
      </c>
      <c r="B19" s="901">
        <f>'GH Financial'!C57</f>
        <v>3756.3694228488962</v>
      </c>
      <c r="C19" s="767"/>
      <c r="D19" s="763"/>
      <c r="E19" s="763"/>
      <c r="F19" s="763"/>
      <c r="G19" s="763"/>
      <c r="H19" s="763"/>
      <c r="I19" s="763"/>
      <c r="J19" s="763"/>
      <c r="K19" s="763"/>
      <c r="L19" s="767"/>
      <c r="M19" s="763"/>
      <c r="N19" s="763"/>
      <c r="O19" s="763"/>
      <c r="P19" s="763"/>
      <c r="Q19" s="763"/>
      <c r="R19" s="763"/>
      <c r="S19" s="763"/>
      <c r="T19" s="214"/>
      <c r="U19" s="763"/>
      <c r="V19" s="763"/>
      <c r="W19" s="763"/>
      <c r="X19" s="763"/>
      <c r="Y19" s="763"/>
      <c r="Z19" s="763"/>
      <c r="AA19" s="763"/>
      <c r="AB19" s="763"/>
      <c r="AC19" s="763"/>
      <c r="AD19" s="763"/>
      <c r="AE19" s="763">
        <f t="shared" si="4"/>
        <v>563.45541342733441</v>
      </c>
      <c r="AF19" s="763">
        <f t="shared" si="2"/>
        <v>751.27388456977928</v>
      </c>
      <c r="AG19" s="763">
        <f t="shared" si="2"/>
        <v>751.27388456977928</v>
      </c>
      <c r="AH19" s="763">
        <f t="shared" si="2"/>
        <v>751.27388456977928</v>
      </c>
      <c r="AI19" s="763">
        <f t="shared" si="2"/>
        <v>563.45541342733441</v>
      </c>
      <c r="AJ19" s="763">
        <f t="shared" si="2"/>
        <v>375.63694228488964</v>
      </c>
      <c r="AK19" s="863"/>
      <c r="AL19" s="863"/>
      <c r="AM19" s="863"/>
      <c r="AN19" s="863"/>
      <c r="AO19" s="863"/>
      <c r="AP19" s="863"/>
      <c r="AQ19" s="863"/>
      <c r="AR19" s="863"/>
      <c r="AS19" s="763"/>
      <c r="AT19" s="763"/>
      <c r="AU19" s="763"/>
      <c r="AV19" s="764">
        <f t="shared" si="1"/>
        <v>3756.3694228488966</v>
      </c>
      <c r="AW19" s="764">
        <f t="shared" si="3"/>
        <v>3756.3694228488962</v>
      </c>
      <c r="AX19" s="946">
        <f t="shared" si="5"/>
        <v>0</v>
      </c>
    </row>
    <row r="20" spans="1:50">
      <c r="A20" s="761" t="str">
        <f>'GH Financial'!A58</f>
        <v>Marketing, FFE and Preleasing</v>
      </c>
      <c r="B20" s="901">
        <f>'GH Financial'!C58</f>
        <v>500000</v>
      </c>
      <c r="C20" s="767"/>
      <c r="D20" s="763"/>
      <c r="E20" s="763"/>
      <c r="F20" s="763"/>
      <c r="G20" s="763"/>
      <c r="H20" s="763"/>
      <c r="I20" s="763"/>
      <c r="J20" s="763"/>
      <c r="K20" s="763"/>
      <c r="L20" s="763"/>
      <c r="M20" s="763"/>
      <c r="N20" s="763"/>
      <c r="O20" s="763"/>
      <c r="P20" s="763"/>
      <c r="Q20" s="763"/>
      <c r="R20" s="763"/>
      <c r="S20" s="763"/>
      <c r="T20" s="763"/>
      <c r="U20" s="763"/>
      <c r="V20" s="763"/>
      <c r="W20" s="763"/>
      <c r="X20" s="763"/>
      <c r="Y20" s="863"/>
      <c r="Z20" s="863"/>
      <c r="AA20" s="863"/>
      <c r="AB20" s="766"/>
      <c r="AC20" s="766"/>
      <c r="AD20" s="766"/>
      <c r="AE20" s="763"/>
      <c r="AF20" s="763"/>
      <c r="AG20" s="763"/>
      <c r="AH20" s="763"/>
      <c r="AI20" s="763"/>
      <c r="AJ20" s="763"/>
      <c r="AK20" s="221">
        <f>$B$20*0.25</f>
        <v>125000</v>
      </c>
      <c r="AL20" s="221">
        <f t="shared" ref="AL20:AN20" si="7">$B$20*0.25</f>
        <v>125000</v>
      </c>
      <c r="AM20" s="221">
        <f t="shared" si="7"/>
        <v>125000</v>
      </c>
      <c r="AN20" s="221">
        <f t="shared" si="7"/>
        <v>125000</v>
      </c>
      <c r="AO20" s="221"/>
      <c r="AP20" s="221"/>
      <c r="AQ20" s="221"/>
      <c r="AR20" s="221"/>
      <c r="AS20" s="214"/>
      <c r="AT20" s="214"/>
      <c r="AU20" s="863"/>
      <c r="AV20" s="764">
        <f t="shared" si="1"/>
        <v>500000</v>
      </c>
      <c r="AW20" s="764">
        <f t="shared" si="3"/>
        <v>500000</v>
      </c>
      <c r="AX20" s="946">
        <f t="shared" si="5"/>
        <v>0</v>
      </c>
    </row>
    <row r="21" spans="1:50">
      <c r="A21" s="761" t="str">
        <f>'GH Financial'!A59</f>
        <v>Operating Deficit</v>
      </c>
      <c r="B21" s="901">
        <f>'GH Financial'!C59</f>
        <v>75883.499999999985</v>
      </c>
      <c r="C21" s="767"/>
      <c r="D21" s="763"/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6"/>
      <c r="AD21" s="766"/>
      <c r="AE21" s="763"/>
      <c r="AF21" s="763"/>
      <c r="AG21" s="763"/>
      <c r="AH21" s="763"/>
      <c r="AI21" s="763"/>
      <c r="AJ21" s="763"/>
      <c r="AK21" s="767">
        <f>$B$21*0.25</f>
        <v>18970.874999999996</v>
      </c>
      <c r="AL21" s="767">
        <f t="shared" ref="AL21:AN21" si="8">$B$21*0.25</f>
        <v>18970.874999999996</v>
      </c>
      <c r="AM21" s="767">
        <f t="shared" si="8"/>
        <v>18970.874999999996</v>
      </c>
      <c r="AN21" s="767">
        <f t="shared" si="8"/>
        <v>18970.874999999996</v>
      </c>
      <c r="AO21" s="767"/>
      <c r="AP21" s="767"/>
      <c r="AQ21" s="767"/>
      <c r="AR21" s="767"/>
      <c r="AS21" s="863"/>
      <c r="AT21" s="954"/>
      <c r="AU21" s="954"/>
      <c r="AV21" s="764">
        <f t="shared" si="1"/>
        <v>75883.499999999985</v>
      </c>
      <c r="AW21" s="764">
        <f t="shared" si="3"/>
        <v>75883.499999999985</v>
      </c>
      <c r="AX21" s="946">
        <f t="shared" si="5"/>
        <v>0</v>
      </c>
    </row>
    <row r="22" spans="1:50">
      <c r="A22" s="761" t="str">
        <f>'GH Financial'!A60</f>
        <v>Retail Tenant Improvements</v>
      </c>
      <c r="B22" s="901">
        <f>'GH Financial'!C60</f>
        <v>0</v>
      </c>
      <c r="C22" s="767"/>
      <c r="D22" s="763"/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6"/>
      <c r="AB22" s="766"/>
      <c r="AC22" s="767"/>
      <c r="AD22" s="766"/>
      <c r="AE22" s="763"/>
      <c r="AF22" s="763"/>
      <c r="AG22" s="763"/>
      <c r="AH22" s="763"/>
      <c r="AI22" s="763"/>
      <c r="AJ22" s="763"/>
      <c r="AK22" s="863"/>
      <c r="AL22" s="863"/>
      <c r="AM22" s="863"/>
      <c r="AN22" s="863"/>
      <c r="AO22" s="863"/>
      <c r="AP22" s="863"/>
      <c r="AQ22" s="863"/>
      <c r="AR22" s="863"/>
      <c r="AS22" s="863"/>
      <c r="AT22" s="863"/>
      <c r="AU22" s="863"/>
      <c r="AV22" s="764">
        <f t="shared" si="1"/>
        <v>0</v>
      </c>
      <c r="AW22" s="764">
        <f t="shared" si="3"/>
        <v>0</v>
      </c>
      <c r="AX22" s="946">
        <f t="shared" si="5"/>
        <v>0</v>
      </c>
    </row>
    <row r="23" spans="1:50">
      <c r="A23" s="761" t="str">
        <f>'GH Financial'!A61</f>
        <v>Retail brokerage</v>
      </c>
      <c r="B23" s="901">
        <f>'GH Financial'!C61</f>
        <v>0</v>
      </c>
      <c r="C23" s="767"/>
      <c r="D23" s="763"/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863"/>
      <c r="AL23" s="863"/>
      <c r="AM23" s="863"/>
      <c r="AN23" s="863"/>
      <c r="AO23" s="863"/>
      <c r="AP23" s="863"/>
      <c r="AQ23" s="863"/>
      <c r="AR23" s="863"/>
      <c r="AS23" s="763"/>
      <c r="AT23" s="763"/>
      <c r="AU23" s="763"/>
      <c r="AV23" s="764">
        <f t="shared" si="1"/>
        <v>0</v>
      </c>
      <c r="AW23" s="764">
        <f t="shared" si="3"/>
        <v>0</v>
      </c>
      <c r="AX23" s="946">
        <f t="shared" si="5"/>
        <v>0</v>
      </c>
    </row>
    <row r="24" spans="1:50">
      <c r="A24" s="761" t="str">
        <f>'GH Financial'!A62</f>
        <v>Construction Loan Origination</v>
      </c>
      <c r="B24" s="901">
        <f>'GH Financial'!C62</f>
        <v>33435</v>
      </c>
      <c r="C24" s="763"/>
      <c r="D24" s="763"/>
      <c r="E24" s="763"/>
      <c r="F24" s="763"/>
      <c r="G24" s="763"/>
      <c r="H24" s="763"/>
      <c r="I24" s="763"/>
      <c r="J24" s="763"/>
      <c r="K24" s="763"/>
      <c r="L24" s="763"/>
      <c r="M24" s="214"/>
      <c r="N24" s="763"/>
      <c r="O24" s="763"/>
      <c r="P24" s="763"/>
      <c r="Q24" s="763"/>
      <c r="R24" s="763"/>
      <c r="S24" s="763"/>
      <c r="T24" s="763"/>
      <c r="U24" s="763"/>
      <c r="V24" s="763"/>
      <c r="W24" s="214"/>
      <c r="X24" s="763"/>
      <c r="Y24" s="763"/>
      <c r="Z24" s="763"/>
      <c r="AA24" s="763"/>
      <c r="AB24" s="763"/>
      <c r="AC24" s="763"/>
      <c r="AD24" s="763"/>
      <c r="AE24" s="763">
        <f>B24</f>
        <v>33435</v>
      </c>
      <c r="AK24" s="863"/>
      <c r="AL24" s="863"/>
      <c r="AM24" s="863"/>
      <c r="AN24" s="863"/>
      <c r="AO24" s="863"/>
      <c r="AP24" s="863"/>
      <c r="AQ24" s="863"/>
      <c r="AR24" s="863"/>
      <c r="AS24" s="763"/>
      <c r="AT24" s="763"/>
      <c r="AU24" s="763"/>
      <c r="AV24" s="764">
        <f t="shared" si="1"/>
        <v>33435</v>
      </c>
      <c r="AW24" s="764">
        <f t="shared" si="3"/>
        <v>33435</v>
      </c>
      <c r="AX24" s="946">
        <f t="shared" si="5"/>
        <v>0</v>
      </c>
    </row>
    <row r="25" spans="1:50">
      <c r="A25" s="761" t="str">
        <f>'GH Financial'!A63</f>
        <v>Construction Interest</v>
      </c>
      <c r="B25" s="901">
        <f>'GH Financial'!C63</f>
        <v>156030.00000000003</v>
      </c>
      <c r="C25" s="773"/>
      <c r="D25" s="763"/>
      <c r="E25" s="763"/>
      <c r="F25" s="763"/>
      <c r="G25" s="763"/>
      <c r="H25" s="763"/>
      <c r="I25" s="763"/>
      <c r="J25" s="763"/>
      <c r="K25" s="763"/>
      <c r="L25" s="763"/>
      <c r="M25" s="763"/>
      <c r="N25" s="763"/>
      <c r="O25" s="763"/>
      <c r="P25" s="763"/>
      <c r="Q25" s="763"/>
      <c r="R25" s="763"/>
      <c r="S25" s="763"/>
      <c r="T25" s="763"/>
      <c r="U25" s="763"/>
      <c r="V25" s="763"/>
      <c r="W25" s="763"/>
      <c r="X25" s="763"/>
      <c r="Y25" s="763"/>
      <c r="Z25" s="763"/>
      <c r="AA25" s="763"/>
      <c r="AB25" s="763"/>
      <c r="AC25" s="763"/>
      <c r="AD25" s="763"/>
      <c r="AE25" s="763">
        <f t="shared" si="4"/>
        <v>23404.500000000004</v>
      </c>
      <c r="AF25" s="763">
        <f t="shared" si="4"/>
        <v>31206.000000000007</v>
      </c>
      <c r="AG25" s="763">
        <f t="shared" si="4"/>
        <v>31206.000000000007</v>
      </c>
      <c r="AH25" s="763">
        <f t="shared" si="4"/>
        <v>31206.000000000007</v>
      </c>
      <c r="AI25" s="763">
        <f t="shared" si="4"/>
        <v>23404.500000000004</v>
      </c>
      <c r="AJ25" s="763">
        <f t="shared" si="4"/>
        <v>15603.000000000004</v>
      </c>
      <c r="AK25" s="763"/>
      <c r="AL25" s="763"/>
      <c r="AM25" s="763"/>
      <c r="AN25" s="763"/>
      <c r="AO25" s="763"/>
      <c r="AP25" s="763"/>
      <c r="AQ25" s="763"/>
      <c r="AR25" s="763"/>
      <c r="AS25" s="763"/>
      <c r="AT25" s="763"/>
      <c r="AU25" s="763"/>
      <c r="AV25" s="764">
        <f t="shared" si="1"/>
        <v>156030.00000000003</v>
      </c>
      <c r="AW25" s="764">
        <f t="shared" si="3"/>
        <v>156030.00000000003</v>
      </c>
      <c r="AX25" s="946">
        <f t="shared" si="5"/>
        <v>0</v>
      </c>
    </row>
    <row r="26" spans="1:50" ht="15" thickBot="1">
      <c r="A26" s="867" t="str">
        <f>'GH Financial'!A64</f>
        <v>Additional Contingency</v>
      </c>
      <c r="B26" s="776">
        <f>'GH Financial'!C64</f>
        <v>0</v>
      </c>
      <c r="C26" s="775"/>
      <c r="D26" s="775"/>
      <c r="E26" s="775"/>
      <c r="F26" s="775"/>
      <c r="G26" s="775"/>
      <c r="H26" s="775"/>
      <c r="I26" s="775"/>
      <c r="J26" s="775"/>
      <c r="K26" s="775"/>
      <c r="L26" s="775"/>
      <c r="M26" s="775"/>
      <c r="N26" s="775"/>
      <c r="O26" s="775"/>
      <c r="P26" s="775"/>
      <c r="Q26" s="775"/>
      <c r="R26" s="775"/>
      <c r="S26" s="775"/>
      <c r="T26" s="775"/>
      <c r="U26" s="775"/>
      <c r="V26" s="775"/>
      <c r="W26" s="775"/>
      <c r="X26" s="775"/>
      <c r="Y26" s="775"/>
      <c r="Z26" s="775"/>
      <c r="AA26" s="775"/>
      <c r="AB26" s="775"/>
      <c r="AC26" s="775"/>
      <c r="AD26" s="775"/>
      <c r="AE26" s="763">
        <f t="shared" si="4"/>
        <v>0</v>
      </c>
      <c r="AF26" s="763">
        <f t="shared" si="4"/>
        <v>0</v>
      </c>
      <c r="AG26" s="763">
        <f t="shared" si="4"/>
        <v>0</v>
      </c>
      <c r="AH26" s="763">
        <f t="shared" si="4"/>
        <v>0</v>
      </c>
      <c r="AI26" s="763">
        <f t="shared" si="4"/>
        <v>0</v>
      </c>
      <c r="AJ26" s="763">
        <f t="shared" si="4"/>
        <v>0</v>
      </c>
      <c r="AK26" s="775"/>
      <c r="AL26" s="775"/>
      <c r="AM26" s="775"/>
      <c r="AN26" s="775"/>
      <c r="AO26" s="775"/>
      <c r="AP26" s="775"/>
      <c r="AQ26" s="775"/>
      <c r="AR26" s="775"/>
      <c r="AS26" s="775"/>
      <c r="AT26" s="775"/>
      <c r="AU26" s="775"/>
      <c r="AV26" s="776">
        <f t="shared" si="1"/>
        <v>0</v>
      </c>
      <c r="AW26" s="776">
        <f t="shared" si="3"/>
        <v>0</v>
      </c>
      <c r="AX26" s="946">
        <f t="shared" si="5"/>
        <v>0</v>
      </c>
    </row>
    <row r="27" spans="1:50" ht="15.6" thickTop="1" thickBot="1">
      <c r="A27" s="147" t="str">
        <f>'A Financial'!A57</f>
        <v>Total Project Cost</v>
      </c>
      <c r="B27" s="148">
        <f t="shared" ref="B27:AN27" si="9">SUM(B5:B26)</f>
        <v>3896040.9133048491</v>
      </c>
      <c r="C27" s="128">
        <f t="shared" si="9"/>
        <v>0</v>
      </c>
      <c r="D27" s="128">
        <f t="shared" si="9"/>
        <v>0</v>
      </c>
      <c r="E27" s="128">
        <f t="shared" si="9"/>
        <v>0</v>
      </c>
      <c r="F27" s="128">
        <f t="shared" si="9"/>
        <v>0</v>
      </c>
      <c r="G27" s="128">
        <f t="shared" si="9"/>
        <v>0</v>
      </c>
      <c r="H27" s="128">
        <f t="shared" si="9"/>
        <v>0</v>
      </c>
      <c r="I27" s="128">
        <f t="shared" si="9"/>
        <v>0</v>
      </c>
      <c r="J27" s="128">
        <f t="shared" si="9"/>
        <v>0</v>
      </c>
      <c r="K27" s="128">
        <f t="shared" si="9"/>
        <v>301160.10288000002</v>
      </c>
      <c r="L27" s="128">
        <f t="shared" si="9"/>
        <v>2692.12608</v>
      </c>
      <c r="M27" s="128">
        <f t="shared" si="9"/>
        <v>2692.12608</v>
      </c>
      <c r="N27" s="128">
        <f t="shared" si="9"/>
        <v>2692.12608</v>
      </c>
      <c r="O27" s="128">
        <f t="shared" si="9"/>
        <v>2692.12608</v>
      </c>
      <c r="P27" s="128">
        <f t="shared" si="9"/>
        <v>2692.12608</v>
      </c>
      <c r="Q27" s="128">
        <f t="shared" si="9"/>
        <v>2692.12608</v>
      </c>
      <c r="R27" s="128">
        <f t="shared" si="9"/>
        <v>2692.12608</v>
      </c>
      <c r="S27" s="128">
        <f t="shared" si="9"/>
        <v>2692.12608</v>
      </c>
      <c r="T27" s="128">
        <f t="shared" si="9"/>
        <v>2692.12608</v>
      </c>
      <c r="U27" s="128">
        <f t="shared" si="9"/>
        <v>2692.12608</v>
      </c>
      <c r="V27" s="128">
        <f t="shared" si="9"/>
        <v>2692.12608</v>
      </c>
      <c r="W27" s="128">
        <f t="shared" si="9"/>
        <v>2692.12608</v>
      </c>
      <c r="X27" s="128">
        <f t="shared" si="9"/>
        <v>2692.12608</v>
      </c>
      <c r="Y27" s="128">
        <f t="shared" si="9"/>
        <v>2692.12608</v>
      </c>
      <c r="Z27" s="128">
        <f t="shared" si="9"/>
        <v>2692.12608</v>
      </c>
      <c r="AA27" s="128">
        <f t="shared" si="9"/>
        <v>2692.12608</v>
      </c>
      <c r="AB27" s="128">
        <f t="shared" si="9"/>
        <v>2692.12608</v>
      </c>
      <c r="AC27" s="128">
        <f t="shared" si="9"/>
        <v>2692.12608</v>
      </c>
      <c r="AD27" s="128">
        <f t="shared" si="9"/>
        <v>2692.12608</v>
      </c>
      <c r="AE27" s="128">
        <f t="shared" si="9"/>
        <v>473715.20923572732</v>
      </c>
      <c r="AF27" s="128">
        <f t="shared" si="9"/>
        <v>586854.51898097002</v>
      </c>
      <c r="AG27" s="128">
        <f t="shared" si="9"/>
        <v>586854.51898097002</v>
      </c>
      <c r="AH27" s="128">
        <f t="shared" si="9"/>
        <v>586854.51898097002</v>
      </c>
      <c r="AI27" s="128">
        <f t="shared" si="9"/>
        <v>440140.88923572731</v>
      </c>
      <c r="AJ27" s="128">
        <f t="shared" si="9"/>
        <v>293427.25949048501</v>
      </c>
      <c r="AK27" s="128">
        <f t="shared" si="9"/>
        <v>143970.875</v>
      </c>
      <c r="AL27" s="128">
        <f t="shared" si="9"/>
        <v>143970.875</v>
      </c>
      <c r="AM27" s="128">
        <f t="shared" si="9"/>
        <v>143970.875</v>
      </c>
      <c r="AN27" s="128">
        <f t="shared" si="9"/>
        <v>143970.875</v>
      </c>
      <c r="AO27" s="128"/>
      <c r="AP27" s="128"/>
      <c r="AQ27" s="128"/>
      <c r="AR27" s="128"/>
      <c r="AS27" s="128"/>
      <c r="AT27" s="128"/>
      <c r="AU27" s="128"/>
      <c r="AV27" s="125">
        <f>SUM(AV5:AV26)</f>
        <v>3896040.9133048491</v>
      </c>
      <c r="AW27" s="124">
        <f>SUM(AW5:AW26)</f>
        <v>3896040.9133048491</v>
      </c>
      <c r="AX27" s="124"/>
    </row>
    <row r="28" spans="1:50">
      <c r="A28" s="126" t="s">
        <v>346</v>
      </c>
      <c r="B28" s="149">
        <f>'GH Financial'!B63</f>
        <v>7.0000000000000007E-2</v>
      </c>
      <c r="C28" s="150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2"/>
      <c r="AW28" s="150"/>
      <c r="AX28" s="124"/>
    </row>
    <row r="29" spans="1:50" ht="15" thickBot="1">
      <c r="A29" s="778" t="s">
        <v>347</v>
      </c>
      <c r="B29" s="915">
        <f>B27+B28</f>
        <v>3896040.9833048489</v>
      </c>
      <c r="C29" s="913"/>
      <c r="D29" s="793"/>
      <c r="E29" s="793"/>
      <c r="F29" s="793"/>
      <c r="G29" s="793"/>
      <c r="H29" s="793"/>
      <c r="I29" s="793"/>
      <c r="J29" s="793"/>
      <c r="K29" s="793"/>
      <c r="L29" s="793"/>
      <c r="M29" s="793"/>
      <c r="N29" s="793"/>
      <c r="O29" s="793"/>
      <c r="P29" s="793"/>
      <c r="Q29" s="793"/>
      <c r="R29" s="793"/>
      <c r="S29" s="793"/>
      <c r="T29" s="793"/>
      <c r="U29" s="793"/>
      <c r="V29" s="793"/>
      <c r="W29" s="793"/>
      <c r="X29" s="793"/>
      <c r="Y29" s="793"/>
      <c r="Z29" s="791"/>
      <c r="AA29" s="791"/>
      <c r="AB29" s="791"/>
      <c r="AC29" s="791"/>
      <c r="AD29" s="791"/>
      <c r="AE29" s="791"/>
      <c r="AF29" s="791"/>
      <c r="AG29" s="791"/>
      <c r="AH29" s="791"/>
      <c r="AI29" s="791"/>
      <c r="AJ29" s="791"/>
      <c r="AK29" s="791"/>
      <c r="AL29" s="791"/>
      <c r="AM29" s="791"/>
      <c r="AN29" s="791"/>
      <c r="AO29" s="791"/>
      <c r="AP29" s="791"/>
      <c r="AQ29" s="791"/>
      <c r="AR29" s="791"/>
      <c r="AS29" s="791"/>
      <c r="AT29" s="793"/>
      <c r="AU29" s="793"/>
      <c r="AV29" s="793"/>
      <c r="AW29" s="913"/>
      <c r="AX29" s="780"/>
    </row>
    <row r="30" spans="1:50">
      <c r="A30" s="132" t="s">
        <v>348</v>
      </c>
      <c r="B30" s="133">
        <f>SUM(C30:AV30)</f>
        <v>1558000</v>
      </c>
      <c r="C30" s="764">
        <f>C27</f>
        <v>0</v>
      </c>
      <c r="D30" s="764">
        <f t="shared" ref="D30:AB30" si="10">IF(C31+D27&lt;=$B$31,D27,($B$31-C31))</f>
        <v>0</v>
      </c>
      <c r="E30" s="764">
        <f t="shared" si="10"/>
        <v>0</v>
      </c>
      <c r="F30" s="764">
        <f t="shared" si="10"/>
        <v>0</v>
      </c>
      <c r="G30" s="764">
        <f t="shared" si="10"/>
        <v>0</v>
      </c>
      <c r="H30" s="764">
        <f t="shared" si="10"/>
        <v>0</v>
      </c>
      <c r="I30" s="764">
        <f t="shared" si="10"/>
        <v>0</v>
      </c>
      <c r="J30" s="764">
        <f t="shared" si="10"/>
        <v>0</v>
      </c>
      <c r="K30" s="764">
        <f t="shared" si="10"/>
        <v>301160.10288000002</v>
      </c>
      <c r="L30" s="764">
        <f t="shared" si="10"/>
        <v>2692.12608</v>
      </c>
      <c r="M30" s="764">
        <f t="shared" si="10"/>
        <v>2692.12608</v>
      </c>
      <c r="N30" s="764">
        <f t="shared" si="10"/>
        <v>2692.12608</v>
      </c>
      <c r="O30" s="764">
        <f t="shared" si="10"/>
        <v>2692.12608</v>
      </c>
      <c r="P30" s="764">
        <f t="shared" si="10"/>
        <v>2692.12608</v>
      </c>
      <c r="Q30" s="764">
        <f t="shared" si="10"/>
        <v>2692.12608</v>
      </c>
      <c r="R30" s="764">
        <f t="shared" si="10"/>
        <v>2692.12608</v>
      </c>
      <c r="S30" s="764">
        <f t="shared" si="10"/>
        <v>2692.12608</v>
      </c>
      <c r="T30" s="764">
        <f t="shared" si="10"/>
        <v>2692.12608</v>
      </c>
      <c r="U30" s="764">
        <f t="shared" si="10"/>
        <v>2692.12608</v>
      </c>
      <c r="V30" s="764">
        <f t="shared" si="10"/>
        <v>2692.12608</v>
      </c>
      <c r="W30" s="764">
        <f t="shared" si="10"/>
        <v>2692.12608</v>
      </c>
      <c r="X30" s="764">
        <f t="shared" si="10"/>
        <v>2692.12608</v>
      </c>
      <c r="Y30" s="764">
        <f t="shared" si="10"/>
        <v>2692.12608</v>
      </c>
      <c r="Z30" s="764">
        <f t="shared" si="10"/>
        <v>2692.12608</v>
      </c>
      <c r="AA30" s="764">
        <f t="shared" si="10"/>
        <v>2692.12608</v>
      </c>
      <c r="AB30" s="764">
        <f t="shared" si="10"/>
        <v>2692.12608</v>
      </c>
      <c r="AC30" s="764">
        <f t="shared" ref="AC30" si="11">IF(AB31+AC27&lt;=$B$31,AC27,($B$31-AB31))</f>
        <v>2692.12608</v>
      </c>
      <c r="AD30" s="764">
        <f t="shared" ref="AD30" si="12">IF(AC31+AD27&lt;=$B$31,AD27,($B$31-AC31))</f>
        <v>2692.12608</v>
      </c>
      <c r="AE30" s="764">
        <f t="shared" ref="AE30" si="13">IF(AD31+AE27&lt;=$B$31,AE27,($B$31-AD31))</f>
        <v>473715.20923572732</v>
      </c>
      <c r="AF30" s="764">
        <f t="shared" ref="AF30" si="14">IF(AE31+AF27&lt;=$B$31,AF27,($B$31-AE31))</f>
        <v>586854.51898097002</v>
      </c>
      <c r="AG30" s="764">
        <f t="shared" ref="AG30" si="15">IF(AF31+AG27&lt;=$B$31,AG27,($B$31-AF31))</f>
        <v>145119.77338330215</v>
      </c>
      <c r="AH30" s="764">
        <f t="shared" ref="AH30" si="16">IF(AG31+AH27&lt;=$B$31,AH27,($B$31-AG31))</f>
        <v>0</v>
      </c>
      <c r="AI30" s="764">
        <f t="shared" ref="AI30" si="17">IF(AH31+AI27&lt;=$B$31,AI27,($B$31-AH31))</f>
        <v>0</v>
      </c>
      <c r="AJ30" s="764">
        <f t="shared" ref="AJ30" si="18">IF(AI31+AJ27&lt;=$B$31,AJ27,($B$31-AI31))</f>
        <v>0</v>
      </c>
      <c r="AK30" s="764">
        <f t="shared" ref="AK30" si="19">IF(AJ31+AK27&lt;=$B$31,AK27,($B$31-AJ31))</f>
        <v>0</v>
      </c>
      <c r="AL30" s="764">
        <f t="shared" ref="AL30" si="20">IF(AK31+AL27&lt;=$B$31,AL27,($B$31-AK31))</f>
        <v>0</v>
      </c>
      <c r="AM30" s="764">
        <f t="shared" ref="AM30" si="21">IF(AL31+AM27&lt;=$B$31,AM27,($B$31-AL31))</f>
        <v>0</v>
      </c>
      <c r="AN30" s="764">
        <f t="shared" ref="AN30" si="22">IF(AM31+AN27&lt;=$B$31,AN27,($B$31-AM31))</f>
        <v>0</v>
      </c>
      <c r="AO30" s="764"/>
      <c r="AP30" s="764"/>
      <c r="AQ30" s="764"/>
      <c r="AR30" s="764"/>
      <c r="AS30" s="764"/>
      <c r="AT30" s="764"/>
      <c r="AU30" s="764"/>
      <c r="AV30" s="786"/>
      <c r="AW30" s="785"/>
      <c r="AX30" s="783"/>
    </row>
    <row r="31" spans="1:50" ht="15" thickBot="1">
      <c r="A31" s="761" t="s">
        <v>349</v>
      </c>
      <c r="B31" s="784">
        <f>'GH Financial'!B76</f>
        <v>1558000</v>
      </c>
      <c r="C31" s="764">
        <f>C30</f>
        <v>0</v>
      </c>
      <c r="D31" s="764">
        <f>IF(SUM($C$30:D30)&lt;=$B31,SUM($C$30:D30),0)</f>
        <v>0</v>
      </c>
      <c r="E31" s="764">
        <f>IF(SUM($C$30:E30)&lt;=$B31,SUM($C$30:E30),0)</f>
        <v>0</v>
      </c>
      <c r="F31" s="764">
        <f>IF(SUM($C$30:F30)&lt;=$B31,SUM($C$30:F30),0)</f>
        <v>0</v>
      </c>
      <c r="G31" s="764">
        <f>IF(SUM($C$30:G30)&lt;=$B31,SUM($C$30:G30),0)</f>
        <v>0</v>
      </c>
      <c r="H31" s="764">
        <f>IF(SUM($C$30:H30)&lt;=$B31,SUM($C$30:H30),0)</f>
        <v>0</v>
      </c>
      <c r="I31" s="764">
        <f>IF(SUM($C$30:I30)&lt;=$B31,SUM($C$30:I30),0)</f>
        <v>0</v>
      </c>
      <c r="J31" s="764">
        <f>IF(SUM($C$30:J30)&lt;=$B31,SUM($C$30:J30),0)</f>
        <v>0</v>
      </c>
      <c r="K31" s="764">
        <f>IF(SUM($C$30:K30)&lt;=$B31,SUM($C$30:K30),0)</f>
        <v>301160.10288000002</v>
      </c>
      <c r="L31" s="764">
        <f>IF(SUM($C$30:L30)&lt;=$B31,SUM($C$30:L30),0)</f>
        <v>303852.22896000004</v>
      </c>
      <c r="M31" s="764">
        <f>IF(SUM($C$30:M30)&lt;=$B31,SUM($C$30:M30),0)</f>
        <v>306544.35504000005</v>
      </c>
      <c r="N31" s="764">
        <f>IF(SUM($C$30:N30)&lt;=$B31,SUM($C$30:N30),0)</f>
        <v>309236.48112000007</v>
      </c>
      <c r="O31" s="764">
        <f>IF(SUM($C$30:O30)&lt;=$B31,SUM($C$30:O30),0)</f>
        <v>311928.60720000009</v>
      </c>
      <c r="P31" s="764">
        <f>IF(SUM($C$30:P30)&lt;=$B31,SUM($C$30:P30),0)</f>
        <v>314620.7332800001</v>
      </c>
      <c r="Q31" s="764">
        <f>IF(SUM($C$30:Q30)&lt;=$B31,SUM($C$30:Q30),0)</f>
        <v>317312.85936000012</v>
      </c>
      <c r="R31" s="764">
        <f>IF(SUM($C$30:R30)&lt;=$B31,SUM($C$30:R30),0)</f>
        <v>320004.98544000013</v>
      </c>
      <c r="S31" s="764">
        <f>IF(SUM($C$30:S30)&lt;=$B31,SUM($C$30:S30),0)</f>
        <v>322697.11152000015</v>
      </c>
      <c r="T31" s="764">
        <f>IF(SUM($C$30:T30)&lt;=$B31,SUM($C$30:T30),0)</f>
        <v>325389.23760000017</v>
      </c>
      <c r="U31" s="764">
        <f>IF(SUM($C$30:U30)&lt;=$B31,SUM($C$30:U30),0)</f>
        <v>328081.36368000018</v>
      </c>
      <c r="V31" s="764">
        <f>IF(SUM($C$30:V30)&lt;=$B31,SUM($C$30:V30),0)</f>
        <v>330773.4897600002</v>
      </c>
      <c r="W31" s="764">
        <f>IF(SUM($C$30:W30)&lt;=$B31,SUM($C$30:W30),0)</f>
        <v>333465.61584000022</v>
      </c>
      <c r="X31" s="764">
        <f>IF(SUM($C$30:X30)&lt;=$B31,SUM($C$30:X30),0)</f>
        <v>336157.74192000023</v>
      </c>
      <c r="Y31" s="764">
        <f>IF(SUM($C$30:Y30)&lt;=$B31,SUM($C$30:Y30),0)</f>
        <v>338849.86800000025</v>
      </c>
      <c r="Z31" s="764">
        <f>IF(SUM($C$30:Z30)&lt;=$B31,SUM($C$30:Z30),0)</f>
        <v>341541.99408000027</v>
      </c>
      <c r="AA31" s="764">
        <f>IF(SUM($C$30:AA30)&lt;=$B31,SUM($C$30:AA30),0)</f>
        <v>344234.12016000028</v>
      </c>
      <c r="AB31" s="764">
        <f>IF(SUM($C$30:AB30)&lt;=$B31,SUM($C$30:AB30),0)</f>
        <v>346926.2462400003</v>
      </c>
      <c r="AC31" s="764">
        <f>IF(SUM($C$30:AC30)&lt;=$B31,SUM($C$30:AC30),0)</f>
        <v>349618.37232000032</v>
      </c>
      <c r="AD31" s="764">
        <f>IF(SUM($C$30:AD30)&lt;=$B31,SUM($C$30:AD30),0)</f>
        <v>352310.49840000033</v>
      </c>
      <c r="AE31" s="764">
        <f>IF(SUM($C$30:AE30)&lt;=$B31,SUM($C$30:AE30),0)</f>
        <v>826025.70763572771</v>
      </c>
      <c r="AF31" s="764">
        <f>IF(SUM($C$30:AF30)&lt;=$B31,SUM($C$30:AF30),0)</f>
        <v>1412880.2266166979</v>
      </c>
      <c r="AG31" s="764">
        <f>IF(SUM($C$30:AG30)&lt;=$B31,SUM($C$30:AG30),0)</f>
        <v>1558000</v>
      </c>
      <c r="AH31" s="764">
        <f>IF(SUM($C$30:AH30)&lt;=$B31,SUM($C$30:AH30),0)</f>
        <v>1558000</v>
      </c>
      <c r="AI31" s="764">
        <f>IF(SUM($C$30:AI30)&lt;=$B31,SUM($C$30:AI30),0)</f>
        <v>1558000</v>
      </c>
      <c r="AJ31" s="764">
        <f>IF(SUM($C$30:AJ30)&lt;=$B31,SUM($C$30:AJ30),0)</f>
        <v>1558000</v>
      </c>
      <c r="AK31" s="764">
        <f>IF(SUM($C$30:AK30)&lt;=$B31,SUM($C$30:AK30),0)</f>
        <v>1558000</v>
      </c>
      <c r="AL31" s="764">
        <f>IF(SUM($C$30:AL30)&lt;=$B31,SUM($C$30:AL30),0)</f>
        <v>1558000</v>
      </c>
      <c r="AM31" s="764">
        <f>IF(SUM($C$30:AM30)&lt;=$B31,SUM($C$30:AM30),0)</f>
        <v>1558000</v>
      </c>
      <c r="AN31" s="764">
        <f>IF(SUM($C$30:AN30)&lt;=$B31,SUM($C$30:AN30),0)</f>
        <v>1558000</v>
      </c>
      <c r="AO31" s="764"/>
      <c r="AP31" s="764"/>
      <c r="AQ31" s="764"/>
      <c r="AR31" s="764"/>
      <c r="AS31" s="764"/>
      <c r="AT31" s="764"/>
      <c r="AU31" s="764"/>
      <c r="AV31" s="786"/>
      <c r="AW31" s="785"/>
      <c r="AX31" s="783"/>
    </row>
    <row r="32" spans="1:50">
      <c r="A32" s="130" t="s">
        <v>350</v>
      </c>
      <c r="B32" s="131">
        <f>'GH Financial'!B75</f>
        <v>2338000</v>
      </c>
      <c r="C32" s="785"/>
      <c r="D32" s="786"/>
      <c r="E32" s="786"/>
      <c r="F32" s="786"/>
      <c r="G32" s="786"/>
      <c r="H32" s="786"/>
      <c r="I32" s="786"/>
      <c r="J32" s="786"/>
      <c r="K32" s="786"/>
      <c r="L32" s="786"/>
      <c r="M32" s="786"/>
      <c r="N32" s="786"/>
      <c r="O32" s="786"/>
      <c r="P32" s="786"/>
      <c r="Q32" s="786"/>
      <c r="R32" s="786"/>
      <c r="S32" s="786"/>
      <c r="T32" s="786"/>
      <c r="U32" s="786"/>
      <c r="V32" s="786"/>
      <c r="W32" s="786"/>
      <c r="X32" s="786"/>
      <c r="Y32" s="786"/>
      <c r="Z32" s="786"/>
      <c r="AA32" s="786"/>
      <c r="AB32" s="786"/>
      <c r="AC32" s="786"/>
      <c r="AD32" s="786"/>
      <c r="AE32" s="786"/>
      <c r="AF32" s="786"/>
      <c r="AG32" s="786"/>
      <c r="AH32" s="786"/>
      <c r="AI32" s="786"/>
      <c r="AJ32" s="786"/>
      <c r="AK32" s="786"/>
      <c r="AL32" s="786"/>
      <c r="AM32" s="786"/>
      <c r="AN32" s="786"/>
      <c r="AO32" s="786"/>
      <c r="AP32" s="786"/>
      <c r="AQ32" s="786"/>
      <c r="AR32" s="786"/>
      <c r="AS32" s="786"/>
      <c r="AT32" s="786"/>
      <c r="AU32" s="786"/>
      <c r="AV32" s="786"/>
      <c r="AW32" s="785"/>
      <c r="AX32" s="783"/>
    </row>
    <row r="33" spans="1:50" ht="15" thickBot="1">
      <c r="A33" s="787" t="s">
        <v>351</v>
      </c>
      <c r="B33" s="788">
        <f>PMT(0.045,30,(B32))</f>
        <v>-143533.42732029079</v>
      </c>
      <c r="C33" s="785"/>
      <c r="D33" s="786"/>
      <c r="E33" s="786"/>
      <c r="F33" s="786"/>
      <c r="G33" s="786"/>
      <c r="H33" s="786"/>
      <c r="I33" s="786"/>
      <c r="J33" s="786"/>
      <c r="K33" s="786"/>
      <c r="L33" s="786"/>
      <c r="M33" s="786"/>
      <c r="N33" s="786"/>
      <c r="O33" s="786"/>
      <c r="P33" s="786"/>
      <c r="Q33" s="786"/>
      <c r="R33" s="786"/>
      <c r="S33" s="786"/>
      <c r="T33" s="786"/>
      <c r="U33" s="786"/>
      <c r="V33" s="786"/>
      <c r="W33" s="786"/>
      <c r="X33" s="786"/>
      <c r="Y33" s="786"/>
      <c r="Z33" s="786"/>
      <c r="AA33" s="786"/>
      <c r="AB33" s="786"/>
      <c r="AC33" s="786"/>
      <c r="AD33" s="786"/>
      <c r="AE33" s="786"/>
      <c r="AF33" s="786"/>
      <c r="AG33" s="786"/>
      <c r="AH33" s="786"/>
      <c r="AI33" s="786"/>
      <c r="AJ33" s="786"/>
      <c r="AK33" s="786"/>
      <c r="AL33" s="786"/>
      <c r="AM33" s="786"/>
      <c r="AN33" s="786"/>
      <c r="AO33" s="786"/>
      <c r="AP33" s="786"/>
      <c r="AQ33" s="786"/>
      <c r="AR33" s="786"/>
      <c r="AS33" s="786"/>
      <c r="AT33" s="786"/>
      <c r="AU33" s="786"/>
      <c r="AV33" s="786"/>
      <c r="AW33" s="785"/>
      <c r="AX33" s="783"/>
    </row>
    <row r="34" spans="1:50">
      <c r="A34" s="132" t="s">
        <v>352</v>
      </c>
      <c r="B34" s="133">
        <f>SUM(C34:AV34)</f>
        <v>0</v>
      </c>
      <c r="C34" s="764"/>
      <c r="D34" s="764"/>
      <c r="E34" s="764"/>
      <c r="F34" s="764"/>
      <c r="G34" s="764"/>
      <c r="H34" s="764"/>
      <c r="I34" s="764"/>
      <c r="J34" s="764"/>
      <c r="K34" s="764"/>
      <c r="L34" s="764"/>
      <c r="M34" s="764"/>
      <c r="N34" s="764"/>
      <c r="O34" s="764"/>
      <c r="P34" s="764"/>
      <c r="Q34" s="764"/>
      <c r="R34" s="764"/>
      <c r="S34" s="764"/>
      <c r="T34" s="764"/>
      <c r="U34" s="764"/>
      <c r="V34" s="764"/>
      <c r="W34" s="764"/>
      <c r="X34" s="764"/>
      <c r="Y34" s="764"/>
      <c r="Z34" s="764"/>
      <c r="AA34" s="764"/>
      <c r="AB34" s="764"/>
      <c r="AC34" s="764"/>
      <c r="AD34" s="764"/>
      <c r="AE34" s="764"/>
      <c r="AF34" s="764"/>
      <c r="AG34" s="764"/>
      <c r="AH34" s="764"/>
      <c r="AI34" s="764"/>
      <c r="AJ34" s="764"/>
      <c r="AK34" s="764"/>
      <c r="AL34" s="764"/>
      <c r="AM34" s="764"/>
      <c r="AN34" s="764"/>
      <c r="AO34" s="764"/>
      <c r="AP34" s="764"/>
      <c r="AQ34" s="764"/>
      <c r="AR34" s="764"/>
      <c r="AS34" s="509"/>
      <c r="AT34" s="509"/>
      <c r="AU34" s="509"/>
      <c r="AV34" s="791"/>
      <c r="AW34" s="793"/>
      <c r="AX34" s="783"/>
    </row>
    <row r="35" spans="1:50">
      <c r="A35" s="922" t="s">
        <v>353</v>
      </c>
      <c r="B35" s="133"/>
      <c r="C35" s="764"/>
      <c r="D35" s="764"/>
      <c r="E35" s="764"/>
      <c r="F35" s="764"/>
      <c r="G35" s="764"/>
      <c r="H35" s="764"/>
      <c r="I35" s="764"/>
      <c r="J35" s="764"/>
      <c r="K35" s="764"/>
      <c r="L35" s="764"/>
      <c r="M35" s="764"/>
      <c r="N35" s="764"/>
      <c r="O35" s="764"/>
      <c r="P35" s="764"/>
      <c r="Q35" s="764"/>
      <c r="R35" s="764"/>
      <c r="S35" s="764"/>
      <c r="T35" s="764"/>
      <c r="U35" s="764"/>
      <c r="V35" s="764"/>
      <c r="W35" s="764"/>
      <c r="X35" s="764"/>
      <c r="Y35" s="764"/>
      <c r="Z35" s="764"/>
      <c r="AA35" s="764"/>
      <c r="AB35" s="764"/>
      <c r="AC35" s="764"/>
      <c r="AD35" s="764"/>
      <c r="AE35" s="764"/>
      <c r="AF35" s="764"/>
      <c r="AG35" s="764"/>
      <c r="AH35" s="764"/>
      <c r="AI35" s="764"/>
      <c r="AJ35" s="764"/>
      <c r="AK35" s="764"/>
      <c r="AL35" s="764"/>
      <c r="AM35" s="764"/>
      <c r="AN35" s="764"/>
      <c r="AO35" s="764"/>
      <c r="AP35" s="764"/>
      <c r="AQ35" s="764"/>
      <c r="AR35" s="764"/>
      <c r="AS35" s="509"/>
      <c r="AT35" s="509"/>
      <c r="AU35" s="509"/>
      <c r="AV35" s="791"/>
      <c r="AW35" s="793"/>
      <c r="AX35" s="783"/>
    </row>
    <row r="36" spans="1:50" ht="15" thickBot="1">
      <c r="A36" s="781" t="s">
        <v>354</v>
      </c>
      <c r="B36" s="782">
        <f>'GH Financial'!B83+'GH Financial'!B84</f>
        <v>4474000</v>
      </c>
      <c r="C36" s="917"/>
      <c r="D36" s="955"/>
      <c r="E36" s="955"/>
      <c r="F36" s="955"/>
      <c r="G36" s="955"/>
      <c r="H36" s="955"/>
      <c r="I36" s="955"/>
      <c r="J36" s="955"/>
      <c r="K36" s="955"/>
      <c r="L36" s="955"/>
      <c r="M36" s="955"/>
      <c r="N36" s="955"/>
      <c r="O36" s="955"/>
      <c r="P36" s="955"/>
      <c r="Q36" s="955"/>
      <c r="R36" s="955"/>
      <c r="S36" s="955"/>
      <c r="T36" s="955"/>
      <c r="U36" s="955"/>
      <c r="V36" s="955"/>
      <c r="W36" s="955"/>
      <c r="X36" s="955"/>
      <c r="Y36" s="955"/>
      <c r="Z36" s="955"/>
      <c r="AA36" s="955"/>
      <c r="AB36" s="955"/>
      <c r="AC36" s="955"/>
      <c r="AD36" s="955"/>
      <c r="AE36" s="955"/>
      <c r="AF36" s="955"/>
      <c r="AG36" s="955"/>
      <c r="AH36" s="955"/>
      <c r="AI36" s="955"/>
      <c r="AJ36" s="955"/>
      <c r="AK36" s="955"/>
      <c r="AL36" s="955"/>
      <c r="AM36" s="955"/>
      <c r="AN36" s="955"/>
      <c r="AO36" s="955"/>
      <c r="AP36" s="955"/>
      <c r="AQ36" s="955"/>
      <c r="AR36" s="955"/>
      <c r="AS36" s="955"/>
      <c r="AT36" s="955"/>
      <c r="AU36" s="792"/>
      <c r="AV36" s="793"/>
      <c r="AW36" s="793"/>
      <c r="AX36" s="798"/>
    </row>
    <row r="37" spans="1:50">
      <c r="A37" s="781" t="s">
        <v>355</v>
      </c>
      <c r="B37" s="796">
        <f>SUM(C37:AU37)</f>
        <v>2916000</v>
      </c>
      <c r="C37" s="764">
        <f t="shared" ref="C37:AA37" si="23">-C30</f>
        <v>0</v>
      </c>
      <c r="D37" s="764">
        <f t="shared" si="23"/>
        <v>0</v>
      </c>
      <c r="E37" s="764">
        <f t="shared" si="23"/>
        <v>0</v>
      </c>
      <c r="F37" s="764">
        <f t="shared" si="23"/>
        <v>0</v>
      </c>
      <c r="G37" s="764">
        <f t="shared" si="23"/>
        <v>0</v>
      </c>
      <c r="H37" s="764">
        <f t="shared" si="23"/>
        <v>0</v>
      </c>
      <c r="I37" s="764">
        <f t="shared" si="23"/>
        <v>0</v>
      </c>
      <c r="J37" s="764">
        <f t="shared" si="23"/>
        <v>0</v>
      </c>
      <c r="K37" s="764">
        <f t="shared" si="23"/>
        <v>-301160.10288000002</v>
      </c>
      <c r="L37" s="764">
        <f t="shared" si="23"/>
        <v>-2692.12608</v>
      </c>
      <c r="M37" s="764">
        <f t="shared" si="23"/>
        <v>-2692.12608</v>
      </c>
      <c r="N37" s="764">
        <f t="shared" si="23"/>
        <v>-2692.12608</v>
      </c>
      <c r="O37" s="764">
        <f t="shared" si="23"/>
        <v>-2692.12608</v>
      </c>
      <c r="P37" s="764">
        <f t="shared" si="23"/>
        <v>-2692.12608</v>
      </c>
      <c r="Q37" s="764">
        <f t="shared" si="23"/>
        <v>-2692.12608</v>
      </c>
      <c r="R37" s="764">
        <f t="shared" si="23"/>
        <v>-2692.12608</v>
      </c>
      <c r="S37" s="764">
        <f t="shared" si="23"/>
        <v>-2692.12608</v>
      </c>
      <c r="T37" s="764">
        <f t="shared" si="23"/>
        <v>-2692.12608</v>
      </c>
      <c r="U37" s="764">
        <f t="shared" si="23"/>
        <v>-2692.12608</v>
      </c>
      <c r="V37" s="764">
        <f t="shared" si="23"/>
        <v>-2692.12608</v>
      </c>
      <c r="W37" s="764">
        <f t="shared" si="23"/>
        <v>-2692.12608</v>
      </c>
      <c r="X37" s="764">
        <f t="shared" si="23"/>
        <v>-2692.12608</v>
      </c>
      <c r="Y37" s="764">
        <f t="shared" si="23"/>
        <v>-2692.12608</v>
      </c>
      <c r="Z37" s="764">
        <f t="shared" si="23"/>
        <v>-2692.12608</v>
      </c>
      <c r="AA37" s="764">
        <f t="shared" si="23"/>
        <v>-2692.12608</v>
      </c>
      <c r="AB37" s="764">
        <f t="shared" ref="AB37:AM37" si="24">-AB30</f>
        <v>-2692.12608</v>
      </c>
      <c r="AC37" s="764">
        <f t="shared" si="24"/>
        <v>-2692.12608</v>
      </c>
      <c r="AD37" s="764">
        <f t="shared" si="24"/>
        <v>-2692.12608</v>
      </c>
      <c r="AE37" s="764">
        <f t="shared" si="24"/>
        <v>-473715.20923572732</v>
      </c>
      <c r="AF37" s="764">
        <f t="shared" si="24"/>
        <v>-586854.51898097002</v>
      </c>
      <c r="AG37" s="764">
        <f t="shared" si="24"/>
        <v>-145119.77338330215</v>
      </c>
      <c r="AH37" s="764">
        <f t="shared" si="24"/>
        <v>0</v>
      </c>
      <c r="AI37" s="764">
        <f t="shared" si="24"/>
        <v>0</v>
      </c>
      <c r="AJ37" s="764">
        <f t="shared" si="24"/>
        <v>0</v>
      </c>
      <c r="AK37" s="764">
        <f t="shared" si="24"/>
        <v>0</v>
      </c>
      <c r="AL37" s="764">
        <f t="shared" si="24"/>
        <v>0</v>
      </c>
      <c r="AM37" s="764">
        <f t="shared" si="24"/>
        <v>0</v>
      </c>
      <c r="AN37" s="798">
        <f>B36</f>
        <v>4474000</v>
      </c>
      <c r="AO37" s="764"/>
      <c r="AP37" s="764"/>
      <c r="AQ37" s="764"/>
      <c r="AR37" s="764"/>
      <c r="AS37" s="509"/>
      <c r="AT37" s="509"/>
      <c r="AU37" s="204"/>
      <c r="AV37" s="793"/>
      <c r="AW37" s="793"/>
      <c r="AX37" s="764"/>
    </row>
    <row r="38" spans="1:50">
      <c r="A38" s="781" t="s">
        <v>411</v>
      </c>
      <c r="B38" s="799">
        <f>IF(B37&lt;0,0,IRR(C37:AU37))</f>
        <v>7.0270528287367462E-2</v>
      </c>
      <c r="C38" s="800"/>
      <c r="D38" s="800"/>
      <c r="E38" s="800"/>
      <c r="F38" s="800"/>
      <c r="G38" s="800"/>
      <c r="H38" s="800"/>
      <c r="I38" s="800"/>
      <c r="J38" s="800"/>
      <c r="K38" s="800"/>
      <c r="L38" s="800"/>
      <c r="M38" s="800"/>
      <c r="N38" s="800"/>
      <c r="O38" s="800"/>
      <c r="P38" s="800"/>
      <c r="Q38" s="800"/>
      <c r="R38" s="800"/>
      <c r="S38" s="800"/>
      <c r="T38" s="800"/>
      <c r="U38" s="800"/>
      <c r="V38" s="800"/>
      <c r="W38" s="800"/>
      <c r="X38" s="800"/>
      <c r="Y38" s="800"/>
      <c r="Z38" s="800"/>
      <c r="AA38" s="800"/>
      <c r="AB38" s="800"/>
      <c r="AC38" s="800"/>
      <c r="AD38" s="800"/>
      <c r="AE38" s="800"/>
      <c r="AF38" s="800"/>
      <c r="AG38" s="800"/>
      <c r="AH38" s="800"/>
      <c r="AI38" s="800"/>
      <c r="AJ38" s="800"/>
      <c r="AK38" s="800"/>
      <c r="AL38" s="800"/>
      <c r="AM38" s="800"/>
      <c r="AN38" s="800"/>
      <c r="AO38" s="800"/>
      <c r="AP38" s="800"/>
      <c r="AQ38" s="800"/>
      <c r="AR38" s="800"/>
      <c r="AS38" s="800"/>
      <c r="AT38" s="800"/>
      <c r="AU38" s="137"/>
      <c r="AV38" s="793"/>
      <c r="AW38" s="793"/>
      <c r="AX38" s="801"/>
    </row>
    <row r="39" spans="1:50">
      <c r="A39" s="772" t="s">
        <v>357</v>
      </c>
      <c r="B39" s="802">
        <f>POWER((1+B38),4)-1</f>
        <v>0.31212214796455662</v>
      </c>
      <c r="C39" s="793"/>
      <c r="D39" s="793"/>
      <c r="E39" s="803"/>
      <c r="F39" s="803"/>
      <c r="G39" s="803"/>
      <c r="H39" s="803"/>
      <c r="I39" s="803"/>
      <c r="J39" s="803"/>
      <c r="K39" s="803"/>
      <c r="L39" s="803"/>
      <c r="M39" s="803"/>
      <c r="N39" s="803"/>
      <c r="O39" s="803"/>
      <c r="P39" s="804"/>
      <c r="Q39" s="803"/>
      <c r="R39" s="803"/>
      <c r="S39" s="803"/>
      <c r="T39" s="803"/>
      <c r="U39" s="803"/>
      <c r="V39" s="804"/>
      <c r="W39" s="803"/>
      <c r="X39" s="803"/>
      <c r="Y39" s="803"/>
      <c r="Z39" s="803"/>
      <c r="AA39" s="803"/>
      <c r="AB39" s="803"/>
      <c r="AC39" s="803"/>
      <c r="AD39" s="803"/>
      <c r="AE39" s="803"/>
      <c r="AF39" s="803"/>
      <c r="AG39" s="803"/>
      <c r="AH39" s="803"/>
      <c r="AI39" s="803"/>
      <c r="AJ39" s="803"/>
      <c r="AK39" s="803"/>
      <c r="AL39" s="803"/>
      <c r="AM39" s="803"/>
      <c r="AN39" s="803"/>
      <c r="AO39" s="803"/>
      <c r="AP39" s="803"/>
      <c r="AQ39" s="803"/>
      <c r="AR39" s="803"/>
      <c r="AS39" s="803"/>
      <c r="AT39" s="803"/>
      <c r="AU39" s="115"/>
      <c r="AV39" s="793"/>
      <c r="AW39" s="803"/>
      <c r="AX39" s="805"/>
    </row>
    <row r="40" spans="1:50">
      <c r="A40" s="926" t="s">
        <v>358</v>
      </c>
      <c r="B40" s="134"/>
      <c r="C40" s="793"/>
      <c r="D40" s="793"/>
      <c r="E40" s="793"/>
      <c r="F40" s="793"/>
      <c r="G40" s="793"/>
      <c r="H40" s="793"/>
      <c r="I40" s="793"/>
      <c r="J40" s="793"/>
      <c r="K40" s="793"/>
      <c r="L40" s="793"/>
      <c r="M40" s="793"/>
      <c r="N40" s="793"/>
      <c r="O40" s="793"/>
      <c r="P40" s="793"/>
      <c r="Q40" s="793"/>
      <c r="R40" s="793"/>
      <c r="S40" s="793"/>
      <c r="T40" s="793"/>
      <c r="U40" s="793"/>
      <c r="V40" s="793"/>
      <c r="W40" s="793"/>
      <c r="X40" s="793"/>
      <c r="Y40" s="793"/>
      <c r="Z40" s="793"/>
      <c r="AA40" s="793"/>
      <c r="AB40" s="793"/>
      <c r="AC40" s="793"/>
      <c r="AD40" s="793"/>
      <c r="AE40" s="793"/>
      <c r="AF40" s="793"/>
      <c r="AG40" s="793"/>
      <c r="AH40" s="793"/>
      <c r="AI40" s="793"/>
      <c r="AJ40" s="793"/>
      <c r="AK40" s="793"/>
      <c r="AL40" s="793"/>
      <c r="AM40" s="793"/>
      <c r="AN40" s="793"/>
      <c r="AO40" s="793"/>
      <c r="AP40" s="793"/>
      <c r="AQ40" s="793"/>
      <c r="AR40" s="793"/>
      <c r="AS40" s="793"/>
      <c r="AT40" s="793"/>
      <c r="AU40" s="134"/>
      <c r="AV40" s="793"/>
      <c r="AW40" s="793"/>
      <c r="AX40" s="772"/>
    </row>
    <row r="41" spans="1:50">
      <c r="A41" s="781" t="s">
        <v>359</v>
      </c>
      <c r="B41" s="171">
        <f>'GH Financial'!B83-B28</f>
        <v>6811999.9299999997</v>
      </c>
      <c r="C41" s="793"/>
      <c r="D41" s="793"/>
      <c r="E41" s="793"/>
      <c r="F41" s="793"/>
      <c r="G41" s="793"/>
      <c r="H41" s="793"/>
      <c r="I41" s="793"/>
      <c r="J41" s="793"/>
      <c r="K41" s="793"/>
      <c r="L41" s="793"/>
      <c r="M41" s="786"/>
      <c r="N41" s="793"/>
      <c r="O41" s="793"/>
      <c r="P41" s="793"/>
      <c r="Q41" s="793"/>
      <c r="R41" s="793"/>
      <c r="S41" s="786"/>
      <c r="T41" s="793"/>
      <c r="U41" s="793"/>
      <c r="V41" s="793"/>
      <c r="W41" s="793"/>
      <c r="X41" s="793"/>
      <c r="Y41" s="793"/>
      <c r="Z41" s="793"/>
      <c r="AA41" s="793"/>
      <c r="AB41" s="793"/>
      <c r="AC41" s="793"/>
      <c r="AD41" s="793"/>
      <c r="AE41" s="793"/>
      <c r="AF41" s="793"/>
      <c r="AG41" s="793"/>
      <c r="AH41" s="793"/>
      <c r="AI41" s="793"/>
      <c r="AJ41" s="793"/>
      <c r="AK41" s="793"/>
      <c r="AL41" s="793"/>
      <c r="AM41" s="793"/>
      <c r="AN41" s="793"/>
      <c r="AO41" s="793"/>
      <c r="AP41" s="793"/>
      <c r="AQ41" s="793"/>
      <c r="AR41" s="793"/>
      <c r="AS41" s="793"/>
      <c r="AT41" s="793"/>
      <c r="AU41" s="134"/>
      <c r="AV41" s="772"/>
      <c r="AW41" s="793"/>
      <c r="AX41" s="772"/>
    </row>
    <row r="42" spans="1:50">
      <c r="A42" s="781" t="s">
        <v>360</v>
      </c>
      <c r="B42" s="796">
        <f>SUM(C42:AU42)</f>
        <v>3057237.7656151494</v>
      </c>
      <c r="C42" s="764">
        <f>-C27</f>
        <v>0</v>
      </c>
      <c r="D42" s="764">
        <f t="shared" ref="D42:AA42" si="25">-D27</f>
        <v>0</v>
      </c>
      <c r="E42" s="764">
        <f t="shared" si="25"/>
        <v>0</v>
      </c>
      <c r="F42" s="764">
        <f t="shared" si="25"/>
        <v>0</v>
      </c>
      <c r="G42" s="764">
        <f t="shared" si="25"/>
        <v>0</v>
      </c>
      <c r="H42" s="764">
        <f t="shared" si="25"/>
        <v>0</v>
      </c>
      <c r="I42" s="764">
        <f t="shared" si="25"/>
        <v>0</v>
      </c>
      <c r="J42" s="764">
        <f t="shared" si="25"/>
        <v>0</v>
      </c>
      <c r="K42" s="764">
        <f t="shared" si="25"/>
        <v>-301160.10288000002</v>
      </c>
      <c r="L42" s="764">
        <f t="shared" si="25"/>
        <v>-2692.12608</v>
      </c>
      <c r="M42" s="764">
        <f t="shared" si="25"/>
        <v>-2692.12608</v>
      </c>
      <c r="N42" s="764">
        <f t="shared" si="25"/>
        <v>-2692.12608</v>
      </c>
      <c r="O42" s="764">
        <f t="shared" si="25"/>
        <v>-2692.12608</v>
      </c>
      <c r="P42" s="764">
        <f t="shared" si="25"/>
        <v>-2692.12608</v>
      </c>
      <c r="Q42" s="764">
        <f t="shared" si="25"/>
        <v>-2692.12608</v>
      </c>
      <c r="R42" s="764">
        <f t="shared" si="25"/>
        <v>-2692.12608</v>
      </c>
      <c r="S42" s="764">
        <f t="shared" si="25"/>
        <v>-2692.12608</v>
      </c>
      <c r="T42" s="764">
        <f t="shared" si="25"/>
        <v>-2692.12608</v>
      </c>
      <c r="U42" s="764">
        <f t="shared" si="25"/>
        <v>-2692.12608</v>
      </c>
      <c r="V42" s="764">
        <f t="shared" si="25"/>
        <v>-2692.12608</v>
      </c>
      <c r="W42" s="764">
        <f t="shared" si="25"/>
        <v>-2692.12608</v>
      </c>
      <c r="X42" s="764">
        <f t="shared" si="25"/>
        <v>-2692.12608</v>
      </c>
      <c r="Y42" s="764">
        <f t="shared" si="25"/>
        <v>-2692.12608</v>
      </c>
      <c r="Z42" s="764">
        <f t="shared" si="25"/>
        <v>-2692.12608</v>
      </c>
      <c r="AA42" s="764">
        <f t="shared" si="25"/>
        <v>-2692.12608</v>
      </c>
      <c r="AB42" s="764">
        <f t="shared" ref="AB42:AM42" si="26">-AB27</f>
        <v>-2692.12608</v>
      </c>
      <c r="AC42" s="764">
        <f t="shared" si="26"/>
        <v>-2692.12608</v>
      </c>
      <c r="AD42" s="764">
        <f t="shared" si="26"/>
        <v>-2692.12608</v>
      </c>
      <c r="AE42" s="764">
        <f t="shared" si="26"/>
        <v>-473715.20923572732</v>
      </c>
      <c r="AF42" s="764">
        <f t="shared" si="26"/>
        <v>-586854.51898097002</v>
      </c>
      <c r="AG42" s="764">
        <f t="shared" si="26"/>
        <v>-586854.51898097002</v>
      </c>
      <c r="AH42" s="764">
        <f t="shared" si="26"/>
        <v>-586854.51898097002</v>
      </c>
      <c r="AI42" s="764">
        <f t="shared" si="26"/>
        <v>-440140.88923572731</v>
      </c>
      <c r="AJ42" s="764">
        <f t="shared" si="26"/>
        <v>-293427.25949048501</v>
      </c>
      <c r="AK42" s="764">
        <f t="shared" si="26"/>
        <v>-143970.875</v>
      </c>
      <c r="AL42" s="764">
        <f t="shared" si="26"/>
        <v>-143970.875</v>
      </c>
      <c r="AM42" s="764">
        <f t="shared" si="26"/>
        <v>-143970.875</v>
      </c>
      <c r="AN42" s="798">
        <f>B41-AB27</f>
        <v>6809307.8039199999</v>
      </c>
      <c r="AO42" s="764"/>
      <c r="AP42" s="764"/>
      <c r="AQ42" s="764"/>
      <c r="AR42" s="764"/>
      <c r="AS42" s="764">
        <f t="shared" ref="AS42:AU42" si="27">IF(AS31&gt;=$B$31,-(AS27+AS37),AS37)</f>
        <v>0</v>
      </c>
      <c r="AT42" s="764">
        <f t="shared" si="27"/>
        <v>0</v>
      </c>
      <c r="AU42" s="783">
        <f t="shared" si="27"/>
        <v>0</v>
      </c>
      <c r="AV42" s="772"/>
      <c r="AW42" s="772"/>
      <c r="AX42" s="772"/>
    </row>
    <row r="43" spans="1:50">
      <c r="A43" s="781" t="s">
        <v>361</v>
      </c>
      <c r="B43" s="799">
        <f>IF(B42&lt;0,0,IRR(C42:AU42))</f>
        <v>6.1516081851052284E-2</v>
      </c>
      <c r="C43" s="793"/>
      <c r="D43" s="793"/>
      <c r="E43" s="793"/>
      <c r="F43" s="793"/>
      <c r="G43" s="793"/>
      <c r="H43" s="793"/>
      <c r="I43" s="793"/>
      <c r="J43" s="793"/>
      <c r="K43" s="793"/>
      <c r="L43" s="793"/>
      <c r="M43" s="793"/>
      <c r="N43" s="793"/>
      <c r="O43" s="793"/>
      <c r="P43" s="793"/>
      <c r="Q43" s="793"/>
      <c r="R43" s="793"/>
      <c r="S43" s="793"/>
      <c r="T43" s="793"/>
      <c r="U43" s="793"/>
      <c r="V43" s="793"/>
      <c r="W43" s="793"/>
      <c r="X43" s="793"/>
      <c r="Y43" s="793"/>
      <c r="Z43" s="793"/>
      <c r="AA43" s="793"/>
      <c r="AB43" s="793"/>
      <c r="AC43" s="793"/>
      <c r="AD43" s="793"/>
      <c r="AE43" s="793"/>
      <c r="AF43" s="793"/>
      <c r="AG43" s="793"/>
      <c r="AH43" s="793"/>
      <c r="AI43" s="793"/>
      <c r="AJ43" s="793"/>
      <c r="AK43" s="793"/>
      <c r="AL43" s="793"/>
      <c r="AM43" s="793"/>
      <c r="AN43" s="793"/>
      <c r="AO43" s="793"/>
      <c r="AP43" s="793"/>
      <c r="AQ43" s="793"/>
      <c r="AR43" s="793"/>
      <c r="AS43" s="793"/>
      <c r="AT43" s="793"/>
      <c r="AU43" s="134"/>
      <c r="AV43" s="793"/>
      <c r="AW43" s="793"/>
      <c r="AX43" s="772"/>
    </row>
    <row r="44" spans="1:50">
      <c r="A44" s="772" t="s">
        <v>362</v>
      </c>
      <c r="B44" s="802">
        <f>POWER((1+B43),4)-1</f>
        <v>0.26971518134392336</v>
      </c>
      <c r="C44" s="793"/>
      <c r="D44" s="793"/>
      <c r="E44" s="793"/>
      <c r="F44" s="793"/>
      <c r="G44" s="793"/>
      <c r="H44" s="793"/>
      <c r="I44" s="793"/>
      <c r="J44" s="793"/>
      <c r="K44" s="793"/>
      <c r="L44" s="793"/>
      <c r="M44" s="793"/>
      <c r="N44" s="793"/>
      <c r="O44" s="793"/>
      <c r="P44" s="793"/>
      <c r="Q44" s="793"/>
      <c r="R44" s="793"/>
      <c r="S44" s="793"/>
      <c r="T44" s="793"/>
      <c r="U44" s="793"/>
      <c r="V44" s="793"/>
      <c r="W44" s="793"/>
      <c r="X44" s="793"/>
      <c r="Y44" s="793"/>
      <c r="Z44" s="793"/>
      <c r="AA44" s="793"/>
      <c r="AB44" s="793"/>
      <c r="AC44" s="793"/>
      <c r="AD44" s="793"/>
      <c r="AE44" s="793"/>
      <c r="AF44" s="793"/>
      <c r="AG44" s="793"/>
      <c r="AH44" s="793"/>
      <c r="AI44" s="793"/>
      <c r="AJ44" s="793"/>
      <c r="AK44" s="793"/>
      <c r="AL44" s="793"/>
      <c r="AM44" s="793"/>
      <c r="AN44" s="793"/>
      <c r="AO44" s="793"/>
      <c r="AP44" s="793"/>
      <c r="AQ44" s="793"/>
      <c r="AR44" s="793"/>
      <c r="AS44" s="793"/>
      <c r="AT44" s="793"/>
      <c r="AU44" s="134"/>
      <c r="AV44" s="793"/>
      <c r="AW44" s="793"/>
      <c r="AX44" s="772"/>
    </row>
    <row r="45" spans="1:50">
      <c r="G45" s="6"/>
      <c r="AB45" s="6"/>
      <c r="AE45" s="6"/>
      <c r="AU45" s="6"/>
    </row>
    <row r="46" spans="1:50">
      <c r="G46" s="6"/>
      <c r="AB46" s="6"/>
      <c r="AE46" s="6"/>
      <c r="AU46" s="6"/>
    </row>
    <row r="47" spans="1:50">
      <c r="G47" s="6"/>
      <c r="AB47" s="6"/>
      <c r="AE47" s="6"/>
      <c r="AU47" s="6"/>
    </row>
    <row r="48" spans="1:50">
      <c r="G48" s="6"/>
      <c r="AB48" s="6"/>
      <c r="AE48" s="6"/>
      <c r="AU48" s="6"/>
    </row>
    <row r="49" spans="7:47">
      <c r="G49" s="6"/>
      <c r="AB49" s="6"/>
      <c r="AE49" s="6"/>
      <c r="AU49" s="6"/>
    </row>
    <row r="50" spans="7:47">
      <c r="G50" s="6"/>
      <c r="AB50" s="6"/>
      <c r="AE50" s="6"/>
      <c r="AU50" s="6"/>
    </row>
    <row r="51" spans="7:47">
      <c r="G51" s="6"/>
      <c r="AB51" s="6"/>
      <c r="AE51" s="6"/>
      <c r="AU51" s="6"/>
    </row>
    <row r="52" spans="7:47">
      <c r="G52" s="6"/>
    </row>
    <row r="53" spans="7:47">
      <c r="G53" s="6"/>
    </row>
    <row r="54" spans="7:47">
      <c r="G54" s="6"/>
    </row>
    <row r="55" spans="7:47">
      <c r="G55" s="6"/>
    </row>
    <row r="56" spans="7:47">
      <c r="G56" s="6"/>
    </row>
    <row r="57" spans="7:47">
      <c r="G57" s="6"/>
    </row>
    <row r="58" spans="7:47">
      <c r="G58" s="6"/>
    </row>
    <row r="59" spans="7:47">
      <c r="G59" s="6"/>
    </row>
    <row r="60" spans="7:47">
      <c r="G60" s="6"/>
    </row>
    <row r="61" spans="7:47">
      <c r="G61" s="6"/>
    </row>
    <row r="62" spans="7:47">
      <c r="G62" s="6"/>
    </row>
    <row r="63" spans="7:47">
      <c r="G63" s="6"/>
    </row>
    <row r="64" spans="7:47">
      <c r="G64" s="6"/>
    </row>
    <row r="65" spans="7:7">
      <c r="G65" s="6"/>
    </row>
    <row r="66" spans="7:7">
      <c r="G66" s="6"/>
    </row>
    <row r="67" spans="7:7">
      <c r="G67" s="6"/>
    </row>
    <row r="68" spans="7:7">
      <c r="G68" s="6"/>
    </row>
    <row r="69" spans="7:7">
      <c r="G69" s="6"/>
    </row>
    <row r="70" spans="7:7">
      <c r="G70" s="6"/>
    </row>
    <row r="71" spans="7:7">
      <c r="G71" s="6"/>
    </row>
    <row r="72" spans="7:7">
      <c r="G72" s="6"/>
    </row>
    <row r="73" spans="7:7">
      <c r="G73" s="6"/>
    </row>
    <row r="74" spans="7:7">
      <c r="G74" s="6"/>
    </row>
    <row r="75" spans="7:7">
      <c r="G75" s="6"/>
    </row>
    <row r="76" spans="7:7">
      <c r="G76" s="6"/>
    </row>
    <row r="77" spans="7:7">
      <c r="G77" s="6"/>
    </row>
    <row r="78" spans="7:7">
      <c r="G78" s="6"/>
    </row>
    <row r="79" spans="7:7">
      <c r="G79" s="6"/>
    </row>
    <row r="80" spans="7:7">
      <c r="G80" s="6"/>
    </row>
    <row r="81" spans="7:7">
      <c r="G81" s="6"/>
    </row>
    <row r="82" spans="7:7">
      <c r="G82" s="6"/>
    </row>
    <row r="83" spans="7:7">
      <c r="G83" s="6"/>
    </row>
    <row r="84" spans="7:7">
      <c r="G84" s="6"/>
    </row>
    <row r="85" spans="7:7">
      <c r="G85" s="6"/>
    </row>
    <row r="86" spans="7:7">
      <c r="G86" s="6"/>
    </row>
    <row r="87" spans="7:7">
      <c r="G87" s="6"/>
    </row>
    <row r="88" spans="7:7">
      <c r="G88" s="6"/>
    </row>
    <row r="89" spans="7:7">
      <c r="G89" s="6"/>
    </row>
    <row r="90" spans="7:7">
      <c r="G90" s="6"/>
    </row>
    <row r="91" spans="7:7">
      <c r="G91" s="6"/>
    </row>
    <row r="92" spans="7:7">
      <c r="G92" s="6"/>
    </row>
    <row r="93" spans="7:7">
      <c r="G93" s="6"/>
    </row>
    <row r="94" spans="7:7">
      <c r="G94" s="6"/>
    </row>
    <row r="95" spans="7:7">
      <c r="G95" s="6"/>
    </row>
    <row r="96" spans="7:7">
      <c r="G96" s="6"/>
    </row>
    <row r="97" spans="7:7">
      <c r="G97" s="6"/>
    </row>
    <row r="98" spans="7:7">
      <c r="G98" s="6"/>
    </row>
    <row r="99" spans="7:7">
      <c r="G99" s="6"/>
    </row>
    <row r="100" spans="7:7">
      <c r="G100" s="6"/>
    </row>
    <row r="101" spans="7:7">
      <c r="G101" s="6"/>
    </row>
    <row r="102" spans="7:7">
      <c r="G102" s="6"/>
    </row>
    <row r="103" spans="7:7">
      <c r="G103" s="6"/>
    </row>
    <row r="104" spans="7:7">
      <c r="G104" s="6"/>
    </row>
    <row r="105" spans="7:7">
      <c r="G105" s="6"/>
    </row>
    <row r="106" spans="7:7">
      <c r="G106" s="6"/>
    </row>
    <row r="107" spans="7:7">
      <c r="G107" s="6"/>
    </row>
    <row r="108" spans="7:7">
      <c r="G108" s="6"/>
    </row>
    <row r="109" spans="7:7">
      <c r="G109" s="6"/>
    </row>
    <row r="110" spans="7:7">
      <c r="G110" s="6"/>
    </row>
    <row r="111" spans="7:7">
      <c r="G111" s="6"/>
    </row>
    <row r="112" spans="7:7">
      <c r="G112" s="6"/>
    </row>
    <row r="113" spans="7:7">
      <c r="G113" s="6"/>
    </row>
    <row r="114" spans="7:7">
      <c r="G114" s="6"/>
    </row>
    <row r="115" spans="7:7">
      <c r="G115" s="6"/>
    </row>
    <row r="116" spans="7:7">
      <c r="G116" s="6"/>
    </row>
    <row r="117" spans="7:7">
      <c r="G117" s="6"/>
    </row>
    <row r="118" spans="7:7">
      <c r="G118" s="6"/>
    </row>
    <row r="119" spans="7:7">
      <c r="G119" s="6"/>
    </row>
    <row r="120" spans="7:7">
      <c r="G120" s="6"/>
    </row>
    <row r="121" spans="7:7">
      <c r="G121" s="6"/>
    </row>
    <row r="122" spans="7:7">
      <c r="G122" s="6"/>
    </row>
    <row r="123" spans="7:7">
      <c r="G123" s="6"/>
    </row>
    <row r="124" spans="7:7">
      <c r="G124" s="6"/>
    </row>
    <row r="125" spans="7:7">
      <c r="G125" s="6"/>
    </row>
    <row r="126" spans="7:7">
      <c r="G126" s="6"/>
    </row>
    <row r="127" spans="7:7">
      <c r="G127" s="6"/>
    </row>
    <row r="128" spans="7:7">
      <c r="G128" s="6"/>
    </row>
    <row r="129" spans="7:7">
      <c r="G129" s="6"/>
    </row>
    <row r="130" spans="7:7">
      <c r="G130" s="6"/>
    </row>
    <row r="131" spans="7:7">
      <c r="G131" s="6"/>
    </row>
    <row r="132" spans="7:7">
      <c r="G132" s="6"/>
    </row>
    <row r="133" spans="7:7">
      <c r="G133" s="6"/>
    </row>
    <row r="134" spans="7:7">
      <c r="G134" s="6"/>
    </row>
    <row r="135" spans="7:7">
      <c r="G135" s="6"/>
    </row>
    <row r="136" spans="7:7">
      <c r="G136" s="6"/>
    </row>
    <row r="137" spans="7:7">
      <c r="G137" s="6"/>
    </row>
    <row r="138" spans="7:7">
      <c r="G138" s="6"/>
    </row>
    <row r="139" spans="7:7">
      <c r="G139" s="6"/>
    </row>
    <row r="140" spans="7:7">
      <c r="G140" s="6"/>
    </row>
    <row r="141" spans="7:7">
      <c r="G141" s="6"/>
    </row>
    <row r="142" spans="7:7">
      <c r="G142" s="6"/>
    </row>
    <row r="143" spans="7:7">
      <c r="G143" s="6"/>
    </row>
    <row r="144" spans="7:7">
      <c r="G144" s="6"/>
    </row>
    <row r="145" spans="7:7">
      <c r="G145" s="6"/>
    </row>
    <row r="146" spans="7:7">
      <c r="G146" s="6"/>
    </row>
    <row r="147" spans="7:7">
      <c r="G147" s="6"/>
    </row>
    <row r="148" spans="7:7">
      <c r="G148" s="6"/>
    </row>
    <row r="149" spans="7:7">
      <c r="G149" s="6"/>
    </row>
    <row r="150" spans="7:7">
      <c r="G150" s="6"/>
    </row>
    <row r="151" spans="7:7">
      <c r="G151" s="6"/>
    </row>
    <row r="152" spans="7:7">
      <c r="G152" s="6"/>
    </row>
    <row r="153" spans="7:7">
      <c r="G153" s="6"/>
    </row>
    <row r="154" spans="7:7">
      <c r="G154" s="6"/>
    </row>
    <row r="155" spans="7:7">
      <c r="G155" s="6"/>
    </row>
    <row r="156" spans="7:7">
      <c r="G156" s="6"/>
    </row>
    <row r="157" spans="7:7">
      <c r="G157" s="6"/>
    </row>
    <row r="158" spans="7:7">
      <c r="G158" s="6"/>
    </row>
    <row r="159" spans="7:7">
      <c r="G159" s="6"/>
    </row>
    <row r="160" spans="7:7">
      <c r="G160" s="6"/>
    </row>
    <row r="161" spans="7:7">
      <c r="G161" s="6"/>
    </row>
    <row r="162" spans="7:7">
      <c r="G162" s="6"/>
    </row>
    <row r="163" spans="7:7">
      <c r="G163" s="6"/>
    </row>
    <row r="164" spans="7:7">
      <c r="G164" s="6"/>
    </row>
    <row r="165" spans="7:7">
      <c r="G165" s="6"/>
    </row>
    <row r="166" spans="7:7">
      <c r="G166" s="6"/>
    </row>
    <row r="167" spans="7:7">
      <c r="G167" s="6"/>
    </row>
    <row r="168" spans="7:7">
      <c r="G168" s="6"/>
    </row>
    <row r="169" spans="7:7">
      <c r="G169" s="6"/>
    </row>
    <row r="170" spans="7:7">
      <c r="G170" s="6"/>
    </row>
    <row r="171" spans="7:7">
      <c r="G171" s="6"/>
    </row>
    <row r="172" spans="7:7">
      <c r="G172" s="6"/>
    </row>
    <row r="173" spans="7:7">
      <c r="G173" s="6"/>
    </row>
    <row r="174" spans="7:7">
      <c r="G174" s="6"/>
    </row>
    <row r="175" spans="7:7">
      <c r="G175" s="6"/>
    </row>
    <row r="176" spans="7:7">
      <c r="G176" s="6"/>
    </row>
    <row r="177" spans="7:7">
      <c r="G177" s="6"/>
    </row>
    <row r="178" spans="7:7">
      <c r="G178" s="6"/>
    </row>
    <row r="179" spans="7:7">
      <c r="G179" s="6"/>
    </row>
    <row r="180" spans="7:7">
      <c r="G180" s="6"/>
    </row>
    <row r="181" spans="7:7">
      <c r="G181" s="6"/>
    </row>
    <row r="182" spans="7:7">
      <c r="G182" s="6"/>
    </row>
    <row r="183" spans="7:7">
      <c r="G183" s="6"/>
    </row>
    <row r="184" spans="7:7">
      <c r="G184" s="6"/>
    </row>
    <row r="185" spans="7:7">
      <c r="G185" s="6"/>
    </row>
    <row r="186" spans="7:7">
      <c r="G186" s="6"/>
    </row>
    <row r="187" spans="7:7">
      <c r="G187" s="6"/>
    </row>
    <row r="188" spans="7:7">
      <c r="G188" s="6"/>
    </row>
    <row r="189" spans="7:7">
      <c r="G189" s="6"/>
    </row>
    <row r="190" spans="7:7">
      <c r="G190" s="6"/>
    </row>
    <row r="191" spans="7:7">
      <c r="G191" s="6"/>
    </row>
    <row r="192" spans="7:7">
      <c r="G192" s="6"/>
    </row>
    <row r="193" spans="7:7">
      <c r="G193" s="6"/>
    </row>
    <row r="194" spans="7:7">
      <c r="G194" s="6"/>
    </row>
    <row r="195" spans="7:7">
      <c r="G195" s="6"/>
    </row>
    <row r="196" spans="7:7">
      <c r="G196" s="6"/>
    </row>
    <row r="197" spans="7:7">
      <c r="G197" s="6"/>
    </row>
    <row r="198" spans="7:7">
      <c r="G198" s="6"/>
    </row>
    <row r="199" spans="7:7">
      <c r="G199" s="6"/>
    </row>
    <row r="200" spans="7:7">
      <c r="G200" s="6"/>
    </row>
    <row r="201" spans="7:7">
      <c r="G201" s="6"/>
    </row>
    <row r="202" spans="7:7">
      <c r="G202" s="6"/>
    </row>
    <row r="203" spans="7:7">
      <c r="G203" s="6"/>
    </row>
    <row r="204" spans="7:7">
      <c r="G204" s="6"/>
    </row>
    <row r="205" spans="7:7">
      <c r="G205" s="6"/>
    </row>
    <row r="206" spans="7:7">
      <c r="G206" s="6"/>
    </row>
    <row r="207" spans="7:7">
      <c r="G207" s="6"/>
    </row>
    <row r="208" spans="7:7">
      <c r="G208" s="6"/>
    </row>
    <row r="209" spans="7:7">
      <c r="G209" s="6"/>
    </row>
    <row r="210" spans="7:7">
      <c r="G210" s="6"/>
    </row>
    <row r="211" spans="7:7">
      <c r="G211" s="6"/>
    </row>
    <row r="212" spans="7:7">
      <c r="G212" s="6"/>
    </row>
    <row r="213" spans="7:7">
      <c r="G213" s="6"/>
    </row>
    <row r="214" spans="7:7">
      <c r="G214" s="6"/>
    </row>
    <row r="215" spans="7:7">
      <c r="G215" s="6"/>
    </row>
    <row r="216" spans="7:7">
      <c r="G216" s="6"/>
    </row>
    <row r="217" spans="7:7">
      <c r="G217" s="6"/>
    </row>
    <row r="218" spans="7:7">
      <c r="G218" s="6"/>
    </row>
    <row r="219" spans="7:7">
      <c r="G219" s="6"/>
    </row>
    <row r="220" spans="7:7">
      <c r="G220" s="6"/>
    </row>
    <row r="221" spans="7:7">
      <c r="G221" s="6"/>
    </row>
    <row r="222" spans="7:7">
      <c r="G222" s="6"/>
    </row>
    <row r="223" spans="7:7">
      <c r="G223" s="6"/>
    </row>
    <row r="224" spans="7:7">
      <c r="G224" s="6"/>
    </row>
    <row r="225" spans="7:7">
      <c r="G225" s="6"/>
    </row>
    <row r="226" spans="7:7">
      <c r="G226" s="6"/>
    </row>
    <row r="227" spans="7:7">
      <c r="G227" s="6"/>
    </row>
    <row r="228" spans="7:7">
      <c r="G228" s="6"/>
    </row>
    <row r="229" spans="7:7">
      <c r="G229" s="6"/>
    </row>
    <row r="230" spans="7:7">
      <c r="G230" s="6"/>
    </row>
    <row r="231" spans="7:7">
      <c r="G231" s="6"/>
    </row>
    <row r="232" spans="7:7">
      <c r="G232" s="6"/>
    </row>
    <row r="233" spans="7:7">
      <c r="G233" s="6"/>
    </row>
    <row r="234" spans="7:7">
      <c r="G234" s="6"/>
    </row>
    <row r="235" spans="7:7">
      <c r="G235" s="6"/>
    </row>
    <row r="236" spans="7:7">
      <c r="G236" s="6"/>
    </row>
    <row r="237" spans="7:7">
      <c r="G237" s="6"/>
    </row>
    <row r="238" spans="7:7">
      <c r="G238" s="6"/>
    </row>
    <row r="239" spans="7:7">
      <c r="G239" s="6"/>
    </row>
    <row r="240" spans="7:7">
      <c r="G240" s="6"/>
    </row>
    <row r="241" spans="7:7">
      <c r="G241" s="6"/>
    </row>
    <row r="242" spans="7:7">
      <c r="G242" s="6"/>
    </row>
    <row r="243" spans="7:7">
      <c r="G243" s="6"/>
    </row>
    <row r="244" spans="7:7">
      <c r="G244" s="6"/>
    </row>
    <row r="245" spans="7:7">
      <c r="G245" s="6"/>
    </row>
    <row r="246" spans="7:7">
      <c r="G246" s="6"/>
    </row>
    <row r="247" spans="7:7">
      <c r="G247" s="6"/>
    </row>
    <row r="248" spans="7:7">
      <c r="G248" s="6"/>
    </row>
    <row r="249" spans="7:7">
      <c r="G249" s="6"/>
    </row>
    <row r="250" spans="7:7">
      <c r="G250" s="6"/>
    </row>
    <row r="251" spans="7:7">
      <c r="G251" s="6"/>
    </row>
    <row r="252" spans="7:7">
      <c r="G252" s="6"/>
    </row>
    <row r="253" spans="7:7">
      <c r="G253" s="6"/>
    </row>
    <row r="254" spans="7:7">
      <c r="G254" s="6"/>
    </row>
    <row r="255" spans="7:7">
      <c r="G255" s="6"/>
    </row>
    <row r="256" spans="7:7">
      <c r="G256" s="6"/>
    </row>
    <row r="257" spans="7:7">
      <c r="G257" s="6"/>
    </row>
    <row r="258" spans="7:7">
      <c r="G258" s="6"/>
    </row>
    <row r="259" spans="7:7">
      <c r="G259" s="6"/>
    </row>
    <row r="260" spans="7:7">
      <c r="G260" s="6"/>
    </row>
    <row r="261" spans="7:7">
      <c r="G261" s="6"/>
    </row>
    <row r="262" spans="7:7">
      <c r="G262" s="6"/>
    </row>
    <row r="263" spans="7:7">
      <c r="G263" s="6"/>
    </row>
    <row r="264" spans="7:7">
      <c r="G264" s="6"/>
    </row>
    <row r="265" spans="7:7">
      <c r="G265" s="6"/>
    </row>
    <row r="266" spans="7:7">
      <c r="G266" s="6"/>
    </row>
    <row r="267" spans="7:7">
      <c r="G267" s="6"/>
    </row>
    <row r="268" spans="7:7">
      <c r="G268" s="6"/>
    </row>
    <row r="269" spans="7:7">
      <c r="G269" s="6"/>
    </row>
    <row r="270" spans="7:7">
      <c r="G270" s="6"/>
    </row>
    <row r="271" spans="7:7">
      <c r="G271" s="6"/>
    </row>
    <row r="272" spans="7:7">
      <c r="G272" s="6"/>
    </row>
    <row r="273" spans="7:7">
      <c r="G273" s="6"/>
    </row>
    <row r="274" spans="7:7">
      <c r="G274" s="6"/>
    </row>
    <row r="275" spans="7:7">
      <c r="G275" s="6"/>
    </row>
    <row r="276" spans="7:7">
      <c r="G276" s="6"/>
    </row>
    <row r="277" spans="7:7">
      <c r="G277" s="6"/>
    </row>
    <row r="278" spans="7:7">
      <c r="G278" s="6"/>
    </row>
    <row r="279" spans="7:7">
      <c r="G279" s="6"/>
    </row>
    <row r="280" spans="7:7">
      <c r="G280" s="6"/>
    </row>
    <row r="281" spans="7:7">
      <c r="G281" s="6"/>
    </row>
    <row r="282" spans="7:7">
      <c r="G282" s="6"/>
    </row>
    <row r="283" spans="7:7">
      <c r="G283" s="6"/>
    </row>
    <row r="284" spans="7:7">
      <c r="G284" s="6"/>
    </row>
    <row r="285" spans="7:7">
      <c r="G285" s="6"/>
    </row>
    <row r="286" spans="7:7">
      <c r="G286" s="6"/>
    </row>
    <row r="287" spans="7:7">
      <c r="G287" s="6"/>
    </row>
    <row r="288" spans="7:7">
      <c r="G288" s="6"/>
    </row>
    <row r="289" spans="7:7">
      <c r="G289" s="6"/>
    </row>
    <row r="290" spans="7:7">
      <c r="G290" s="6"/>
    </row>
    <row r="291" spans="7:7">
      <c r="G291" s="6"/>
    </row>
    <row r="292" spans="7:7">
      <c r="G292" s="6"/>
    </row>
    <row r="293" spans="7:7">
      <c r="G293" s="6"/>
    </row>
    <row r="294" spans="7:7">
      <c r="G294" s="6"/>
    </row>
    <row r="295" spans="7:7">
      <c r="G295" s="6"/>
    </row>
    <row r="296" spans="7:7">
      <c r="G296" s="6"/>
    </row>
    <row r="297" spans="7:7">
      <c r="G297" s="6"/>
    </row>
    <row r="298" spans="7:7">
      <c r="G298" s="6"/>
    </row>
    <row r="299" spans="7:7">
      <c r="G299" s="6"/>
    </row>
    <row r="300" spans="7:7">
      <c r="G300" s="6"/>
    </row>
    <row r="301" spans="7:7">
      <c r="G301" s="6"/>
    </row>
    <row r="302" spans="7:7">
      <c r="G302" s="6"/>
    </row>
    <row r="303" spans="7:7">
      <c r="G303" s="6"/>
    </row>
    <row r="304" spans="7:7">
      <c r="G304" s="6"/>
    </row>
    <row r="305" spans="7:7">
      <c r="G305" s="6"/>
    </row>
    <row r="306" spans="7:7">
      <c r="G306" s="6"/>
    </row>
    <row r="307" spans="7:7">
      <c r="G307" s="6"/>
    </row>
    <row r="308" spans="7:7">
      <c r="G308" s="6"/>
    </row>
    <row r="309" spans="7:7">
      <c r="G309" s="6"/>
    </row>
    <row r="310" spans="7:7">
      <c r="G310" s="6"/>
    </row>
    <row r="311" spans="7:7">
      <c r="G311" s="6"/>
    </row>
    <row r="312" spans="7:7">
      <c r="G312" s="6"/>
    </row>
    <row r="313" spans="7:7">
      <c r="G313" s="6"/>
    </row>
    <row r="314" spans="7:7">
      <c r="G314" s="6"/>
    </row>
    <row r="315" spans="7:7">
      <c r="G315" s="6"/>
    </row>
    <row r="316" spans="7:7">
      <c r="G316" s="6"/>
    </row>
    <row r="317" spans="7:7">
      <c r="G317" s="6"/>
    </row>
    <row r="318" spans="7:7">
      <c r="G318" s="6"/>
    </row>
    <row r="319" spans="7:7">
      <c r="G319" s="6"/>
    </row>
    <row r="320" spans="7:7">
      <c r="G320" s="6"/>
    </row>
    <row r="321" spans="7:7">
      <c r="G321" s="6"/>
    </row>
    <row r="322" spans="7:7">
      <c r="G322" s="6"/>
    </row>
    <row r="323" spans="7:7">
      <c r="G323" s="6"/>
    </row>
    <row r="324" spans="7:7">
      <c r="G324" s="6"/>
    </row>
    <row r="325" spans="7:7">
      <c r="G325" s="6"/>
    </row>
    <row r="326" spans="7:7">
      <c r="G326" s="6"/>
    </row>
    <row r="327" spans="7:7">
      <c r="G327" s="6"/>
    </row>
    <row r="328" spans="7:7">
      <c r="G328" s="6"/>
    </row>
    <row r="329" spans="7:7">
      <c r="G329" s="6"/>
    </row>
    <row r="330" spans="7:7">
      <c r="G330" s="6"/>
    </row>
    <row r="331" spans="7:7">
      <c r="G331" s="6"/>
    </row>
    <row r="332" spans="7:7">
      <c r="G332" s="6"/>
    </row>
    <row r="333" spans="7:7">
      <c r="G333" s="6"/>
    </row>
    <row r="334" spans="7:7">
      <c r="G334" s="6"/>
    </row>
    <row r="335" spans="7:7">
      <c r="G335" s="6"/>
    </row>
    <row r="336" spans="7:7">
      <c r="G336" s="6"/>
    </row>
    <row r="337" spans="7:7">
      <c r="G337" s="6"/>
    </row>
    <row r="338" spans="7:7">
      <c r="G338" s="6"/>
    </row>
    <row r="339" spans="7:7">
      <c r="G339" s="6"/>
    </row>
    <row r="340" spans="7:7">
      <c r="G340" s="6"/>
    </row>
    <row r="341" spans="7:7">
      <c r="G341" s="6"/>
    </row>
    <row r="342" spans="7:7">
      <c r="G342" s="6"/>
    </row>
    <row r="343" spans="7:7">
      <c r="G343" s="6"/>
    </row>
    <row r="344" spans="7:7">
      <c r="G344" s="6"/>
    </row>
    <row r="345" spans="7:7">
      <c r="G345" s="6"/>
    </row>
    <row r="346" spans="7:7">
      <c r="G346" s="6"/>
    </row>
    <row r="347" spans="7:7">
      <c r="G347" s="6"/>
    </row>
    <row r="348" spans="7:7">
      <c r="G348" s="6"/>
    </row>
    <row r="349" spans="7:7">
      <c r="G349" s="6"/>
    </row>
    <row r="350" spans="7:7">
      <c r="G350" s="6"/>
    </row>
    <row r="351" spans="7:7">
      <c r="G351" s="6"/>
    </row>
    <row r="352" spans="7:7">
      <c r="G352" s="6"/>
    </row>
    <row r="353" spans="7:7">
      <c r="G353" s="6"/>
    </row>
    <row r="354" spans="7:7">
      <c r="G354" s="6"/>
    </row>
    <row r="355" spans="7:7">
      <c r="G355" s="6"/>
    </row>
    <row r="356" spans="7:7">
      <c r="G356" s="6"/>
    </row>
    <row r="357" spans="7:7">
      <c r="G357" s="6"/>
    </row>
    <row r="358" spans="7:7">
      <c r="G358" s="6"/>
    </row>
    <row r="359" spans="7:7">
      <c r="G359" s="6"/>
    </row>
    <row r="360" spans="7:7">
      <c r="G360" s="6"/>
    </row>
    <row r="361" spans="7:7">
      <c r="G361" s="6"/>
    </row>
    <row r="362" spans="7:7">
      <c r="G362" s="6"/>
    </row>
    <row r="363" spans="7:7">
      <c r="G363" s="6"/>
    </row>
    <row r="364" spans="7:7">
      <c r="G364" s="6"/>
    </row>
    <row r="365" spans="7:7">
      <c r="G365" s="6"/>
    </row>
    <row r="366" spans="7:7">
      <c r="G366" s="6"/>
    </row>
    <row r="367" spans="7:7">
      <c r="G367" s="6"/>
    </row>
    <row r="368" spans="7:7">
      <c r="G368" s="6"/>
    </row>
    <row r="369" spans="7:7">
      <c r="G369" s="6"/>
    </row>
    <row r="370" spans="7:7">
      <c r="G370" s="6"/>
    </row>
    <row r="371" spans="7:7">
      <c r="G371" s="6"/>
    </row>
    <row r="372" spans="7:7">
      <c r="G372" s="6"/>
    </row>
    <row r="373" spans="7:7">
      <c r="G373" s="6"/>
    </row>
    <row r="374" spans="7:7">
      <c r="G374" s="6"/>
    </row>
    <row r="375" spans="7:7">
      <c r="G375" s="6"/>
    </row>
    <row r="376" spans="7:7">
      <c r="G376" s="6"/>
    </row>
    <row r="377" spans="7:7">
      <c r="G377" s="6"/>
    </row>
    <row r="378" spans="7:7">
      <c r="G378" s="6"/>
    </row>
    <row r="379" spans="7:7">
      <c r="G379" s="6"/>
    </row>
    <row r="380" spans="7:7">
      <c r="G380" s="6"/>
    </row>
    <row r="381" spans="7:7">
      <c r="G381" s="6"/>
    </row>
    <row r="382" spans="7:7">
      <c r="G382" s="6"/>
    </row>
    <row r="383" spans="7:7">
      <c r="G383" s="6"/>
    </row>
    <row r="384" spans="7:7">
      <c r="G384" s="6"/>
    </row>
    <row r="385" spans="7:7">
      <c r="G385" s="6"/>
    </row>
    <row r="386" spans="7:7">
      <c r="G386" s="6"/>
    </row>
    <row r="387" spans="7:7">
      <c r="G387" s="6"/>
    </row>
    <row r="388" spans="7:7">
      <c r="G388" s="6"/>
    </row>
    <row r="389" spans="7:7">
      <c r="G389" s="6"/>
    </row>
    <row r="390" spans="7:7">
      <c r="G390" s="6"/>
    </row>
    <row r="391" spans="7:7">
      <c r="G391" s="6"/>
    </row>
    <row r="392" spans="7:7">
      <c r="G392" s="6"/>
    </row>
    <row r="393" spans="7:7">
      <c r="G393" s="6"/>
    </row>
    <row r="394" spans="7:7">
      <c r="G394" s="6"/>
    </row>
    <row r="395" spans="7:7">
      <c r="G395" s="6"/>
    </row>
    <row r="396" spans="7:7">
      <c r="G396" s="6"/>
    </row>
    <row r="397" spans="7:7">
      <c r="G397" s="6"/>
    </row>
    <row r="398" spans="7:7">
      <c r="G398" s="6"/>
    </row>
    <row r="399" spans="7:7">
      <c r="G399" s="6"/>
    </row>
    <row r="400" spans="7:7">
      <c r="G400" s="6"/>
    </row>
    <row r="401" spans="7:7">
      <c r="G401" s="6"/>
    </row>
    <row r="402" spans="7:7">
      <c r="G402" s="6"/>
    </row>
    <row r="403" spans="7:7">
      <c r="G403" s="6"/>
    </row>
    <row r="404" spans="7:7">
      <c r="G404" s="6"/>
    </row>
    <row r="405" spans="7:7">
      <c r="G405" s="6"/>
    </row>
    <row r="406" spans="7:7">
      <c r="G406" s="6"/>
    </row>
    <row r="407" spans="7:7">
      <c r="G407" s="6"/>
    </row>
    <row r="408" spans="7:7">
      <c r="G408" s="6"/>
    </row>
    <row r="409" spans="7:7">
      <c r="G409" s="6"/>
    </row>
    <row r="410" spans="7:7">
      <c r="G410" s="6"/>
    </row>
    <row r="411" spans="7:7">
      <c r="G411" s="6"/>
    </row>
    <row r="412" spans="7:7">
      <c r="G412" s="6"/>
    </row>
    <row r="413" spans="7:7">
      <c r="G413" s="6"/>
    </row>
    <row r="414" spans="7:7">
      <c r="G414" s="6"/>
    </row>
    <row r="415" spans="7:7">
      <c r="G415" s="6"/>
    </row>
    <row r="416" spans="7:7">
      <c r="G416" s="6"/>
    </row>
    <row r="417" spans="7:7">
      <c r="G417" s="6"/>
    </row>
    <row r="418" spans="7:7">
      <c r="G418" s="6"/>
    </row>
    <row r="419" spans="7:7">
      <c r="G419" s="6"/>
    </row>
    <row r="420" spans="7:7">
      <c r="G420" s="6"/>
    </row>
    <row r="421" spans="7:7">
      <c r="G421" s="6"/>
    </row>
    <row r="422" spans="7:7">
      <c r="G422" s="6"/>
    </row>
    <row r="423" spans="7:7">
      <c r="G423" s="6"/>
    </row>
    <row r="424" spans="7:7">
      <c r="G424" s="6"/>
    </row>
    <row r="425" spans="7:7">
      <c r="G425" s="6"/>
    </row>
    <row r="426" spans="7:7">
      <c r="G426" s="6"/>
    </row>
    <row r="427" spans="7:7">
      <c r="G427" s="6"/>
    </row>
    <row r="428" spans="7:7">
      <c r="G428" s="6"/>
    </row>
    <row r="429" spans="7:7">
      <c r="G429" s="6"/>
    </row>
    <row r="430" spans="7:7">
      <c r="G430" s="6"/>
    </row>
    <row r="431" spans="7:7">
      <c r="G431" s="6"/>
    </row>
    <row r="432" spans="7:7">
      <c r="G432" s="6"/>
    </row>
    <row r="433" spans="7:7">
      <c r="G433" s="6"/>
    </row>
    <row r="434" spans="7:7">
      <c r="G434" s="6"/>
    </row>
    <row r="435" spans="7:7">
      <c r="G435" s="6"/>
    </row>
    <row r="436" spans="7:7">
      <c r="G436" s="6"/>
    </row>
    <row r="437" spans="7:7">
      <c r="G437" s="6"/>
    </row>
    <row r="438" spans="7:7">
      <c r="G438" s="6"/>
    </row>
    <row r="439" spans="7:7">
      <c r="G439" s="6"/>
    </row>
    <row r="440" spans="7:7">
      <c r="G440" s="6"/>
    </row>
    <row r="441" spans="7:7">
      <c r="G441" s="6"/>
    </row>
    <row r="442" spans="7:7">
      <c r="G442" s="6"/>
    </row>
    <row r="443" spans="7:7">
      <c r="G443" s="6"/>
    </row>
    <row r="444" spans="7:7">
      <c r="G444" s="6"/>
    </row>
    <row r="445" spans="7:7">
      <c r="G445" s="6"/>
    </row>
    <row r="446" spans="7:7">
      <c r="G446" s="6"/>
    </row>
    <row r="447" spans="7:7">
      <c r="G447" s="6"/>
    </row>
    <row r="448" spans="7:7">
      <c r="G448" s="6"/>
    </row>
    <row r="449" spans="7:7">
      <c r="G449" s="6"/>
    </row>
    <row r="450" spans="7:7">
      <c r="G450" s="6"/>
    </row>
    <row r="451" spans="7:7">
      <c r="G451" s="6"/>
    </row>
    <row r="452" spans="7:7">
      <c r="G452" s="6"/>
    </row>
    <row r="453" spans="7:7">
      <c r="G453" s="6"/>
    </row>
    <row r="454" spans="7:7">
      <c r="G454" s="6"/>
    </row>
    <row r="455" spans="7:7">
      <c r="G455" s="6"/>
    </row>
    <row r="456" spans="7:7">
      <c r="G456" s="6"/>
    </row>
    <row r="457" spans="7:7">
      <c r="G457" s="6"/>
    </row>
    <row r="458" spans="7:7">
      <c r="G458" s="6"/>
    </row>
    <row r="459" spans="7:7">
      <c r="G459" s="6"/>
    </row>
    <row r="460" spans="7:7">
      <c r="G460" s="6"/>
    </row>
    <row r="461" spans="7:7">
      <c r="G461" s="6"/>
    </row>
    <row r="462" spans="7:7">
      <c r="G462" s="6"/>
    </row>
    <row r="463" spans="7:7">
      <c r="G463" s="6"/>
    </row>
    <row r="464" spans="7:7">
      <c r="G464" s="6"/>
    </row>
    <row r="465" spans="7:7">
      <c r="G465" s="6"/>
    </row>
    <row r="466" spans="7:7">
      <c r="G466" s="6"/>
    </row>
    <row r="467" spans="7:7">
      <c r="G467" s="6"/>
    </row>
    <row r="468" spans="7:7">
      <c r="G468" s="6"/>
    </row>
    <row r="469" spans="7:7">
      <c r="G469" s="6"/>
    </row>
    <row r="470" spans="7:7">
      <c r="G470" s="6"/>
    </row>
    <row r="471" spans="7:7">
      <c r="G471" s="6"/>
    </row>
    <row r="472" spans="7:7">
      <c r="G472" s="6"/>
    </row>
    <row r="473" spans="7:7">
      <c r="G473" s="6"/>
    </row>
    <row r="474" spans="7:7">
      <c r="G474" s="6"/>
    </row>
    <row r="475" spans="7:7">
      <c r="G475" s="6"/>
    </row>
    <row r="476" spans="7:7">
      <c r="G476" s="6"/>
    </row>
    <row r="477" spans="7:7">
      <c r="G477" s="6"/>
    </row>
    <row r="478" spans="7:7">
      <c r="G478" s="6"/>
    </row>
    <row r="479" spans="7:7">
      <c r="G479" s="6"/>
    </row>
    <row r="480" spans="7:7">
      <c r="G480" s="6"/>
    </row>
    <row r="481" spans="7:7">
      <c r="G481" s="6"/>
    </row>
    <row r="482" spans="7:7">
      <c r="G482" s="6"/>
    </row>
    <row r="483" spans="7:7">
      <c r="G483" s="6"/>
    </row>
    <row r="484" spans="7:7">
      <c r="G484" s="6"/>
    </row>
    <row r="485" spans="7:7">
      <c r="G485" s="6"/>
    </row>
    <row r="486" spans="7:7">
      <c r="G486" s="6"/>
    </row>
    <row r="487" spans="7:7">
      <c r="G487" s="6"/>
    </row>
    <row r="488" spans="7:7">
      <c r="G488" s="6"/>
    </row>
    <row r="489" spans="7:7">
      <c r="G489" s="6"/>
    </row>
    <row r="490" spans="7:7">
      <c r="G490" s="6"/>
    </row>
    <row r="491" spans="7:7">
      <c r="G491" s="6"/>
    </row>
    <row r="492" spans="7:7">
      <c r="G492" s="6"/>
    </row>
    <row r="493" spans="7:7">
      <c r="G493" s="6"/>
    </row>
    <row r="494" spans="7:7">
      <c r="G494" s="6"/>
    </row>
    <row r="495" spans="7:7">
      <c r="G495" s="6"/>
    </row>
    <row r="496" spans="7:7">
      <c r="G496" s="6"/>
    </row>
    <row r="497" spans="7:7">
      <c r="G497" s="6"/>
    </row>
    <row r="498" spans="7:7">
      <c r="G498" s="6"/>
    </row>
    <row r="499" spans="7:7">
      <c r="G499" s="6"/>
    </row>
    <row r="500" spans="7:7">
      <c r="G500" s="6"/>
    </row>
    <row r="501" spans="7:7">
      <c r="G501" s="6"/>
    </row>
    <row r="502" spans="7:7">
      <c r="G502" s="6"/>
    </row>
    <row r="503" spans="7:7">
      <c r="G503" s="6"/>
    </row>
    <row r="504" spans="7:7">
      <c r="G504" s="6"/>
    </row>
    <row r="505" spans="7:7">
      <c r="G505" s="6"/>
    </row>
    <row r="506" spans="7:7">
      <c r="G506" s="6"/>
    </row>
    <row r="507" spans="7:7">
      <c r="G507" s="6"/>
    </row>
    <row r="508" spans="7:7">
      <c r="G508" s="6"/>
    </row>
    <row r="509" spans="7:7">
      <c r="G509" s="6"/>
    </row>
    <row r="510" spans="7:7">
      <c r="G510" s="6"/>
    </row>
    <row r="511" spans="7:7">
      <c r="G511" s="6"/>
    </row>
    <row r="512" spans="7:7">
      <c r="G512" s="6"/>
    </row>
    <row r="513" spans="7:7">
      <c r="G513" s="6"/>
    </row>
    <row r="514" spans="7:7">
      <c r="G514" s="6"/>
    </row>
    <row r="515" spans="7:7">
      <c r="G515" s="6"/>
    </row>
    <row r="516" spans="7:7">
      <c r="G516" s="6"/>
    </row>
    <row r="517" spans="7:7">
      <c r="G517" s="6"/>
    </row>
    <row r="518" spans="7:7">
      <c r="G518" s="6"/>
    </row>
    <row r="519" spans="7:7">
      <c r="G519" s="6"/>
    </row>
    <row r="520" spans="7:7">
      <c r="G520" s="6"/>
    </row>
    <row r="521" spans="7:7">
      <c r="G521" s="6"/>
    </row>
    <row r="522" spans="7:7">
      <c r="G522" s="6"/>
    </row>
    <row r="523" spans="7:7">
      <c r="G523" s="6"/>
    </row>
    <row r="524" spans="7:7">
      <c r="G524" s="6"/>
    </row>
    <row r="525" spans="7:7">
      <c r="G525" s="6"/>
    </row>
    <row r="526" spans="7:7">
      <c r="G526" s="6"/>
    </row>
    <row r="527" spans="7:7">
      <c r="G527" s="6"/>
    </row>
    <row r="528" spans="7:7">
      <c r="G528" s="6"/>
    </row>
    <row r="529" spans="7:7">
      <c r="G529" s="6"/>
    </row>
    <row r="530" spans="7:7">
      <c r="G530" s="6"/>
    </row>
    <row r="531" spans="7:7">
      <c r="G531" s="6"/>
    </row>
    <row r="532" spans="7:7">
      <c r="G532" s="6"/>
    </row>
    <row r="533" spans="7:7">
      <c r="G533" s="6"/>
    </row>
    <row r="534" spans="7:7">
      <c r="G534" s="6"/>
    </row>
    <row r="535" spans="7:7">
      <c r="G535" s="6"/>
    </row>
    <row r="536" spans="7:7">
      <c r="G536" s="6"/>
    </row>
    <row r="537" spans="7:7">
      <c r="G537" s="6"/>
    </row>
    <row r="538" spans="7:7">
      <c r="G538" s="6"/>
    </row>
    <row r="539" spans="7:7">
      <c r="G539" s="6"/>
    </row>
    <row r="540" spans="7:7">
      <c r="G540" s="6"/>
    </row>
    <row r="541" spans="7:7">
      <c r="G541" s="6"/>
    </row>
    <row r="542" spans="7:7">
      <c r="G542" s="6"/>
    </row>
    <row r="543" spans="7:7">
      <c r="G543" s="6"/>
    </row>
    <row r="544" spans="7:7">
      <c r="G544" s="6"/>
    </row>
    <row r="545" spans="7:7">
      <c r="G545" s="6"/>
    </row>
    <row r="546" spans="7:7">
      <c r="G546" s="6"/>
    </row>
    <row r="547" spans="7:7">
      <c r="G547" s="6"/>
    </row>
    <row r="548" spans="7:7">
      <c r="G548" s="6"/>
    </row>
    <row r="549" spans="7:7">
      <c r="G549" s="6"/>
    </row>
    <row r="550" spans="7:7">
      <c r="G550" s="6"/>
    </row>
    <row r="551" spans="7:7">
      <c r="G551" s="6"/>
    </row>
    <row r="552" spans="7:7">
      <c r="G552" s="6"/>
    </row>
    <row r="553" spans="7:7">
      <c r="G553" s="6"/>
    </row>
    <row r="554" spans="7:7">
      <c r="G554" s="6"/>
    </row>
    <row r="555" spans="7:7">
      <c r="G555" s="6"/>
    </row>
    <row r="556" spans="7:7">
      <c r="G556" s="6"/>
    </row>
    <row r="557" spans="7:7">
      <c r="G557" s="6"/>
    </row>
    <row r="558" spans="7:7">
      <c r="G558" s="6"/>
    </row>
    <row r="559" spans="7:7">
      <c r="G559" s="6"/>
    </row>
    <row r="560" spans="7:7">
      <c r="G560" s="6"/>
    </row>
    <row r="561" spans="7:7">
      <c r="G561" s="6"/>
    </row>
    <row r="562" spans="7:7">
      <c r="G562" s="6"/>
    </row>
    <row r="563" spans="7:7">
      <c r="G563" s="6"/>
    </row>
    <row r="564" spans="7:7">
      <c r="G564" s="6"/>
    </row>
    <row r="565" spans="7:7">
      <c r="G565" s="6"/>
    </row>
    <row r="566" spans="7:7">
      <c r="G566" s="6"/>
    </row>
    <row r="567" spans="7:7">
      <c r="G567" s="6"/>
    </row>
    <row r="568" spans="7:7">
      <c r="G568" s="6"/>
    </row>
    <row r="569" spans="7:7">
      <c r="G569" s="6"/>
    </row>
    <row r="570" spans="7:7">
      <c r="G570" s="6"/>
    </row>
    <row r="571" spans="7:7">
      <c r="G571" s="6"/>
    </row>
    <row r="572" spans="7:7">
      <c r="G572" s="6"/>
    </row>
    <row r="573" spans="7:7">
      <c r="G573" s="6"/>
    </row>
    <row r="574" spans="7:7">
      <c r="G574" s="6"/>
    </row>
    <row r="575" spans="7:7">
      <c r="G575" s="6"/>
    </row>
    <row r="576" spans="7:7">
      <c r="G576" s="6"/>
    </row>
    <row r="577" spans="7:7">
      <c r="G577" s="6"/>
    </row>
    <row r="578" spans="7:7">
      <c r="G578" s="6"/>
    </row>
    <row r="579" spans="7:7">
      <c r="G579" s="6"/>
    </row>
    <row r="580" spans="7:7">
      <c r="G580" s="6"/>
    </row>
    <row r="581" spans="7:7">
      <c r="G581" s="6"/>
    </row>
    <row r="582" spans="7:7">
      <c r="G582" s="6"/>
    </row>
    <row r="583" spans="7:7">
      <c r="G583" s="6"/>
    </row>
    <row r="584" spans="7:7">
      <c r="G584" s="6"/>
    </row>
    <row r="585" spans="7:7">
      <c r="G585" s="6"/>
    </row>
    <row r="586" spans="7:7">
      <c r="G586" s="6"/>
    </row>
    <row r="587" spans="7:7">
      <c r="G587" s="6"/>
    </row>
    <row r="588" spans="7:7">
      <c r="G588" s="6"/>
    </row>
    <row r="589" spans="7:7">
      <c r="G589" s="6"/>
    </row>
    <row r="590" spans="7:7">
      <c r="G590" s="6"/>
    </row>
    <row r="591" spans="7:7">
      <c r="G591" s="6"/>
    </row>
    <row r="592" spans="7:7">
      <c r="G592" s="6"/>
    </row>
    <row r="593" spans="7:7">
      <c r="G593" s="6"/>
    </row>
    <row r="594" spans="7:7">
      <c r="G594" s="6"/>
    </row>
    <row r="595" spans="7:7">
      <c r="G595" s="6"/>
    </row>
    <row r="596" spans="7:7">
      <c r="G596" s="6"/>
    </row>
    <row r="597" spans="7:7">
      <c r="G597" s="6"/>
    </row>
    <row r="598" spans="7:7">
      <c r="G598" s="6"/>
    </row>
    <row r="599" spans="7:7">
      <c r="G599" s="6"/>
    </row>
  </sheetData>
  <mergeCells count="2">
    <mergeCell ref="A1:A3"/>
    <mergeCell ref="AV2:AX2"/>
  </mergeCells>
  <conditionalFormatting sqref="AV3:AX3">
    <cfRule type="cellIs" dxfId="63" priority="17" operator="equal">
      <formula>#REF!</formula>
    </cfRule>
    <cfRule type="cellIs" dxfId="62" priority="18" operator="equal">
      <formula>#REF!</formula>
    </cfRule>
  </conditionalFormatting>
  <conditionalFormatting sqref="AV3:AX3">
    <cfRule type="cellIs" dxfId="61" priority="19" operator="equal">
      <formula>#REF!</formula>
    </cfRule>
    <cfRule type="cellIs" dxfId="60" priority="20" operator="equal">
      <formula>#REF!</formula>
    </cfRule>
  </conditionalFormatting>
  <conditionalFormatting sqref="T4:AU4">
    <cfRule type="cellIs" dxfId="59" priority="13" operator="equal">
      <formula>#REF!</formula>
    </cfRule>
    <cfRule type="cellIs" dxfId="58" priority="14" operator="equal">
      <formula>#REF!</formula>
    </cfRule>
  </conditionalFormatting>
  <conditionalFormatting sqref="T4:AU4">
    <cfRule type="cellIs" dxfId="57" priority="15" operator="equal">
      <formula>#REF!</formula>
    </cfRule>
    <cfRule type="cellIs" dxfId="56" priority="16" operator="equal">
      <formula>#REF!</formula>
    </cfRule>
  </conditionalFormatting>
  <conditionalFormatting sqref="Y4:AC4">
    <cfRule type="cellIs" dxfId="55" priority="9" operator="equal">
      <formula>#REF!</formula>
    </cfRule>
    <cfRule type="cellIs" dxfId="54" priority="10" operator="equal">
      <formula>#REF!</formula>
    </cfRule>
  </conditionalFormatting>
  <conditionalFormatting sqref="Y4:AC4">
    <cfRule type="cellIs" dxfId="53" priority="11" operator="equal">
      <formula>#REF!</formula>
    </cfRule>
    <cfRule type="cellIs" dxfId="52" priority="12" operator="equal">
      <formula>#REF!</formula>
    </cfRule>
  </conditionalFormatting>
  <conditionalFormatting sqref="G3:AU3">
    <cfRule type="cellIs" dxfId="51" priority="5" operator="equal">
      <formula>#REF!</formula>
    </cfRule>
    <cfRule type="cellIs" dxfId="50" priority="6" operator="equal">
      <formula>#REF!</formula>
    </cfRule>
  </conditionalFormatting>
  <conditionalFormatting sqref="G3:AU3">
    <cfRule type="cellIs" dxfId="49" priority="7" operator="equal">
      <formula>#REF!</formula>
    </cfRule>
    <cfRule type="cellIs" dxfId="48" priority="8" operator="equal">
      <formula>#REF!</formula>
    </cfRule>
  </conditionalFormatting>
  <conditionalFormatting sqref="D3:AU3">
    <cfRule type="cellIs" dxfId="47" priority="1" operator="equal">
      <formula>#REF!</formula>
    </cfRule>
    <cfRule type="cellIs" dxfId="46" priority="2" operator="equal">
      <formula>#REF!</formula>
    </cfRule>
  </conditionalFormatting>
  <conditionalFormatting sqref="D3:AU3">
    <cfRule type="cellIs" dxfId="45" priority="3" operator="equal">
      <formula>#REF!</formula>
    </cfRule>
    <cfRule type="cellIs" dxfId="44" priority="4" operator="equal">
      <formula>#REF!</formula>
    </cfRule>
  </conditionalFormatting>
  <pageMargins left="0.7" right="0.7" top="0.75" bottom="0.75" header="0.3" footer="0.3"/>
  <pageSetup orientation="portrait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A54A9-6A32-4637-84F1-042BD55C6D00}">
  <sheetPr>
    <tabColor theme="6" tint="-0.249977111117893"/>
    <pageSetUpPr fitToPage="1"/>
  </sheetPr>
  <dimension ref="A1:I117"/>
  <sheetViews>
    <sheetView showOutlineSymbols="0" showWhiteSpace="0" topLeftCell="A12" workbookViewId="0">
      <selection activeCell="B76" sqref="B76"/>
    </sheetView>
  </sheetViews>
  <sheetFormatPr defaultColWidth="8.85546875" defaultRowHeight="12.6"/>
  <cols>
    <col min="1" max="1" width="36.5703125" style="6" bestFit="1" customWidth="1"/>
    <col min="2" max="2" width="22.140625" style="6" bestFit="1" customWidth="1"/>
    <col min="3" max="3" width="22.42578125" style="6" bestFit="1" customWidth="1"/>
    <col min="4" max="4" width="11.85546875" style="6" bestFit="1" customWidth="1"/>
    <col min="5" max="5" width="18.140625" style="6" bestFit="1" customWidth="1"/>
    <col min="6" max="6" width="2.85546875" style="6" bestFit="1" customWidth="1"/>
    <col min="7" max="7" width="13.140625" style="6" bestFit="1" customWidth="1"/>
    <col min="8" max="8" width="24.5703125" style="6" customWidth="1"/>
    <col min="9" max="9" width="32.42578125" style="6" customWidth="1"/>
    <col min="10" max="10" width="20.140625" style="6" customWidth="1"/>
    <col min="11" max="16384" width="8.85546875" style="6"/>
  </cols>
  <sheetData>
    <row r="1" spans="1:9" ht="33.75" customHeight="1" thickBot="1">
      <c r="A1" s="428" t="s">
        <v>265</v>
      </c>
      <c r="B1" s="429"/>
      <c r="C1" s="429"/>
      <c r="D1" s="427" t="str">
        <f>'Development Program'!A5</f>
        <v>Apartments</v>
      </c>
      <c r="E1" s="427"/>
    </row>
    <row r="2" spans="1:9" ht="12.95">
      <c r="A2" s="7"/>
      <c r="B2" s="8"/>
      <c r="C2" s="8"/>
      <c r="D2" s="628">
        <v>0</v>
      </c>
      <c r="E2" s="629" t="s">
        <v>266</v>
      </c>
    </row>
    <row r="3" spans="1:9" ht="26.1">
      <c r="A3" s="9" t="s">
        <v>363</v>
      </c>
      <c r="B3" s="10" t="s">
        <v>268</v>
      </c>
      <c r="C3" s="48" t="s">
        <v>364</v>
      </c>
      <c r="D3" s="10" t="s">
        <v>365</v>
      </c>
      <c r="E3" s="11" t="s">
        <v>278</v>
      </c>
    </row>
    <row r="4" spans="1:9" ht="12.95">
      <c r="A4" s="232" t="s">
        <v>32</v>
      </c>
      <c r="B4" s="631">
        <v>18</v>
      </c>
      <c r="C4" s="631">
        <f>Assumptions!C7</f>
        <v>610</v>
      </c>
      <c r="D4" s="808">
        <f>Assumptions!C8</f>
        <v>2.77</v>
      </c>
      <c r="E4" s="633">
        <f>12*B4*C4*D4</f>
        <v>364975.2</v>
      </c>
    </row>
    <row r="5" spans="1:9" ht="12.95">
      <c r="A5" s="630" t="s">
        <v>366</v>
      </c>
      <c r="B5" s="631">
        <f>61-B8</f>
        <v>46</v>
      </c>
      <c r="C5" s="631">
        <f>Assumptions!C10</f>
        <v>740</v>
      </c>
      <c r="D5" s="808">
        <f>Assumptions!C11</f>
        <v>2.2999999999999998</v>
      </c>
      <c r="E5" s="633">
        <f t="shared" ref="E5:E11" si="0">12*B5*C5*D5</f>
        <v>939503.99999999988</v>
      </c>
      <c r="G5" s="361"/>
    </row>
    <row r="6" spans="1:9" ht="12.95">
      <c r="A6" s="232" t="s">
        <v>367</v>
      </c>
      <c r="B6" s="631">
        <f>148-B9</f>
        <v>111</v>
      </c>
      <c r="C6" s="631">
        <f>Assumptions!C13</f>
        <v>1000</v>
      </c>
      <c r="D6" s="808">
        <f>Assumptions!C14</f>
        <v>1.92</v>
      </c>
      <c r="E6" s="633">
        <f t="shared" si="0"/>
        <v>2557440</v>
      </c>
    </row>
    <row r="7" spans="1:9" ht="12.95">
      <c r="A7" s="232" t="s">
        <v>368</v>
      </c>
      <c r="B7" s="631">
        <f>77-B10</f>
        <v>58</v>
      </c>
      <c r="C7" s="631">
        <f>Assumptions!C16</f>
        <v>1200</v>
      </c>
      <c r="D7" s="808">
        <f>Assumptions!C17</f>
        <v>1.76</v>
      </c>
      <c r="E7" s="633">
        <f t="shared" si="0"/>
        <v>1469952</v>
      </c>
    </row>
    <row r="8" spans="1:9" ht="12.95">
      <c r="A8" s="630" t="s">
        <v>369</v>
      </c>
      <c r="B8" s="631">
        <v>15</v>
      </c>
      <c r="C8" s="631">
        <f>C5</f>
        <v>740</v>
      </c>
      <c r="D8" s="808">
        <f>Assumptions!C66/C8</f>
        <v>1.5952984234234233</v>
      </c>
      <c r="E8" s="633">
        <f t="shared" si="0"/>
        <v>212493.75</v>
      </c>
    </row>
    <row r="9" spans="1:9" ht="12.95">
      <c r="A9" s="232" t="s">
        <v>370</v>
      </c>
      <c r="B9" s="631">
        <v>37</v>
      </c>
      <c r="C9" s="631">
        <f>C6</f>
        <v>1000</v>
      </c>
      <c r="D9" s="808">
        <f>Assumptions!D66/C9</f>
        <v>1.2149066666666666</v>
      </c>
      <c r="E9" s="633">
        <f t="shared" si="0"/>
        <v>539418.55999999994</v>
      </c>
    </row>
    <row r="10" spans="1:9" ht="12.95">
      <c r="A10" s="232" t="s">
        <v>371</v>
      </c>
      <c r="B10" s="631">
        <v>19</v>
      </c>
      <c r="C10" s="631">
        <f>C7</f>
        <v>1200</v>
      </c>
      <c r="D10" s="808">
        <f>Assumptions!E66/'B Financial'!C10</f>
        <v>1.3944749999999999</v>
      </c>
      <c r="E10" s="633">
        <f t="shared" si="0"/>
        <v>381528.36</v>
      </c>
    </row>
    <row r="11" spans="1:9" ht="12.95">
      <c r="A11" s="232" t="s">
        <v>423</v>
      </c>
      <c r="B11" s="631">
        <v>22</v>
      </c>
      <c r="C11" s="631">
        <f>C5</f>
        <v>740</v>
      </c>
      <c r="D11" s="808">
        <f>Assumptions!C19/C11</f>
        <v>5.6756756756756754</v>
      </c>
      <c r="E11" s="633">
        <f t="shared" si="0"/>
        <v>1108800</v>
      </c>
    </row>
    <row r="12" spans="1:9" ht="12.95">
      <c r="A12" s="232" t="s">
        <v>424</v>
      </c>
      <c r="B12" s="631">
        <v>4</v>
      </c>
      <c r="C12" s="631">
        <f>C6</f>
        <v>1000</v>
      </c>
      <c r="D12" s="808">
        <f>Assumptions!C19/'IJKL Financial'!C12</f>
        <v>4.2</v>
      </c>
      <c r="E12" s="633">
        <f>12*B12*C12*D12</f>
        <v>201600</v>
      </c>
    </row>
    <row r="13" spans="1:9" ht="12.95">
      <c r="A13" s="956"/>
      <c r="B13" s="631"/>
      <c r="C13" s="631"/>
      <c r="D13" s="808"/>
      <c r="E13" s="633"/>
    </row>
    <row r="14" spans="1:9" ht="13.5" thickBot="1">
      <c r="B14" s="631"/>
      <c r="C14" s="631"/>
      <c r="D14" s="808"/>
      <c r="E14" s="633"/>
      <c r="G14" s="284"/>
      <c r="I14" s="337"/>
    </row>
    <row r="15" spans="1:9" ht="14.1" thickTop="1" thickBot="1">
      <c r="A15" s="12" t="s">
        <v>273</v>
      </c>
      <c r="B15" s="13">
        <f>SUM(B4:B14)</f>
        <v>330</v>
      </c>
      <c r="C15" s="14">
        <f>SUMPRODUCT(B4:B12,C4:C12)</f>
        <v>316800</v>
      </c>
      <c r="D15" s="15"/>
      <c r="E15" s="639">
        <f>SUM(E4:E14)</f>
        <v>7775711.8700000001</v>
      </c>
      <c r="I15" s="337"/>
    </row>
    <row r="16" spans="1:9" ht="14.1" thickTop="1" thickBot="1">
      <c r="A16" s="16" t="s">
        <v>274</v>
      </c>
      <c r="B16" s="17"/>
      <c r="C16" s="18">
        <f>C15/B15</f>
        <v>960</v>
      </c>
      <c r="D16" s="19">
        <f>(E15/12)/C15</f>
        <v>2.0453787536826598</v>
      </c>
      <c r="E16" s="20"/>
      <c r="I16" s="337"/>
    </row>
    <row r="17" spans="1:9" ht="12.95">
      <c r="A17" s="21"/>
      <c r="B17" s="22"/>
      <c r="C17" s="23"/>
      <c r="D17" s="24"/>
      <c r="I17" s="337"/>
    </row>
    <row r="18" spans="1:9" ht="12.95">
      <c r="A18" s="9" t="s">
        <v>275</v>
      </c>
      <c r="B18" s="10" t="s">
        <v>276</v>
      </c>
      <c r="C18" s="10" t="s">
        <v>277</v>
      </c>
      <c r="D18" s="10" t="s">
        <v>278</v>
      </c>
      <c r="I18" s="338"/>
    </row>
    <row r="19" spans="1:9" ht="12.95">
      <c r="A19" s="640" t="s">
        <v>46</v>
      </c>
      <c r="B19" s="641">
        <f>7691.9+6230.4+5507</f>
        <v>19429.3</v>
      </c>
      <c r="C19" s="642">
        <f>Assumptions!F11</f>
        <v>30</v>
      </c>
      <c r="D19" s="643">
        <f>B19*C19</f>
        <v>582879</v>
      </c>
    </row>
    <row r="20" spans="1:9" ht="13.5" thickBot="1">
      <c r="A20" s="644" t="s">
        <v>50</v>
      </c>
      <c r="B20" s="645">
        <f>8746.02*2</f>
        <v>17492.04</v>
      </c>
      <c r="C20" s="809">
        <v>18</v>
      </c>
      <c r="D20" s="647">
        <f>B20*C20</f>
        <v>314856.72000000003</v>
      </c>
    </row>
    <row r="21" spans="1:9" ht="13.5" thickTop="1" thickBot="1">
      <c r="A21" s="25" t="s">
        <v>279</v>
      </c>
      <c r="B21" s="648">
        <f>SUM(B19:B20)</f>
        <v>36921.339999999997</v>
      </c>
      <c r="C21" s="26">
        <f>IF(B21=0,0,D21/B21)</f>
        <v>24.314819559636785</v>
      </c>
      <c r="D21" s="27">
        <f>SUM(D19:D20)</f>
        <v>897735.72</v>
      </c>
    </row>
    <row r="22" spans="1:9" ht="12.95">
      <c r="A22" s="652" t="s">
        <v>280</v>
      </c>
      <c r="B22" s="650"/>
    </row>
    <row r="23" spans="1:9">
      <c r="A23" s="514" t="s">
        <v>372</v>
      </c>
      <c r="B23" s="957">
        <f>B4+(1.25*B5+B8)+(SUM(B11:B12)/6)+(2*B6+B7+B9+B10)+(B14+B13)*2</f>
        <v>430.83333333333331</v>
      </c>
      <c r="C23" s="29"/>
      <c r="D23" s="30"/>
    </row>
    <row r="24" spans="1:9" ht="12.95" thickBot="1">
      <c r="A24" s="515" t="s">
        <v>373</v>
      </c>
      <c r="B24" s="957">
        <f>B21/Assumptions!C28</f>
        <v>123.07113333333332</v>
      </c>
      <c r="C24" s="29"/>
      <c r="D24" s="30"/>
    </row>
    <row r="25" spans="1:9" ht="13.5" thickTop="1" thickBot="1">
      <c r="A25" s="31" t="s">
        <v>284</v>
      </c>
      <c r="B25" s="32">
        <f>SUM(B23:B24)</f>
        <v>553.90446666666662</v>
      </c>
      <c r="C25" s="29"/>
      <c r="D25" s="30"/>
    </row>
    <row r="26" spans="1:9" ht="12.95">
      <c r="A26" s="652" t="s">
        <v>285</v>
      </c>
      <c r="B26" s="653" t="str">
        <f>D1</f>
        <v>Apartments</v>
      </c>
      <c r="C26" s="33"/>
      <c r="D26" s="33"/>
      <c r="E26" s="33"/>
    </row>
    <row r="27" spans="1:9" ht="12.95">
      <c r="A27" s="654" t="s">
        <v>286</v>
      </c>
      <c r="B27" s="655">
        <f>'Development Program'!C10</f>
        <v>427419.02999999997</v>
      </c>
      <c r="C27" s="34"/>
      <c r="D27" s="35"/>
      <c r="E27" s="33"/>
    </row>
    <row r="28" spans="1:9" ht="12.95">
      <c r="A28" s="654" t="s">
        <v>374</v>
      </c>
      <c r="B28" s="655">
        <f>C15+B21</f>
        <v>353721.33999999997</v>
      </c>
      <c r="C28" s="34"/>
      <c r="D28" s="35"/>
      <c r="E28" s="33"/>
    </row>
    <row r="29" spans="1:9" ht="12.95">
      <c r="A29" s="656">
        <f>Assumptions!C26</f>
        <v>2</v>
      </c>
      <c r="B29" s="655">
        <f>B25*A29</f>
        <v>1107.8089333333332</v>
      </c>
      <c r="C29" s="34"/>
      <c r="D29" s="35"/>
      <c r="E29" s="33"/>
    </row>
    <row r="30" spans="1:9" ht="12.95">
      <c r="A30" s="810">
        <v>0.2</v>
      </c>
      <c r="B30" s="655">
        <f>(1+A30)*(B28+B29)</f>
        <v>425794.97871999996</v>
      </c>
      <c r="C30" s="34"/>
      <c r="D30" s="35"/>
      <c r="E30" s="33"/>
    </row>
    <row r="31" spans="1:9" ht="13.5" thickBot="1">
      <c r="A31" s="811">
        <v>5</v>
      </c>
      <c r="B31" s="659">
        <f>B30/A31</f>
        <v>85158.995743999985</v>
      </c>
      <c r="C31" s="34"/>
      <c r="D31" s="35"/>
      <c r="E31" s="33"/>
    </row>
    <row r="32" spans="1:9" ht="13.5" thickBot="1">
      <c r="A32" s="436" t="s">
        <v>289</v>
      </c>
      <c r="B32" s="437"/>
      <c r="C32" s="451" t="str">
        <f>'Development Program'!A29</f>
        <v>Apartments</v>
      </c>
      <c r="D32" s="452"/>
      <c r="E32" s="33"/>
    </row>
    <row r="33" spans="1:5" ht="13.5" thickBot="1">
      <c r="A33" s="662" t="s">
        <v>290</v>
      </c>
      <c r="B33" s="663" t="s">
        <v>291</v>
      </c>
      <c r="C33" s="663" t="s">
        <v>292</v>
      </c>
      <c r="D33" s="664" t="s">
        <v>293</v>
      </c>
      <c r="E33" s="33"/>
    </row>
    <row r="34" spans="1:5">
      <c r="A34" s="665" t="s">
        <v>375</v>
      </c>
      <c r="B34" s="666">
        <f>D34/B15</f>
        <v>23562.763242424244</v>
      </c>
      <c r="C34" s="667">
        <f>D34/C15</f>
        <v>24.544545044191921</v>
      </c>
      <c r="D34" s="36">
        <f>E15</f>
        <v>7775711.8700000001</v>
      </c>
      <c r="E34" s="33"/>
    </row>
    <row r="35" spans="1:5">
      <c r="A35" s="812"/>
      <c r="B35" s="669" t="s">
        <v>376</v>
      </c>
      <c r="C35" s="435"/>
      <c r="D35" s="670">
        <f>D21</f>
        <v>897735.72</v>
      </c>
      <c r="E35" s="33"/>
    </row>
    <row r="36" spans="1:5" ht="12.95">
      <c r="A36" s="671"/>
      <c r="B36" s="813" t="s">
        <v>377</v>
      </c>
      <c r="C36" s="813"/>
      <c r="D36" s="673">
        <f>SUM(D34:D35)</f>
        <v>8673447.5899999999</v>
      </c>
      <c r="E36" s="33"/>
    </row>
    <row r="37" spans="1:5" ht="12.95">
      <c r="A37" s="814" t="s">
        <v>378</v>
      </c>
      <c r="B37" s="673" t="s">
        <v>379</v>
      </c>
      <c r="C37" s="673" t="s">
        <v>380</v>
      </c>
      <c r="D37" s="673"/>
      <c r="E37" s="33"/>
    </row>
    <row r="38" spans="1:5">
      <c r="A38" s="671" t="s">
        <v>381</v>
      </c>
      <c r="B38" s="677">
        <f>Assumptions!C35</f>
        <v>128</v>
      </c>
      <c r="C38" s="815">
        <f>D38/C15</f>
        <v>2.088888888888889</v>
      </c>
      <c r="D38" s="677">
        <f>B38*B23*12-(B14+B13)*2*B38*12</f>
        <v>661760</v>
      </c>
      <c r="E38" s="33"/>
    </row>
    <row r="39" spans="1:5">
      <c r="A39" s="671" t="s">
        <v>425</v>
      </c>
      <c r="B39" s="677">
        <f>Assumptions!C38</f>
        <v>18</v>
      </c>
      <c r="C39" s="815">
        <f>D39/B21</f>
        <v>21.9</v>
      </c>
      <c r="D39" s="677">
        <f>B39*B24*365</f>
        <v>808577.3459999999</v>
      </c>
      <c r="E39" s="33"/>
    </row>
    <row r="40" spans="1:5">
      <c r="A40" s="671" t="s">
        <v>382</v>
      </c>
      <c r="B40" s="677">
        <f>D40/B15</f>
        <v>1839.8222160606063</v>
      </c>
      <c r="C40" s="815">
        <f>D40/C15</f>
        <v>1.9164814750631316</v>
      </c>
      <c r="D40" s="677">
        <f>Assumptions!F14*D36</f>
        <v>607141.33130000008</v>
      </c>
      <c r="E40" s="33"/>
    </row>
    <row r="41" spans="1:5" ht="13.5" thickBot="1">
      <c r="A41" s="37" t="s">
        <v>383</v>
      </c>
      <c r="B41" s="444"/>
      <c r="C41" s="816"/>
      <c r="D41" s="38">
        <f>SUM(D38:D40)</f>
        <v>2077478.6773000001</v>
      </c>
      <c r="E41" s="33"/>
    </row>
    <row r="42" spans="1:5" ht="13.5" thickTop="1" thickBot="1">
      <c r="A42" s="39">
        <v>7.0000000000000007E-2</v>
      </c>
      <c r="B42" s="445"/>
      <c r="C42" s="446"/>
      <c r="D42" s="40">
        <f>-A42*D36</f>
        <v>-607141.33130000008</v>
      </c>
      <c r="E42" s="33"/>
    </row>
    <row r="43" spans="1:5" ht="14.1" thickTop="1" thickBot="1">
      <c r="A43" s="817" t="s">
        <v>384</v>
      </c>
      <c r="B43" s="41">
        <f>D43/B15</f>
        <v>30738.742230303033</v>
      </c>
      <c r="C43" s="818">
        <f>D43/C15</f>
        <v>32.019523156565661</v>
      </c>
      <c r="D43" s="42">
        <f>D36+D41+D42</f>
        <v>10143784.936000001</v>
      </c>
      <c r="E43" s="33"/>
    </row>
    <row r="44" spans="1:5" ht="12.95">
      <c r="A44" s="9" t="s">
        <v>385</v>
      </c>
      <c r="B44" s="10" t="s">
        <v>291</v>
      </c>
      <c r="C44" s="10" t="s">
        <v>386</v>
      </c>
      <c r="D44" s="43" t="s">
        <v>293</v>
      </c>
      <c r="E44" s="33"/>
    </row>
    <row r="45" spans="1:5" ht="13.5" thickBot="1">
      <c r="A45" s="44" t="s">
        <v>387</v>
      </c>
      <c r="B45" s="45">
        <f>D45/B15</f>
        <v>-7096.4571190909091</v>
      </c>
      <c r="C45" s="45">
        <f>D45/C15</f>
        <v>-7.3921428323863632</v>
      </c>
      <c r="D45" s="45">
        <f>-0.27*D36</f>
        <v>-2341830.8492999999</v>
      </c>
      <c r="E45" s="33"/>
    </row>
    <row r="46" spans="1:5" ht="13.5" thickBot="1">
      <c r="A46" s="819" t="s">
        <v>388</v>
      </c>
      <c r="B46" s="820">
        <f>D46/B15</f>
        <v>23642.285111212124</v>
      </c>
      <c r="C46" s="821"/>
      <c r="D46" s="820">
        <f>D43+D45</f>
        <v>7801954.0867000008</v>
      </c>
      <c r="E46" s="33"/>
    </row>
    <row r="47" spans="1:5" ht="13.5" thickBot="1">
      <c r="A47" s="822" t="s">
        <v>389</v>
      </c>
      <c r="B47" s="46" t="s">
        <v>390</v>
      </c>
      <c r="C47" s="281">
        <v>0.06</v>
      </c>
      <c r="D47" s="823">
        <f>D46/C47</f>
        <v>130032568.11166668</v>
      </c>
      <c r="E47" s="33"/>
    </row>
    <row r="48" spans="1:5" ht="13.5" thickBot="1">
      <c r="A48" s="438" t="s">
        <v>296</v>
      </c>
      <c r="B48" s="439"/>
      <c r="C48" s="453" t="str">
        <f>'Development Program'!A29</f>
        <v>Apartments</v>
      </c>
      <c r="D48" s="454"/>
    </row>
    <row r="49" spans="1:5" ht="13.5" thickBot="1">
      <c r="A49" s="652"/>
      <c r="B49" s="48" t="s">
        <v>297</v>
      </c>
      <c r="C49" s="48" t="s">
        <v>298</v>
      </c>
      <c r="D49" s="48" t="s">
        <v>291</v>
      </c>
    </row>
    <row r="50" spans="1:5">
      <c r="A50" s="674" t="s">
        <v>299</v>
      </c>
      <c r="B50" s="675">
        <f>'GH Financial'!B43</f>
        <v>207</v>
      </c>
      <c r="C50" s="824">
        <f>B50*(C15+B21)</f>
        <v>73220317.379999995</v>
      </c>
      <c r="D50" s="677">
        <f>C50/B$15</f>
        <v>221879.74963636362</v>
      </c>
    </row>
    <row r="51" spans="1:5">
      <c r="A51" s="49" t="s">
        <v>391</v>
      </c>
      <c r="B51" s="678">
        <f>Assumptions!C33</f>
        <v>534</v>
      </c>
      <c r="C51" s="50">
        <f>B25*B51</f>
        <v>295784.9852</v>
      </c>
      <c r="D51" s="677">
        <f t="shared" ref="D51:D71" si="1">C51/B$15</f>
        <v>896.31813696969698</v>
      </c>
    </row>
    <row r="52" spans="1:5" ht="12.95">
      <c r="A52" s="49" t="s">
        <v>300</v>
      </c>
      <c r="B52" s="825">
        <v>0.08</v>
      </c>
      <c r="C52" s="50">
        <f>B52*C50</f>
        <v>5857625.3903999999</v>
      </c>
      <c r="D52" s="677">
        <f t="shared" si="1"/>
        <v>17750.379970909089</v>
      </c>
    </row>
    <row r="53" spans="1:5" ht="12.95">
      <c r="A53" s="49" t="s">
        <v>191</v>
      </c>
      <c r="B53" s="825" t="s">
        <v>426</v>
      </c>
      <c r="C53" s="50">
        <f>Assumptions!F49+Assumptions!F50*0.5</f>
        <v>340500</v>
      </c>
      <c r="D53" s="677">
        <f t="shared" si="1"/>
        <v>1031.8181818181818</v>
      </c>
    </row>
    <row r="54" spans="1:5">
      <c r="A54" s="49" t="s">
        <v>301</v>
      </c>
      <c r="B54" s="827">
        <f>Assumptions!F43</f>
        <v>10.5</v>
      </c>
      <c r="C54" s="50">
        <f>'Development Program'!C10*'IJKL Financial'!B54</f>
        <v>4487899.8149999995</v>
      </c>
      <c r="D54" s="677">
        <f t="shared" si="1"/>
        <v>13599.696409090908</v>
      </c>
    </row>
    <row r="55" spans="1:5" ht="24.95">
      <c r="A55" s="49" t="s">
        <v>79</v>
      </c>
      <c r="B55" s="828" t="str">
        <f>'GH Financial'!B48</f>
        <v>(Non Residential SF/3000 ) * $72</v>
      </c>
      <c r="C55" s="50">
        <f>(B21/3000)*72</f>
        <v>886.1121599999999</v>
      </c>
      <c r="D55" s="677">
        <f t="shared" si="1"/>
        <v>2.6851883636363634</v>
      </c>
    </row>
    <row r="56" spans="1:5">
      <c r="A56" s="49" t="s">
        <v>302</v>
      </c>
      <c r="B56" s="828" t="str">
        <f>Assumptions!F28</f>
        <v>Estimate Calculation</v>
      </c>
      <c r="C56" s="50">
        <f>1799.5+((C50-500000)/1000)*3</f>
        <v>219960.45213999998</v>
      </c>
      <c r="D56" s="677">
        <f t="shared" si="1"/>
        <v>666.54682466666657</v>
      </c>
    </row>
    <row r="57" spans="1:5">
      <c r="A57" s="49" t="s">
        <v>303</v>
      </c>
      <c r="B57" s="684" t="s">
        <v>304</v>
      </c>
      <c r="C57" s="50">
        <f>'Development Program'!H24</f>
        <v>1276355.8500000001</v>
      </c>
      <c r="D57" s="677">
        <f t="shared" si="1"/>
        <v>3867.7450000000003</v>
      </c>
    </row>
    <row r="58" spans="1:5">
      <c r="A58" s="514" t="s">
        <v>88</v>
      </c>
      <c r="B58" s="939">
        <v>7.4999999999999997E-3</v>
      </c>
      <c r="C58" s="686">
        <f>B58*C50</f>
        <v>549152.38034999999</v>
      </c>
      <c r="D58" s="677">
        <f t="shared" si="1"/>
        <v>1664.0981222727273</v>
      </c>
    </row>
    <row r="59" spans="1:5">
      <c r="A59" s="514" t="s">
        <v>90</v>
      </c>
      <c r="B59" s="939">
        <f>Assumptions!F31</f>
        <v>1.4999999999999999E-2</v>
      </c>
      <c r="C59" s="686">
        <f>B59*C54</f>
        <v>67318.497224999985</v>
      </c>
      <c r="D59" s="677">
        <f t="shared" si="1"/>
        <v>203.9954461363636</v>
      </c>
      <c r="E59" s="51"/>
    </row>
    <row r="60" spans="1:5">
      <c r="A60" s="514" t="s">
        <v>305</v>
      </c>
      <c r="B60" s="688">
        <v>0.04</v>
      </c>
      <c r="C60" s="686">
        <f>B60*(C50+C52)</f>
        <v>3163117.7108159997</v>
      </c>
      <c r="D60" s="677">
        <f t="shared" si="1"/>
        <v>9585.2051842909077</v>
      </c>
    </row>
    <row r="61" spans="1:5">
      <c r="A61" s="514" t="s">
        <v>94</v>
      </c>
      <c r="B61" s="689">
        <v>0.03</v>
      </c>
      <c r="C61" s="686">
        <f>B61*SUM(C50:C60)</f>
        <v>2684367.5571987294</v>
      </c>
      <c r="D61" s="677">
        <f t="shared" si="1"/>
        <v>8134.447143026453</v>
      </c>
    </row>
    <row r="62" spans="1:5">
      <c r="A62" s="514" t="s">
        <v>306</v>
      </c>
      <c r="B62" s="688">
        <v>0.02</v>
      </c>
      <c r="C62" s="686">
        <f>B62*(C50+C52)</f>
        <v>1581558.8554079998</v>
      </c>
      <c r="D62" s="677">
        <f t="shared" si="1"/>
        <v>4792.6025921454539</v>
      </c>
    </row>
    <row r="63" spans="1:5">
      <c r="A63" s="514" t="s">
        <v>307</v>
      </c>
      <c r="B63" s="832">
        <f>Assumptions!F44</f>
        <v>0.06</v>
      </c>
      <c r="C63" s="686">
        <f>B63*C54</f>
        <v>269273.98889999994</v>
      </c>
      <c r="D63" s="677">
        <f t="shared" si="1"/>
        <v>815.98178454545439</v>
      </c>
    </row>
    <row r="64" spans="1:5">
      <c r="A64" s="514" t="s">
        <v>100</v>
      </c>
      <c r="B64" s="684" t="s">
        <v>101</v>
      </c>
      <c r="C64" s="686">
        <f>'Insurance Calculations'!G37</f>
        <v>586038.89966529689</v>
      </c>
      <c r="D64" s="677">
        <f t="shared" si="1"/>
        <v>1775.8754535312028</v>
      </c>
    </row>
    <row r="65" spans="1:7" ht="12.95">
      <c r="A65" s="514" t="s">
        <v>308</v>
      </c>
      <c r="B65" s="833" t="s">
        <v>101</v>
      </c>
      <c r="C65" s="834">
        <v>500000</v>
      </c>
      <c r="D65" s="677">
        <f t="shared" si="1"/>
        <v>1515.1515151515152</v>
      </c>
    </row>
    <row r="66" spans="1:7">
      <c r="A66" s="514" t="s">
        <v>105</v>
      </c>
      <c r="B66" s="835">
        <f>'GH Financial'!B59</f>
        <v>6</v>
      </c>
      <c r="C66" s="686">
        <f>-B66*(D45/12)</f>
        <v>1170915.4246499999</v>
      </c>
      <c r="D66" s="677">
        <f t="shared" si="1"/>
        <v>3548.2285595454546</v>
      </c>
    </row>
    <row r="67" spans="1:7">
      <c r="A67" s="514" t="s">
        <v>309</v>
      </c>
      <c r="B67" s="329">
        <f>Assumptions!F39</f>
        <v>45</v>
      </c>
      <c r="C67" s="686">
        <f>B21*B67</f>
        <v>1661460.2999999998</v>
      </c>
      <c r="D67" s="677">
        <f t="shared" si="1"/>
        <v>5034.7281818181809</v>
      </c>
    </row>
    <row r="68" spans="1:7">
      <c r="A68" s="514" t="s">
        <v>310</v>
      </c>
      <c r="B68" s="836">
        <f>Assumptions!F40</f>
        <v>0.06</v>
      </c>
      <c r="C68" s="686">
        <f>B68*D21*5</f>
        <v>269320.71600000001</v>
      </c>
      <c r="D68" s="677">
        <f t="shared" si="1"/>
        <v>816.12338181818188</v>
      </c>
    </row>
    <row r="69" spans="1:7" ht="12.95">
      <c r="A69" s="514" t="s">
        <v>108</v>
      </c>
      <c r="B69" s="941">
        <v>1.4999999999999999E-2</v>
      </c>
      <c r="C69" s="686">
        <v>884760</v>
      </c>
      <c r="D69" s="677">
        <f t="shared" si="1"/>
        <v>2681.090909090909</v>
      </c>
      <c r="E69" s="449" t="s">
        <v>392</v>
      </c>
      <c r="F69" s="450"/>
      <c r="G69" s="52">
        <f>B69*B82</f>
        <v>928935</v>
      </c>
    </row>
    <row r="70" spans="1:7" ht="12.95">
      <c r="A70" s="694" t="s">
        <v>109</v>
      </c>
      <c r="B70" s="942">
        <v>7.0000000000000007E-2</v>
      </c>
      <c r="C70" s="686">
        <v>4128880.0000000005</v>
      </c>
      <c r="D70" s="677">
        <f t="shared" si="1"/>
        <v>12511.757575757578</v>
      </c>
      <c r="E70" s="449" t="s">
        <v>392</v>
      </c>
      <c r="F70" s="450"/>
      <c r="G70" s="53">
        <f>B70*B82</f>
        <v>4335030</v>
      </c>
    </row>
    <row r="71" spans="1:7" ht="12.95" thickBot="1">
      <c r="A71" s="515" t="s">
        <v>312</v>
      </c>
      <c r="B71" s="839"/>
      <c r="C71" s="840"/>
      <c r="D71" s="677">
        <f t="shared" si="1"/>
        <v>0</v>
      </c>
    </row>
    <row r="72" spans="1:7" ht="14.1" thickTop="1" thickBot="1">
      <c r="A72" s="698" t="s">
        <v>313</v>
      </c>
      <c r="B72" s="699"/>
      <c r="C72" s="54">
        <f>SUM(C50:C71)</f>
        <v>103215494.31511302</v>
      </c>
      <c r="D72" s="54">
        <f>ROUND(C72/B15,-3)</f>
        <v>313000</v>
      </c>
    </row>
    <row r="73" spans="1:7" ht="12.95">
      <c r="A73" s="700" t="s">
        <v>393</v>
      </c>
      <c r="B73" s="701">
        <f>D46/C72</f>
        <v>7.5588981465136706E-2</v>
      </c>
    </row>
    <row r="74" spans="1:7" ht="12.95">
      <c r="A74" s="702" t="s">
        <v>314</v>
      </c>
      <c r="B74" s="703">
        <f>(D47/C72)-1</f>
        <v>0.25981635775227829</v>
      </c>
      <c r="C74" s="55"/>
      <c r="D74" s="56"/>
    </row>
    <row r="75" spans="1:7" ht="13.5" thickBot="1">
      <c r="A75" s="704">
        <v>0.23</v>
      </c>
      <c r="B75" s="705">
        <f>(D47/(1+A75))</f>
        <v>105717535.05013551</v>
      </c>
    </row>
    <row r="76" spans="1:7" ht="13.5" thickBot="1">
      <c r="A76" s="841">
        <v>0.23</v>
      </c>
      <c r="B76" s="705">
        <f>ROUND((D47/(1+A76))-C72,-3)</f>
        <v>2502000</v>
      </c>
      <c r="C76" s="57" t="s">
        <v>315</v>
      </c>
    </row>
    <row r="77" spans="1:7" ht="13.5" thickBot="1">
      <c r="A77" s="58"/>
      <c r="B77" s="59"/>
    </row>
    <row r="78" spans="1:7" ht="13.5" thickBot="1">
      <c r="A78" s="447" t="s">
        <v>316</v>
      </c>
      <c r="B78" s="448"/>
      <c r="C78" s="842" t="str">
        <f>'Development Program'!A29</f>
        <v>Apartments</v>
      </c>
    </row>
    <row r="79" spans="1:7" ht="13.5" thickBot="1">
      <c r="A79" s="708"/>
      <c r="B79" s="709" t="s">
        <v>211</v>
      </c>
      <c r="C79" s="710" t="s">
        <v>291</v>
      </c>
    </row>
    <row r="80" spans="1:7" ht="12.95">
      <c r="A80" s="60" t="s">
        <v>317</v>
      </c>
      <c r="B80" s="61">
        <f>IF(B76&lt;0,B76,0)</f>
        <v>0</v>
      </c>
      <c r="C80" s="639">
        <f>B80/B15</f>
        <v>0</v>
      </c>
    </row>
    <row r="81" spans="1:5" ht="12.95">
      <c r="A81" s="62" t="s">
        <v>318</v>
      </c>
      <c r="B81" s="61">
        <f>C72+B80</f>
        <v>103215494.31511302</v>
      </c>
      <c r="C81" s="639">
        <f>B81/B15</f>
        <v>312774.22519731219</v>
      </c>
    </row>
    <row r="82" spans="1:5" ht="12.95">
      <c r="A82" s="843">
        <f>Assumptions!H17</f>
        <v>0.6</v>
      </c>
      <c r="B82" s="63">
        <f>ROUND(A82*C72,-3)</f>
        <v>61929000</v>
      </c>
      <c r="C82" s="64">
        <f>B82/B15</f>
        <v>187663.63636363635</v>
      </c>
    </row>
    <row r="83" spans="1:5" ht="12.95" thickBot="1">
      <c r="A83" s="713">
        <f>1-A82</f>
        <v>0.4</v>
      </c>
      <c r="B83" s="63">
        <f>ROUND(A83*C72,-3)</f>
        <v>41286000</v>
      </c>
      <c r="C83" s="844">
        <f>B83/B15</f>
        <v>125109.09090909091</v>
      </c>
      <c r="D83" s="56"/>
    </row>
    <row r="84" spans="1:5" ht="13.5" thickTop="1">
      <c r="A84" s="97" t="s">
        <v>319</v>
      </c>
      <c r="B84" s="845">
        <f>B82+B83</f>
        <v>103215000</v>
      </c>
      <c r="C84" s="65">
        <f>ROUND((C83+C82),-3)</f>
        <v>313000</v>
      </c>
    </row>
    <row r="85" spans="1:5" ht="13.5" thickBot="1">
      <c r="A85" s="716"/>
      <c r="B85" s="717"/>
      <c r="C85" s="718"/>
    </row>
    <row r="86" spans="1:5" ht="13.5" thickBot="1">
      <c r="A86" s="431" t="s">
        <v>320</v>
      </c>
      <c r="B86" s="432"/>
      <c r="C86" s="846" t="str">
        <f>'Development Program'!A29</f>
        <v>Apartments</v>
      </c>
    </row>
    <row r="87" spans="1:5" ht="13.5" thickBot="1">
      <c r="A87" s="66"/>
      <c r="B87" s="719" t="s">
        <v>321</v>
      </c>
      <c r="C87" s="719"/>
    </row>
    <row r="88" spans="1:5">
      <c r="A88" s="720" t="s">
        <v>294</v>
      </c>
      <c r="B88" s="722">
        <f>ROUND(D47,-2)</f>
        <v>130032600</v>
      </c>
      <c r="C88" s="722"/>
    </row>
    <row r="89" spans="1:5" ht="13.5" thickBot="1">
      <c r="A89" s="847">
        <v>0.02</v>
      </c>
      <c r="B89" s="848">
        <f>(-ROUND(A89*B88,-2))</f>
        <v>-2600700</v>
      </c>
      <c r="C89" s="725"/>
    </row>
    <row r="90" spans="1:5" ht="13.5" thickTop="1" thickBot="1">
      <c r="A90" s="726" t="s">
        <v>295</v>
      </c>
      <c r="B90" s="67">
        <f>B88+B89</f>
        <v>127431900</v>
      </c>
      <c r="C90" s="67"/>
      <c r="E90" s="68"/>
    </row>
    <row r="91" spans="1:5">
      <c r="A91" s="720" t="s">
        <v>322</v>
      </c>
      <c r="B91" s="722">
        <f>-B82</f>
        <v>-61929000</v>
      </c>
      <c r="C91" s="722"/>
    </row>
    <row r="92" spans="1:5" ht="12.95" thickBot="1">
      <c r="A92" s="727" t="s">
        <v>323</v>
      </c>
      <c r="B92" s="725">
        <f>-B83</f>
        <v>-41286000</v>
      </c>
      <c r="C92" s="725"/>
    </row>
    <row r="93" spans="1:5" ht="14.1" thickTop="1" thickBot="1">
      <c r="A93" s="109" t="s">
        <v>324</v>
      </c>
      <c r="B93" s="69">
        <f>ROUND(B90+B91+B92,-2)</f>
        <v>24216900</v>
      </c>
      <c r="C93" s="69"/>
      <c r="D93" s="70"/>
    </row>
    <row r="94" spans="1:5" ht="13.5" thickBot="1">
      <c r="A94" s="729" t="s">
        <v>325</v>
      </c>
      <c r="B94" s="730"/>
      <c r="C94" s="731"/>
    </row>
    <row r="95" spans="1:5">
      <c r="A95" s="732" t="s">
        <v>326</v>
      </c>
      <c r="B95" s="733">
        <f>ROUND((B88)/B15,-2)</f>
        <v>394000</v>
      </c>
      <c r="C95" s="733"/>
    </row>
    <row r="96" spans="1:5" ht="12.95" thickBot="1">
      <c r="A96" s="734" t="s">
        <v>327</v>
      </c>
      <c r="B96" s="735">
        <f>B90/B15</f>
        <v>386157.27272727271</v>
      </c>
      <c r="C96" s="735"/>
    </row>
    <row r="97" spans="1:4" ht="12.95">
      <c r="A97" s="736" t="s">
        <v>328</v>
      </c>
      <c r="B97" s="737"/>
      <c r="C97" s="738"/>
    </row>
    <row r="98" spans="1:4" ht="13.5" thickBot="1">
      <c r="A98" s="716"/>
      <c r="B98" s="71"/>
      <c r="C98" s="71"/>
    </row>
    <row r="99" spans="1:4" ht="12.95">
      <c r="A99" s="72"/>
      <c r="B99" s="719" t="s">
        <v>321</v>
      </c>
      <c r="C99" s="719"/>
    </row>
    <row r="100" spans="1:4">
      <c r="A100" s="739" t="s">
        <v>329</v>
      </c>
      <c r="B100" s="740">
        <f>(B93+B83)/B83</f>
        <v>1.5865644528411569</v>
      </c>
      <c r="C100" s="740"/>
    </row>
    <row r="101" spans="1:4" ht="12.95">
      <c r="A101" s="741" t="s">
        <v>330</v>
      </c>
      <c r="B101" s="742">
        <f>'IJKL Draw'!B39</f>
        <v>0.14598380511914777</v>
      </c>
      <c r="C101" s="742"/>
      <c r="D101" s="73"/>
    </row>
    <row r="102" spans="1:4" ht="12.95">
      <c r="A102" s="741" t="s">
        <v>331</v>
      </c>
      <c r="B102" s="742">
        <f>'IJKL Draw'!B44</f>
        <v>0.11018226873322123</v>
      </c>
      <c r="C102" s="742"/>
      <c r="D102" s="73"/>
    </row>
    <row r="103" spans="1:4">
      <c r="A103" s="739" t="s">
        <v>332</v>
      </c>
      <c r="B103" s="743">
        <f>D46/B82</f>
        <v>0.12598223912383538</v>
      </c>
      <c r="C103" s="743"/>
    </row>
    <row r="104" spans="1:4">
      <c r="A104" s="739" t="s">
        <v>333</v>
      </c>
      <c r="B104" s="744">
        <f>C47</f>
        <v>0.06</v>
      </c>
      <c r="C104" s="744"/>
    </row>
    <row r="117" spans="1:4">
      <c r="A117" s="140"/>
      <c r="B117" s="140"/>
      <c r="C117" s="140"/>
      <c r="D117" s="30"/>
    </row>
  </sheetData>
  <mergeCells count="16">
    <mergeCell ref="A78:B78"/>
    <mergeCell ref="A86:B86"/>
    <mergeCell ref="A94:C94"/>
    <mergeCell ref="A97:C97"/>
    <mergeCell ref="B41:C41"/>
    <mergeCell ref="B42:C42"/>
    <mergeCell ref="A48:B48"/>
    <mergeCell ref="C48:D48"/>
    <mergeCell ref="E69:F69"/>
    <mergeCell ref="E70:F70"/>
    <mergeCell ref="A1:C1"/>
    <mergeCell ref="D1:E1"/>
    <mergeCell ref="A32:B32"/>
    <mergeCell ref="C32:D32"/>
    <mergeCell ref="B35:C35"/>
    <mergeCell ref="B36:C36"/>
  </mergeCells>
  <printOptions horizontalCentered="1" verticalCentered="1"/>
  <pageMargins left="0.7" right="0.7" top="0.75" bottom="0.75" header="0.3" footer="0.3"/>
  <pageSetup scale="51"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3" manualBreakCount="3">
    <brk id="41" max="8" man="1"/>
    <brk id="60" max="8" man="1"/>
    <brk id="90" max="8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5779C-9E3A-41A4-9C95-89F952F6D8F2}">
  <sheetPr>
    <tabColor rgb="FF0070C0"/>
  </sheetPr>
  <dimension ref="A1:AZ599"/>
  <sheetViews>
    <sheetView showOutlineSymbols="0" showWhiteSpace="0" zoomScaleNormal="100" workbookViewId="0">
      <pane xSplit="9" ySplit="11" topLeftCell="J36" activePane="bottomRight" state="frozen"/>
      <selection pane="bottomRight" activeCell="C2" sqref="C2:F2"/>
      <selection pane="bottomLeft" activeCell="B84" sqref="B84"/>
      <selection pane="topRight" activeCell="B84" sqref="B84"/>
    </sheetView>
  </sheetViews>
  <sheetFormatPr defaultColWidth="8.85546875" defaultRowHeight="12.6"/>
  <cols>
    <col min="1" max="1" width="45.5703125" style="6" customWidth="1"/>
    <col min="2" max="2" width="14.85546875" style="6" customWidth="1"/>
    <col min="3" max="3" width="19" style="6" customWidth="1"/>
    <col min="4" max="5" width="20" style="6" customWidth="1"/>
    <col min="6" max="6" width="19" style="6" customWidth="1"/>
    <col min="7" max="7" width="14.42578125" style="116" customWidth="1"/>
    <col min="8" max="8" width="19" style="6" customWidth="1"/>
    <col min="9" max="9" width="21.140625" style="6" bestFit="1" customWidth="1"/>
    <col min="10" max="10" width="16.42578125" style="6" customWidth="1"/>
    <col min="11" max="11" width="17.5703125" style="6" customWidth="1"/>
    <col min="12" max="12" width="14.140625" style="6" customWidth="1"/>
    <col min="13" max="13" width="14.42578125" style="6" customWidth="1"/>
    <col min="14" max="14" width="15.42578125" style="6" customWidth="1"/>
    <col min="15" max="15" width="16.140625" style="6" customWidth="1"/>
    <col min="16" max="16" width="15.42578125" style="6" customWidth="1"/>
    <col min="17" max="17" width="13.85546875" style="6" customWidth="1"/>
    <col min="18" max="18" width="14" style="6" customWidth="1"/>
    <col min="19" max="19" width="18.5703125" style="6" bestFit="1" customWidth="1"/>
    <col min="20" max="20" width="12.85546875" style="6" customWidth="1"/>
    <col min="21" max="21" width="14.42578125" style="6" customWidth="1"/>
    <col min="22" max="22" width="16" style="6" customWidth="1"/>
    <col min="23" max="23" width="17" style="6" customWidth="1"/>
    <col min="24" max="24" width="16.42578125" style="6" customWidth="1"/>
    <col min="25" max="25" width="13.42578125" style="6" customWidth="1"/>
    <col min="26" max="26" width="15" style="6" customWidth="1"/>
    <col min="27" max="27" width="13.42578125" style="6" customWidth="1"/>
    <col min="28" max="28" width="16.85546875" style="117" customWidth="1"/>
    <col min="29" max="29" width="15" style="6" customWidth="1"/>
    <col min="30" max="30" width="16.140625" style="6" customWidth="1"/>
    <col min="31" max="31" width="13.42578125" style="117" customWidth="1"/>
    <col min="32" max="32" width="17.140625" style="6" customWidth="1"/>
    <col min="33" max="33" width="14.42578125" style="6" customWidth="1"/>
    <col min="34" max="34" width="17.5703125" style="6" customWidth="1"/>
    <col min="35" max="35" width="16" style="118" bestFit="1" customWidth="1"/>
    <col min="36" max="36" width="14.85546875" style="6" customWidth="1"/>
    <col min="37" max="37" width="15" style="6" hidden="1" customWidth="1"/>
    <col min="38" max="38" width="15.140625" style="6" hidden="1" customWidth="1"/>
    <col min="39" max="39" width="13.5703125" style="6" hidden="1" customWidth="1"/>
    <col min="40" max="40" width="13.85546875" style="6" hidden="1" customWidth="1"/>
    <col min="41" max="41" width="15.5703125" style="6" hidden="1" customWidth="1"/>
    <col min="42" max="43" width="15" style="6" hidden="1" customWidth="1"/>
    <col min="44" max="47" width="15.140625" style="6" hidden="1" customWidth="1"/>
    <col min="48" max="50" width="17" style="6" customWidth="1"/>
    <col min="51" max="51" width="15" style="6" customWidth="1"/>
    <col min="52" max="52" width="17.85546875" style="6" bestFit="1" customWidth="1"/>
    <col min="53" max="53" width="9.5703125" style="6" bestFit="1" customWidth="1"/>
    <col min="54" max="54" width="11.85546875" style="6" bestFit="1" customWidth="1"/>
    <col min="55" max="56" width="9.5703125" style="6" bestFit="1" customWidth="1"/>
    <col min="57" max="16384" width="8.85546875" style="6"/>
  </cols>
  <sheetData>
    <row r="1" spans="1:52" ht="15" thickBot="1">
      <c r="A1" s="440" t="str">
        <f>'Development Program'!A10</f>
        <v>Retail/Apartments/Senior Housing</v>
      </c>
      <c r="B1" s="199" t="s">
        <v>334</v>
      </c>
      <c r="C1" s="184" t="str">
        <f>'Development Program'!B27</f>
        <v>Pre-Development</v>
      </c>
      <c r="D1" s="184" t="str">
        <f>'Development Program'!C27</f>
        <v>Demolition</v>
      </c>
      <c r="E1" s="184" t="str">
        <f>'Development Program'!D27</f>
        <v>Construction</v>
      </c>
      <c r="F1" s="185" t="str">
        <f>'Development Program'!E27</f>
        <v>Close-out</v>
      </c>
      <c r="G1" s="6"/>
      <c r="AB1"/>
      <c r="AE1" s="6"/>
      <c r="AI1" s="6"/>
      <c r="AY1"/>
      <c r="AZ1"/>
    </row>
    <row r="2" spans="1:52" ht="15" thickBot="1">
      <c r="A2" s="441"/>
      <c r="B2" s="745" t="s">
        <v>335</v>
      </c>
      <c r="C2" s="746" t="str">
        <f>_xlfn.XLOOKUP($A$1,'Development Program'!$A$28:$A$33,'Development Program'!$B$28:$B$33)</f>
        <v>7/1/2025 to 8/31/2027</v>
      </c>
      <c r="D2" s="746" t="str">
        <f>_xlfn.XLOOKUP($A$1,'Development Program'!$A$28:$A$33,'Development Program'!$C$28:$C$33)</f>
        <v>9/1/2027 to 12/31/2027</v>
      </c>
      <c r="E2" s="746" t="str">
        <f>_xlfn.XLOOKUP($A$1,'Development Program'!$A$28:$A$33,'Development Program'!$D$28:$D$33)</f>
        <v>1/1/2028 to 12/31/2031</v>
      </c>
      <c r="F2" s="849" t="str">
        <f>_xlfn.XLOOKUP($A$1,'Development Program'!$A$28:$A$33,'Development Program'!$E$28:$E$33)</f>
        <v>1/1/2032 to 6/30/2032</v>
      </c>
      <c r="G2" s="6"/>
      <c r="H2" s="263"/>
      <c r="I2" s="264" t="s">
        <v>405</v>
      </c>
      <c r="J2" s="263"/>
      <c r="K2" s="263"/>
      <c r="R2" s="266" t="s">
        <v>191</v>
      </c>
      <c r="S2" s="266" t="s">
        <v>337</v>
      </c>
      <c r="V2" s="263"/>
      <c r="W2" s="263"/>
      <c r="X2" s="263"/>
      <c r="AB2"/>
      <c r="AE2" s="6"/>
      <c r="AH2" s="266" t="s">
        <v>394</v>
      </c>
      <c r="AI2" s="266" t="s">
        <v>395</v>
      </c>
      <c r="AJ2" s="266" t="s">
        <v>396</v>
      </c>
      <c r="AV2" s="443" t="s">
        <v>341</v>
      </c>
      <c r="AW2" s="443"/>
      <c r="AX2" s="443"/>
      <c r="AY2"/>
      <c r="AZ2"/>
    </row>
    <row r="3" spans="1:52" s="188" customFormat="1" ht="15" thickBot="1">
      <c r="A3" s="455"/>
      <c r="B3" s="189" t="s">
        <v>188</v>
      </c>
      <c r="C3" s="186">
        <v>45292</v>
      </c>
      <c r="D3" s="187">
        <f>EOMONTH(C3,3)</f>
        <v>45412</v>
      </c>
      <c r="E3" s="187">
        <f t="shared" ref="E3:AK3" si="0">EOMONTH(D3,3)</f>
        <v>45504</v>
      </c>
      <c r="F3" s="187">
        <f t="shared" si="0"/>
        <v>45596</v>
      </c>
      <c r="G3" s="749">
        <f t="shared" si="0"/>
        <v>45688</v>
      </c>
      <c r="H3" s="749">
        <f t="shared" si="0"/>
        <v>45777</v>
      </c>
      <c r="I3" s="187">
        <f t="shared" si="0"/>
        <v>45869</v>
      </c>
      <c r="J3" s="749">
        <f t="shared" si="0"/>
        <v>45961</v>
      </c>
      <c r="K3" s="749">
        <f t="shared" si="0"/>
        <v>46053</v>
      </c>
      <c r="L3" s="749">
        <f t="shared" si="0"/>
        <v>46142</v>
      </c>
      <c r="M3" s="749">
        <f t="shared" si="0"/>
        <v>46234</v>
      </c>
      <c r="N3" s="749">
        <f t="shared" si="0"/>
        <v>46326</v>
      </c>
      <c r="O3" s="749">
        <f t="shared" si="0"/>
        <v>46418</v>
      </c>
      <c r="P3" s="749">
        <f t="shared" si="0"/>
        <v>46507</v>
      </c>
      <c r="Q3" s="749">
        <f t="shared" si="0"/>
        <v>46599</v>
      </c>
      <c r="R3" s="187">
        <f t="shared" si="0"/>
        <v>46691</v>
      </c>
      <c r="S3" s="187">
        <f t="shared" si="0"/>
        <v>46783</v>
      </c>
      <c r="T3" s="749">
        <f t="shared" si="0"/>
        <v>46873</v>
      </c>
      <c r="U3" s="749">
        <f t="shared" si="0"/>
        <v>46965</v>
      </c>
      <c r="V3" s="749">
        <f t="shared" si="0"/>
        <v>47057</v>
      </c>
      <c r="W3" s="749">
        <f t="shared" si="0"/>
        <v>47149</v>
      </c>
      <c r="X3" s="749">
        <f t="shared" si="0"/>
        <v>47238</v>
      </c>
      <c r="Y3" s="749">
        <f t="shared" si="0"/>
        <v>47330</v>
      </c>
      <c r="Z3" s="749">
        <f t="shared" si="0"/>
        <v>47422</v>
      </c>
      <c r="AA3" s="749">
        <f t="shared" si="0"/>
        <v>47514</v>
      </c>
      <c r="AB3" s="749">
        <f t="shared" si="0"/>
        <v>47603</v>
      </c>
      <c r="AC3" s="749">
        <f t="shared" si="0"/>
        <v>47695</v>
      </c>
      <c r="AD3" s="749">
        <f t="shared" si="0"/>
        <v>47787</v>
      </c>
      <c r="AE3" s="749">
        <f t="shared" si="0"/>
        <v>47879</v>
      </c>
      <c r="AF3" s="749">
        <f t="shared" si="0"/>
        <v>47968</v>
      </c>
      <c r="AG3" s="749">
        <f t="shared" si="0"/>
        <v>48060</v>
      </c>
      <c r="AH3" s="187">
        <f t="shared" si="0"/>
        <v>48152</v>
      </c>
      <c r="AI3" s="187">
        <f t="shared" si="0"/>
        <v>48244</v>
      </c>
      <c r="AJ3" s="187">
        <f t="shared" si="0"/>
        <v>48334</v>
      </c>
      <c r="AK3" s="749">
        <f t="shared" si="0"/>
        <v>48426</v>
      </c>
      <c r="AL3" s="749">
        <f>EOMONTH(AK3,3)</f>
        <v>48518</v>
      </c>
      <c r="AM3" s="749">
        <f t="shared" ref="AM3:AU3" si="1">EOMONTH(AL3,3)</f>
        <v>48610</v>
      </c>
      <c r="AN3" s="749">
        <f t="shared" si="1"/>
        <v>48699</v>
      </c>
      <c r="AO3" s="749">
        <f t="shared" si="1"/>
        <v>48791</v>
      </c>
      <c r="AP3" s="749">
        <f t="shared" si="1"/>
        <v>48883</v>
      </c>
      <c r="AQ3" s="749">
        <f t="shared" si="1"/>
        <v>48975</v>
      </c>
      <c r="AR3" s="749">
        <f t="shared" si="1"/>
        <v>49064</v>
      </c>
      <c r="AS3" s="749">
        <f>EOMONTH(AR3,3)</f>
        <v>49156</v>
      </c>
      <c r="AT3" s="749">
        <f t="shared" si="1"/>
        <v>49248</v>
      </c>
      <c r="AU3" s="749">
        <f t="shared" si="1"/>
        <v>49340</v>
      </c>
      <c r="AV3" s="749" t="s">
        <v>342</v>
      </c>
      <c r="AW3" s="850" t="s">
        <v>343</v>
      </c>
      <c r="AX3" s="850"/>
      <c r="AY3"/>
      <c r="AZ3"/>
    </row>
    <row r="4" spans="1:52" ht="15" thickBot="1">
      <c r="A4" s="190" t="s">
        <v>344</v>
      </c>
      <c r="B4" s="191">
        <v>1</v>
      </c>
      <c r="C4" s="213"/>
      <c r="D4" s="213"/>
      <c r="E4" s="213"/>
      <c r="F4" s="213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12"/>
      <c r="S4" s="212">
        <v>0.05</v>
      </c>
      <c r="T4" s="212">
        <v>0.05</v>
      </c>
      <c r="U4" s="212">
        <v>0.05</v>
      </c>
      <c r="V4" s="212">
        <v>0.05</v>
      </c>
      <c r="W4" s="212">
        <v>0.06</v>
      </c>
      <c r="X4" s="212">
        <v>0.06</v>
      </c>
      <c r="Y4" s="212">
        <v>0.06</v>
      </c>
      <c r="Z4" s="212">
        <v>0.06</v>
      </c>
      <c r="AA4" s="212">
        <v>0.06</v>
      </c>
      <c r="AB4" s="212">
        <v>0.06</v>
      </c>
      <c r="AC4" s="212">
        <v>0.06</v>
      </c>
      <c r="AD4" s="212">
        <v>0.06</v>
      </c>
      <c r="AE4" s="212">
        <v>0.08</v>
      </c>
      <c r="AF4" s="212">
        <v>0.08</v>
      </c>
      <c r="AG4" s="212">
        <v>0.08</v>
      </c>
      <c r="AH4" s="212">
        <v>0.08</v>
      </c>
      <c r="AI4" s="212"/>
      <c r="AJ4" s="212"/>
      <c r="AK4" s="212"/>
      <c r="AL4" s="212"/>
      <c r="AM4" s="212"/>
      <c r="AN4" s="212"/>
      <c r="AO4" s="212"/>
      <c r="AP4" s="212"/>
      <c r="AQ4" s="212"/>
      <c r="AR4" s="212"/>
      <c r="AS4" s="851"/>
      <c r="AT4" s="851"/>
      <c r="AU4" s="851"/>
      <c r="AV4" s="758">
        <f>SUM(C4:AR4)</f>
        <v>1</v>
      </c>
      <c r="AW4" s="759"/>
      <c r="AX4" s="760" t="s">
        <v>345</v>
      </c>
      <c r="AY4"/>
      <c r="AZ4"/>
    </row>
    <row r="5" spans="1:52" ht="14.45">
      <c r="A5" s="147" t="str">
        <f>'IJKL Financial'!A50</f>
        <v>Hard Costs for Construction</v>
      </c>
      <c r="B5" s="852">
        <f>'IJKL Financial'!C50</f>
        <v>73220317.379999995</v>
      </c>
      <c r="C5" s="763"/>
      <c r="D5" s="763"/>
      <c r="E5" s="763"/>
      <c r="F5" s="763"/>
      <c r="G5" s="763"/>
      <c r="H5" s="763"/>
      <c r="I5" s="763"/>
      <c r="J5" s="763"/>
      <c r="K5" s="763"/>
      <c r="L5" s="763"/>
      <c r="M5" s="763"/>
      <c r="N5" s="763"/>
      <c r="O5" s="763"/>
      <c r="P5" s="763"/>
      <c r="Q5" s="763"/>
      <c r="R5" s="763"/>
      <c r="S5" s="958">
        <f>S$4*$B5</f>
        <v>3661015.8689999999</v>
      </c>
      <c r="T5" s="958">
        <f t="shared" ref="T5:AH5" si="2">T$4*$B5</f>
        <v>3661015.8689999999</v>
      </c>
      <c r="U5" s="958">
        <f t="shared" si="2"/>
        <v>3661015.8689999999</v>
      </c>
      <c r="V5" s="958">
        <f t="shared" si="2"/>
        <v>3661015.8689999999</v>
      </c>
      <c r="W5" s="958">
        <f t="shared" si="2"/>
        <v>4393219.0427999999</v>
      </c>
      <c r="X5" s="958">
        <f t="shared" si="2"/>
        <v>4393219.0427999999</v>
      </c>
      <c r="Y5" s="958">
        <f t="shared" si="2"/>
        <v>4393219.0427999999</v>
      </c>
      <c r="Z5" s="958">
        <f t="shared" si="2"/>
        <v>4393219.0427999999</v>
      </c>
      <c r="AA5" s="958">
        <f t="shared" si="2"/>
        <v>4393219.0427999999</v>
      </c>
      <c r="AB5" s="958">
        <f t="shared" si="2"/>
        <v>4393219.0427999999</v>
      </c>
      <c r="AC5" s="958">
        <f t="shared" si="2"/>
        <v>4393219.0427999999</v>
      </c>
      <c r="AD5" s="958">
        <f t="shared" si="2"/>
        <v>4393219.0427999999</v>
      </c>
      <c r="AE5" s="958">
        <f t="shared" si="2"/>
        <v>5857625.3903999999</v>
      </c>
      <c r="AF5" s="958">
        <f t="shared" si="2"/>
        <v>5857625.3903999999</v>
      </c>
      <c r="AG5" s="958">
        <f t="shared" si="2"/>
        <v>5857625.3903999999</v>
      </c>
      <c r="AH5" s="958">
        <f t="shared" si="2"/>
        <v>5857625.3903999999</v>
      </c>
      <c r="AI5" s="763"/>
      <c r="AJ5" s="763"/>
      <c r="AK5" s="763"/>
      <c r="AL5" s="763"/>
      <c r="AM5" s="763"/>
      <c r="AN5" s="763"/>
      <c r="AO5" s="763"/>
      <c r="AP5" s="763"/>
      <c r="AQ5" s="763"/>
      <c r="AR5" s="763"/>
      <c r="AS5" s="763"/>
      <c r="AT5" s="763"/>
      <c r="AU5" s="763"/>
      <c r="AV5" s="764">
        <f>SUM(C5:AU5)</f>
        <v>73220317.379999995</v>
      </c>
      <c r="AW5" s="764">
        <f t="shared" ref="AW5:AW26" si="3">B5</f>
        <v>73220317.379999995</v>
      </c>
      <c r="AX5" s="764">
        <f>AW5-AV5</f>
        <v>0</v>
      </c>
      <c r="AY5"/>
      <c r="AZ5"/>
    </row>
    <row r="6" spans="1:52" ht="14.45">
      <c r="A6" s="761" t="str">
        <f>'IJKL Financial'!A51</f>
        <v>Parking stalls</v>
      </c>
      <c r="B6" s="797">
        <f>'IJKL Financial'!C51</f>
        <v>295784.9852</v>
      </c>
      <c r="C6" s="763"/>
      <c r="D6" s="763"/>
      <c r="E6" s="763"/>
      <c r="F6" s="763"/>
      <c r="G6" s="763"/>
      <c r="H6" s="763"/>
      <c r="I6" s="763"/>
      <c r="J6" s="763"/>
      <c r="K6" s="763"/>
      <c r="L6" s="763"/>
      <c r="M6" s="763"/>
      <c r="N6" s="763"/>
      <c r="O6" s="763"/>
      <c r="P6" s="763"/>
      <c r="Q6" s="763"/>
      <c r="R6" s="763"/>
      <c r="S6" s="958">
        <f t="shared" ref="S6:AH26" si="4">S$4*$B6</f>
        <v>14789.249260000001</v>
      </c>
      <c r="T6" s="958">
        <f t="shared" si="4"/>
        <v>14789.249260000001</v>
      </c>
      <c r="U6" s="958">
        <f t="shared" si="4"/>
        <v>14789.249260000001</v>
      </c>
      <c r="V6" s="958">
        <f t="shared" si="4"/>
        <v>14789.249260000001</v>
      </c>
      <c r="W6" s="958">
        <f t="shared" si="4"/>
        <v>17747.099112</v>
      </c>
      <c r="X6" s="958">
        <f t="shared" si="4"/>
        <v>17747.099112</v>
      </c>
      <c r="Y6" s="958">
        <f t="shared" si="4"/>
        <v>17747.099112</v>
      </c>
      <c r="Z6" s="958">
        <f t="shared" si="4"/>
        <v>17747.099112</v>
      </c>
      <c r="AA6" s="958">
        <f t="shared" si="4"/>
        <v>17747.099112</v>
      </c>
      <c r="AB6" s="958">
        <f t="shared" si="4"/>
        <v>17747.099112</v>
      </c>
      <c r="AC6" s="958">
        <f t="shared" si="4"/>
        <v>17747.099112</v>
      </c>
      <c r="AD6" s="958">
        <f t="shared" si="4"/>
        <v>17747.099112</v>
      </c>
      <c r="AE6" s="958">
        <f t="shared" si="4"/>
        <v>23662.798815999999</v>
      </c>
      <c r="AF6" s="958">
        <f t="shared" si="4"/>
        <v>23662.798815999999</v>
      </c>
      <c r="AG6" s="958">
        <f t="shared" si="4"/>
        <v>23662.798815999999</v>
      </c>
      <c r="AH6" s="958">
        <f t="shared" si="4"/>
        <v>23662.798815999999</v>
      </c>
      <c r="AI6" s="763"/>
      <c r="AJ6" s="763"/>
      <c r="AK6" s="763"/>
      <c r="AL6" s="763"/>
      <c r="AM6" s="763"/>
      <c r="AN6" s="763"/>
      <c r="AO6" s="763"/>
      <c r="AP6" s="763"/>
      <c r="AQ6" s="763"/>
      <c r="AR6" s="763"/>
      <c r="AS6" s="763"/>
      <c r="AT6" s="763"/>
      <c r="AU6" s="763"/>
      <c r="AV6" s="764">
        <f t="shared" ref="AV6:AV26" si="5">SUM(C6:AU6)</f>
        <v>295784.9852</v>
      </c>
      <c r="AW6" s="764">
        <f t="shared" si="3"/>
        <v>295784.9852</v>
      </c>
      <c r="AX6" s="764">
        <f t="shared" ref="AX6:AX26" si="6">AW6-AV6</f>
        <v>0</v>
      </c>
      <c r="AY6"/>
      <c r="AZ6"/>
    </row>
    <row r="7" spans="1:52" ht="14.45">
      <c r="A7" s="761" t="str">
        <f>'IJKL Financial'!A52</f>
        <v>Hard Cost Contingency</v>
      </c>
      <c r="B7" s="797">
        <f>'IJKL Financial'!C52</f>
        <v>5857625.3903999999</v>
      </c>
      <c r="C7" s="763"/>
      <c r="D7" s="763"/>
      <c r="E7" s="763"/>
      <c r="F7" s="763"/>
      <c r="G7" s="763"/>
      <c r="H7" s="763"/>
      <c r="I7" s="763"/>
      <c r="J7" s="763"/>
      <c r="K7" s="763"/>
      <c r="L7" s="763"/>
      <c r="M7" s="763"/>
      <c r="N7" s="763"/>
      <c r="O7" s="763"/>
      <c r="P7" s="763"/>
      <c r="Q7" s="763"/>
      <c r="R7" s="763"/>
      <c r="S7" s="958">
        <f t="shared" si="4"/>
        <v>292881.26952000003</v>
      </c>
      <c r="T7" s="958">
        <f t="shared" si="4"/>
        <v>292881.26952000003</v>
      </c>
      <c r="U7" s="958">
        <f t="shared" si="4"/>
        <v>292881.26952000003</v>
      </c>
      <c r="V7" s="958">
        <f t="shared" si="4"/>
        <v>292881.26952000003</v>
      </c>
      <c r="W7" s="958">
        <f t="shared" si="4"/>
        <v>351457.52342399996</v>
      </c>
      <c r="X7" s="958">
        <f t="shared" si="4"/>
        <v>351457.52342399996</v>
      </c>
      <c r="Y7" s="958">
        <f t="shared" si="4"/>
        <v>351457.52342399996</v>
      </c>
      <c r="Z7" s="958">
        <f t="shared" si="4"/>
        <v>351457.52342399996</v>
      </c>
      <c r="AA7" s="958">
        <f t="shared" si="4"/>
        <v>351457.52342399996</v>
      </c>
      <c r="AB7" s="958">
        <f t="shared" si="4"/>
        <v>351457.52342399996</v>
      </c>
      <c r="AC7" s="958">
        <f t="shared" si="4"/>
        <v>351457.52342399996</v>
      </c>
      <c r="AD7" s="958">
        <f t="shared" si="4"/>
        <v>351457.52342399996</v>
      </c>
      <c r="AE7" s="958">
        <f t="shared" si="4"/>
        <v>468610.03123199998</v>
      </c>
      <c r="AF7" s="958">
        <f t="shared" si="4"/>
        <v>468610.03123199998</v>
      </c>
      <c r="AG7" s="958">
        <f t="shared" si="4"/>
        <v>468610.03123199998</v>
      </c>
      <c r="AH7" s="958">
        <f t="shared" si="4"/>
        <v>468610.03123199998</v>
      </c>
      <c r="AI7" s="763"/>
      <c r="AJ7" s="763"/>
      <c r="AK7" s="763"/>
      <c r="AL7" s="763"/>
      <c r="AM7" s="763"/>
      <c r="AN7" s="763"/>
      <c r="AO7" s="763"/>
      <c r="AP7" s="763"/>
      <c r="AQ7" s="763"/>
      <c r="AR7" s="763"/>
      <c r="AS7" s="763"/>
      <c r="AT7" s="763"/>
      <c r="AU7" s="763"/>
      <c r="AV7" s="764">
        <f t="shared" si="5"/>
        <v>5857625.3904000008</v>
      </c>
      <c r="AW7" s="764">
        <f t="shared" si="3"/>
        <v>5857625.3903999999</v>
      </c>
      <c r="AX7" s="764">
        <f t="shared" si="6"/>
        <v>0</v>
      </c>
      <c r="AY7"/>
      <c r="AZ7"/>
    </row>
    <row r="8" spans="1:52" ht="14.45">
      <c r="A8" s="761" t="str">
        <f>'IJKL Financial'!A53</f>
        <v>Demolition</v>
      </c>
      <c r="B8" s="797">
        <f>'IJKL Financial'!C53</f>
        <v>340500</v>
      </c>
      <c r="C8" s="763"/>
      <c r="D8" s="763"/>
      <c r="E8" s="763"/>
      <c r="F8" s="763"/>
      <c r="G8" s="763"/>
      <c r="H8" s="763"/>
      <c r="I8" s="763"/>
      <c r="J8" s="763"/>
      <c r="K8" s="763"/>
      <c r="L8" s="763"/>
      <c r="M8" s="763"/>
      <c r="N8" s="763"/>
      <c r="O8" s="763"/>
      <c r="P8" s="763"/>
      <c r="Q8" s="763"/>
      <c r="R8" s="763"/>
      <c r="S8" s="958">
        <f t="shared" si="4"/>
        <v>17025</v>
      </c>
      <c r="T8" s="958">
        <f t="shared" si="4"/>
        <v>17025</v>
      </c>
      <c r="U8" s="958">
        <f t="shared" si="4"/>
        <v>17025</v>
      </c>
      <c r="V8" s="958">
        <f t="shared" si="4"/>
        <v>17025</v>
      </c>
      <c r="W8" s="958">
        <f t="shared" si="4"/>
        <v>20430</v>
      </c>
      <c r="X8" s="958">
        <f t="shared" si="4"/>
        <v>20430</v>
      </c>
      <c r="Y8" s="958">
        <f t="shared" si="4"/>
        <v>20430</v>
      </c>
      <c r="Z8" s="958">
        <f t="shared" si="4"/>
        <v>20430</v>
      </c>
      <c r="AA8" s="958">
        <f t="shared" si="4"/>
        <v>20430</v>
      </c>
      <c r="AB8" s="958">
        <f t="shared" si="4"/>
        <v>20430</v>
      </c>
      <c r="AC8" s="958">
        <f t="shared" si="4"/>
        <v>20430</v>
      </c>
      <c r="AD8" s="958">
        <f t="shared" si="4"/>
        <v>20430</v>
      </c>
      <c r="AE8" s="958">
        <f t="shared" si="4"/>
        <v>27240</v>
      </c>
      <c r="AF8" s="958">
        <f t="shared" si="4"/>
        <v>27240</v>
      </c>
      <c r="AG8" s="958">
        <f t="shared" si="4"/>
        <v>27240</v>
      </c>
      <c r="AH8" s="958">
        <f t="shared" si="4"/>
        <v>27240</v>
      </c>
      <c r="AI8" s="763"/>
      <c r="AJ8" s="763"/>
      <c r="AK8" s="763"/>
      <c r="AL8" s="763"/>
      <c r="AM8" s="763"/>
      <c r="AN8" s="763"/>
      <c r="AO8" s="763"/>
      <c r="AP8" s="763"/>
      <c r="AQ8" s="763"/>
      <c r="AR8" s="763"/>
      <c r="AS8" s="763"/>
      <c r="AT8" s="763"/>
      <c r="AU8" s="763"/>
      <c r="AV8" s="764">
        <f t="shared" si="5"/>
        <v>340500</v>
      </c>
      <c r="AW8" s="764">
        <f t="shared" si="3"/>
        <v>340500</v>
      </c>
      <c r="AX8" s="764">
        <f t="shared" si="6"/>
        <v>0</v>
      </c>
      <c r="AY8"/>
      <c r="AZ8"/>
    </row>
    <row r="9" spans="1:52" ht="14.45">
      <c r="A9" s="761" t="str">
        <f>'IJKL Financial'!A54</f>
        <v>LAND</v>
      </c>
      <c r="B9" s="797">
        <f>'IJKL Financial'!C54</f>
        <v>4487899.8149999995</v>
      </c>
      <c r="C9" s="214"/>
      <c r="D9" s="765"/>
      <c r="E9" s="767"/>
      <c r="F9" s="763"/>
      <c r="G9" s="766"/>
      <c r="H9" s="767"/>
      <c r="I9" s="766"/>
      <c r="J9" s="767"/>
      <c r="K9" s="763"/>
      <c r="L9" s="765"/>
      <c r="M9" s="768"/>
      <c r="N9" s="765"/>
      <c r="O9" s="765"/>
      <c r="P9" s="765"/>
      <c r="Q9" s="765"/>
      <c r="R9" s="765"/>
      <c r="S9" s="958"/>
      <c r="T9" s="958"/>
      <c r="U9" s="958"/>
      <c r="V9" s="958"/>
      <c r="W9" s="958"/>
      <c r="X9" s="958"/>
      <c r="Y9" s="958"/>
      <c r="Z9" s="958"/>
      <c r="AA9" s="958"/>
      <c r="AB9" s="958"/>
      <c r="AC9" s="958"/>
      <c r="AD9" s="958"/>
      <c r="AE9" s="958"/>
      <c r="AF9" s="958"/>
      <c r="AG9" s="958"/>
      <c r="AH9" s="958"/>
      <c r="AI9" s="853"/>
      <c r="AJ9" s="853"/>
      <c r="AK9" s="853"/>
      <c r="AL9" s="853"/>
      <c r="AM9" s="853"/>
      <c r="AN9" s="853"/>
      <c r="AO9" s="853"/>
      <c r="AP9" s="853"/>
      <c r="AQ9" s="853"/>
      <c r="AR9" s="853"/>
      <c r="AS9" s="853"/>
      <c r="AT9" s="853"/>
      <c r="AU9" s="853"/>
      <c r="AV9" s="764">
        <f t="shared" si="5"/>
        <v>0</v>
      </c>
      <c r="AW9" s="764">
        <f t="shared" si="3"/>
        <v>4487899.8149999995</v>
      </c>
      <c r="AX9" s="764">
        <f t="shared" si="6"/>
        <v>4487899.8149999995</v>
      </c>
      <c r="AY9"/>
      <c r="AZ9"/>
    </row>
    <row r="10" spans="1:52" ht="14.45">
      <c r="A10" s="761" t="str">
        <f>'IJKL Financial'!A55</f>
        <v>Stormwater Utility Fee</v>
      </c>
      <c r="B10" s="797">
        <f>'IJKL Financial'!C55</f>
        <v>886.1121599999999</v>
      </c>
      <c r="C10" s="214"/>
      <c r="D10" s="765"/>
      <c r="E10" s="767"/>
      <c r="F10" s="763"/>
      <c r="G10" s="766"/>
      <c r="H10" s="767"/>
      <c r="I10" s="766"/>
      <c r="J10" s="767"/>
      <c r="K10" s="763"/>
      <c r="L10" s="765"/>
      <c r="M10" s="768"/>
      <c r="N10" s="765"/>
      <c r="O10" s="765"/>
      <c r="P10" s="765"/>
      <c r="Q10" s="765"/>
      <c r="R10" s="765"/>
      <c r="S10" s="958"/>
      <c r="T10" s="958"/>
      <c r="U10" s="958"/>
      <c r="V10" s="958"/>
      <c r="W10" s="958"/>
      <c r="X10" s="958"/>
      <c r="Y10" s="958"/>
      <c r="Z10" s="958"/>
      <c r="AA10" s="958"/>
      <c r="AB10" s="958"/>
      <c r="AC10" s="958"/>
      <c r="AD10" s="958"/>
      <c r="AE10" s="958"/>
      <c r="AF10" s="958"/>
      <c r="AG10" s="958"/>
      <c r="AH10" s="958"/>
      <c r="AI10" s="853"/>
      <c r="AJ10" s="853"/>
      <c r="AK10" s="854"/>
      <c r="AL10" s="855"/>
      <c r="AM10" s="853"/>
      <c r="AN10" s="853"/>
      <c r="AO10" s="853"/>
      <c r="AP10" s="854"/>
      <c r="AQ10" s="853"/>
      <c r="AR10" s="853"/>
      <c r="AS10" s="853"/>
      <c r="AT10" s="853"/>
      <c r="AU10" s="853"/>
      <c r="AV10" s="764"/>
      <c r="AW10" s="764"/>
      <c r="AX10" s="764"/>
      <c r="AY10"/>
      <c r="AZ10"/>
    </row>
    <row r="11" spans="1:52" ht="14.45">
      <c r="A11" s="761" t="str">
        <f>'IJKL Financial'!A56</f>
        <v>Municipal Fees and Allowances</v>
      </c>
      <c r="B11" s="797">
        <f>'IJKL Financial'!C56</f>
        <v>219960.45213999998</v>
      </c>
      <c r="C11" s="768"/>
      <c r="D11" s="765"/>
      <c r="E11" s="763"/>
      <c r="F11" s="763"/>
      <c r="G11" s="763"/>
      <c r="H11" s="763"/>
      <c r="I11" s="763"/>
      <c r="J11" s="763"/>
      <c r="K11" s="763"/>
      <c r="L11" s="765"/>
      <c r="M11" s="765"/>
      <c r="N11" s="765"/>
      <c r="O11" s="765"/>
      <c r="P11" s="765"/>
      <c r="Q11" s="765"/>
      <c r="R11" s="765"/>
      <c r="S11" s="958">
        <f t="shared" si="4"/>
        <v>10998.022606999999</v>
      </c>
      <c r="T11" s="958">
        <f t="shared" si="4"/>
        <v>10998.022606999999</v>
      </c>
      <c r="U11" s="958">
        <f t="shared" si="4"/>
        <v>10998.022606999999</v>
      </c>
      <c r="V11" s="958">
        <f t="shared" si="4"/>
        <v>10998.022606999999</v>
      </c>
      <c r="W11" s="958">
        <f t="shared" si="4"/>
        <v>13197.627128399998</v>
      </c>
      <c r="X11" s="958">
        <f t="shared" si="4"/>
        <v>13197.627128399998</v>
      </c>
      <c r="Y11" s="958">
        <f t="shared" si="4"/>
        <v>13197.627128399998</v>
      </c>
      <c r="Z11" s="958">
        <f t="shared" si="4"/>
        <v>13197.627128399998</v>
      </c>
      <c r="AA11" s="958">
        <f t="shared" si="4"/>
        <v>13197.627128399998</v>
      </c>
      <c r="AB11" s="958">
        <f t="shared" si="4"/>
        <v>13197.627128399998</v>
      </c>
      <c r="AC11" s="958">
        <f t="shared" si="4"/>
        <v>13197.627128399998</v>
      </c>
      <c r="AD11" s="958">
        <f t="shared" si="4"/>
        <v>13197.627128399998</v>
      </c>
      <c r="AE11" s="958">
        <f t="shared" si="4"/>
        <v>17596.836171200001</v>
      </c>
      <c r="AF11" s="958">
        <f t="shared" si="4"/>
        <v>17596.836171200001</v>
      </c>
      <c r="AG11" s="958">
        <f t="shared" si="4"/>
        <v>17596.836171200001</v>
      </c>
      <c r="AH11" s="958">
        <f t="shared" si="4"/>
        <v>17596.836171200001</v>
      </c>
      <c r="AI11" s="853"/>
      <c r="AJ11" s="853"/>
      <c r="AK11" s="854"/>
      <c r="AL11" s="855"/>
      <c r="AM11" s="853"/>
      <c r="AN11" s="853"/>
      <c r="AO11" s="853"/>
      <c r="AP11" s="854"/>
      <c r="AQ11" s="853"/>
      <c r="AR11" s="853"/>
      <c r="AS11" s="853"/>
      <c r="AT11" s="853"/>
      <c r="AU11" s="853"/>
      <c r="AV11" s="764">
        <f t="shared" si="5"/>
        <v>219960.45213999998</v>
      </c>
      <c r="AW11" s="764">
        <f t="shared" si="3"/>
        <v>219960.45213999998</v>
      </c>
      <c r="AX11" s="764">
        <f t="shared" si="6"/>
        <v>0</v>
      </c>
      <c r="AY11"/>
      <c r="AZ11"/>
    </row>
    <row r="12" spans="1:52" ht="14.45">
      <c r="A12" s="761" t="str">
        <f>'IJKL Financial'!A57</f>
        <v>Infrastructure allocation</v>
      </c>
      <c r="B12" s="797">
        <f>'IJKL Financial'!C57</f>
        <v>1276355.8500000001</v>
      </c>
      <c r="C12" s="768"/>
      <c r="D12" s="765"/>
      <c r="E12" s="763"/>
      <c r="F12" s="763"/>
      <c r="G12" s="763"/>
      <c r="H12" s="763"/>
      <c r="I12" s="763"/>
      <c r="J12" s="763"/>
      <c r="K12" s="763"/>
      <c r="L12" s="765"/>
      <c r="M12" s="765"/>
      <c r="N12" s="765"/>
      <c r="O12" s="765"/>
      <c r="P12" s="765"/>
      <c r="Q12" s="765"/>
      <c r="R12" s="765"/>
      <c r="S12" s="958">
        <f t="shared" si="4"/>
        <v>63817.79250000001</v>
      </c>
      <c r="T12" s="958">
        <f t="shared" si="4"/>
        <v>63817.79250000001</v>
      </c>
      <c r="U12" s="958">
        <f t="shared" si="4"/>
        <v>63817.79250000001</v>
      </c>
      <c r="V12" s="958">
        <f t="shared" si="4"/>
        <v>63817.79250000001</v>
      </c>
      <c r="W12" s="958">
        <f t="shared" si="4"/>
        <v>76581.35100000001</v>
      </c>
      <c r="X12" s="958">
        <f t="shared" si="4"/>
        <v>76581.35100000001</v>
      </c>
      <c r="Y12" s="958">
        <f t="shared" si="4"/>
        <v>76581.35100000001</v>
      </c>
      <c r="Z12" s="958">
        <f t="shared" si="4"/>
        <v>76581.35100000001</v>
      </c>
      <c r="AA12" s="958">
        <f t="shared" si="4"/>
        <v>76581.35100000001</v>
      </c>
      <c r="AB12" s="958">
        <f t="shared" si="4"/>
        <v>76581.35100000001</v>
      </c>
      <c r="AC12" s="958">
        <f t="shared" si="4"/>
        <v>76581.35100000001</v>
      </c>
      <c r="AD12" s="958">
        <f t="shared" si="4"/>
        <v>76581.35100000001</v>
      </c>
      <c r="AE12" s="958">
        <f t="shared" si="4"/>
        <v>102108.46800000001</v>
      </c>
      <c r="AF12" s="958">
        <f t="shared" si="4"/>
        <v>102108.46800000001</v>
      </c>
      <c r="AG12" s="958">
        <f t="shared" si="4"/>
        <v>102108.46800000001</v>
      </c>
      <c r="AH12" s="958">
        <f t="shared" si="4"/>
        <v>102108.46800000001</v>
      </c>
      <c r="AI12" s="853"/>
      <c r="AJ12" s="853"/>
      <c r="AK12" s="854"/>
      <c r="AL12" s="855"/>
      <c r="AM12" s="853"/>
      <c r="AN12" s="853"/>
      <c r="AO12" s="853"/>
      <c r="AP12" s="854"/>
      <c r="AQ12" s="853"/>
      <c r="AR12" s="856"/>
      <c r="AS12" s="856"/>
      <c r="AT12" s="856"/>
      <c r="AU12" s="856"/>
      <c r="AV12" s="764">
        <f t="shared" si="5"/>
        <v>1276355.8500000006</v>
      </c>
      <c r="AW12" s="764">
        <f t="shared" si="3"/>
        <v>1276355.8500000001</v>
      </c>
      <c r="AX12" s="764">
        <f t="shared" si="6"/>
        <v>0</v>
      </c>
      <c r="AY12"/>
      <c r="AZ12"/>
    </row>
    <row r="13" spans="1:52" ht="14.45">
      <c r="A13" s="761" t="str">
        <f>'IJKL Financial'!A58</f>
        <v>Legal</v>
      </c>
      <c r="B13" s="797">
        <f>'IJKL Financial'!C58</f>
        <v>549152.38034999999</v>
      </c>
      <c r="C13" s="768"/>
      <c r="D13" s="768"/>
      <c r="E13" s="767"/>
      <c r="F13" s="767"/>
      <c r="G13" s="767"/>
      <c r="H13" s="767"/>
      <c r="I13" s="767"/>
      <c r="J13" s="767"/>
      <c r="K13" s="763"/>
      <c r="L13" s="765"/>
      <c r="M13" s="765"/>
      <c r="N13" s="765"/>
      <c r="O13" s="765"/>
      <c r="P13" s="765"/>
      <c r="Q13" s="765"/>
      <c r="R13" s="765"/>
      <c r="S13" s="958">
        <f t="shared" si="4"/>
        <v>27457.619017500001</v>
      </c>
      <c r="T13" s="958">
        <f t="shared" si="4"/>
        <v>27457.619017500001</v>
      </c>
      <c r="U13" s="958">
        <f t="shared" si="4"/>
        <v>27457.619017500001</v>
      </c>
      <c r="V13" s="958">
        <f t="shared" si="4"/>
        <v>27457.619017500001</v>
      </c>
      <c r="W13" s="958">
        <f t="shared" si="4"/>
        <v>32949.142821000001</v>
      </c>
      <c r="X13" s="958">
        <f t="shared" si="4"/>
        <v>32949.142821000001</v>
      </c>
      <c r="Y13" s="958">
        <f t="shared" si="4"/>
        <v>32949.142821000001</v>
      </c>
      <c r="Z13" s="958">
        <f t="shared" si="4"/>
        <v>32949.142821000001</v>
      </c>
      <c r="AA13" s="958">
        <f t="shared" si="4"/>
        <v>32949.142821000001</v>
      </c>
      <c r="AB13" s="958">
        <f t="shared" si="4"/>
        <v>32949.142821000001</v>
      </c>
      <c r="AC13" s="958">
        <f t="shared" si="4"/>
        <v>32949.142821000001</v>
      </c>
      <c r="AD13" s="958">
        <f t="shared" si="4"/>
        <v>32949.142821000001</v>
      </c>
      <c r="AE13" s="958">
        <f t="shared" si="4"/>
        <v>43932.190428000002</v>
      </c>
      <c r="AF13" s="958">
        <f t="shared" si="4"/>
        <v>43932.190428000002</v>
      </c>
      <c r="AG13" s="958">
        <f t="shared" si="4"/>
        <v>43932.190428000002</v>
      </c>
      <c r="AH13" s="958">
        <f t="shared" si="4"/>
        <v>43932.190428000002</v>
      </c>
      <c r="AI13" s="765"/>
      <c r="AJ13" s="765"/>
      <c r="AK13" s="857"/>
      <c r="AL13" s="858"/>
      <c r="AM13" s="765"/>
      <c r="AN13" s="765"/>
      <c r="AO13" s="765"/>
      <c r="AP13" s="857"/>
      <c r="AQ13" s="765"/>
      <c r="AR13" s="765"/>
      <c r="AS13" s="765"/>
      <c r="AT13" s="765"/>
      <c r="AU13" s="765"/>
      <c r="AV13" s="764">
        <f t="shared" si="5"/>
        <v>549152.38035000011</v>
      </c>
      <c r="AW13" s="764">
        <f t="shared" si="3"/>
        <v>549152.38034999999</v>
      </c>
      <c r="AX13" s="764">
        <f t="shared" si="6"/>
        <v>0</v>
      </c>
      <c r="AY13"/>
      <c r="AZ13"/>
    </row>
    <row r="14" spans="1:52" ht="14.45">
      <c r="A14" s="761" t="str">
        <f>'IJKL Financial'!A59</f>
        <v>Land Closing Costs/commissions</v>
      </c>
      <c r="B14" s="797">
        <f>'IJKL Financial'!C59</f>
        <v>67318.497224999985</v>
      </c>
      <c r="C14" s="767"/>
      <c r="D14" s="763"/>
      <c r="E14" s="763"/>
      <c r="F14" s="763"/>
      <c r="G14" s="214"/>
      <c r="H14" s="763"/>
      <c r="I14" s="763"/>
      <c r="J14" s="763"/>
      <c r="K14" s="763"/>
      <c r="L14" s="763"/>
      <c r="M14" s="763"/>
      <c r="N14" s="763"/>
      <c r="O14" s="763"/>
      <c r="P14" s="763"/>
      <c r="Q14" s="763"/>
      <c r="R14" s="763"/>
      <c r="S14" s="958"/>
      <c r="T14" s="958"/>
      <c r="U14" s="958"/>
      <c r="V14" s="958"/>
      <c r="W14" s="958"/>
      <c r="X14" s="958"/>
      <c r="Y14" s="958"/>
      <c r="Z14" s="958"/>
      <c r="AA14" s="958"/>
      <c r="AB14" s="958"/>
      <c r="AC14" s="958"/>
      <c r="AD14" s="958"/>
      <c r="AE14" s="958"/>
      <c r="AF14" s="958"/>
      <c r="AG14" s="958"/>
      <c r="AH14" s="958"/>
      <c r="AI14" s="766"/>
      <c r="AJ14" s="766"/>
      <c r="AK14" s="859"/>
      <c r="AL14" s="860"/>
      <c r="AM14" s="766"/>
      <c r="AN14" s="766"/>
      <c r="AO14" s="766"/>
      <c r="AP14" s="859"/>
      <c r="AQ14" s="766"/>
      <c r="AR14" s="766"/>
      <c r="AS14" s="766"/>
      <c r="AT14" s="766"/>
      <c r="AU14" s="766"/>
      <c r="AV14" s="764">
        <f t="shared" si="5"/>
        <v>0</v>
      </c>
      <c r="AW14" s="764">
        <f t="shared" si="3"/>
        <v>67318.497224999985</v>
      </c>
      <c r="AX14" s="764">
        <f t="shared" si="6"/>
        <v>67318.497224999985</v>
      </c>
      <c r="AY14"/>
      <c r="AZ14"/>
    </row>
    <row r="15" spans="1:52" ht="14.45">
      <c r="A15" s="761" t="str">
        <f>'IJKL Financial'!A60</f>
        <v xml:space="preserve">Design </v>
      </c>
      <c r="B15" s="797">
        <f>'IJKL Financial'!C60</f>
        <v>3163117.7108159997</v>
      </c>
      <c r="C15" s="763"/>
      <c r="D15" s="763"/>
      <c r="E15" s="763"/>
      <c r="F15" s="763"/>
      <c r="G15" s="763"/>
      <c r="H15" s="763"/>
      <c r="I15" s="763"/>
      <c r="J15" s="763"/>
      <c r="K15" s="763"/>
      <c r="L15" s="763"/>
      <c r="M15" s="763"/>
      <c r="N15" s="763"/>
      <c r="O15" s="763"/>
      <c r="P15" s="763"/>
      <c r="Q15" s="763"/>
      <c r="R15" s="763"/>
      <c r="S15" s="958">
        <f t="shared" si="4"/>
        <v>158155.88554079999</v>
      </c>
      <c r="T15" s="958">
        <f t="shared" si="4"/>
        <v>158155.88554079999</v>
      </c>
      <c r="U15" s="958">
        <f t="shared" si="4"/>
        <v>158155.88554079999</v>
      </c>
      <c r="V15" s="958">
        <f t="shared" si="4"/>
        <v>158155.88554079999</v>
      </c>
      <c r="W15" s="958">
        <f t="shared" si="4"/>
        <v>189787.06264895998</v>
      </c>
      <c r="X15" s="958">
        <f t="shared" si="4"/>
        <v>189787.06264895998</v>
      </c>
      <c r="Y15" s="958">
        <f t="shared" si="4"/>
        <v>189787.06264895998</v>
      </c>
      <c r="Z15" s="958">
        <f t="shared" si="4"/>
        <v>189787.06264895998</v>
      </c>
      <c r="AA15" s="958">
        <f t="shared" si="4"/>
        <v>189787.06264895998</v>
      </c>
      <c r="AB15" s="958">
        <f t="shared" si="4"/>
        <v>189787.06264895998</v>
      </c>
      <c r="AC15" s="958">
        <f t="shared" si="4"/>
        <v>189787.06264895998</v>
      </c>
      <c r="AD15" s="958">
        <f t="shared" si="4"/>
        <v>189787.06264895998</v>
      </c>
      <c r="AE15" s="958">
        <f t="shared" si="4"/>
        <v>253049.41686527999</v>
      </c>
      <c r="AF15" s="958">
        <f t="shared" si="4"/>
        <v>253049.41686527999</v>
      </c>
      <c r="AG15" s="958">
        <f t="shared" si="4"/>
        <v>253049.41686527999</v>
      </c>
      <c r="AH15" s="958">
        <f t="shared" si="4"/>
        <v>253049.41686527999</v>
      </c>
      <c r="AI15" s="763"/>
      <c r="AJ15" s="763"/>
      <c r="AK15" s="763"/>
      <c r="AL15" s="763"/>
      <c r="AM15" s="763"/>
      <c r="AN15" s="763"/>
      <c r="AO15" s="763"/>
      <c r="AP15" s="763"/>
      <c r="AQ15" s="766"/>
      <c r="AR15" s="766"/>
      <c r="AS15" s="766"/>
      <c r="AT15" s="766"/>
      <c r="AU15" s="766"/>
      <c r="AV15" s="764">
        <f t="shared" si="5"/>
        <v>3163117.7108159992</v>
      </c>
      <c r="AW15" s="764">
        <f t="shared" si="3"/>
        <v>3163117.7108159997</v>
      </c>
      <c r="AX15" s="764">
        <f t="shared" si="6"/>
        <v>0</v>
      </c>
      <c r="AY15"/>
      <c r="AZ15"/>
    </row>
    <row r="16" spans="1:52" ht="14.45">
      <c r="A16" s="761" t="str">
        <f>'IJKL Financial'!A61</f>
        <v>Developer Fee</v>
      </c>
      <c r="B16" s="797">
        <f>'IJKL Financial'!C61</f>
        <v>2684367.5571987294</v>
      </c>
      <c r="C16" s="763"/>
      <c r="D16" s="763"/>
      <c r="E16" s="763"/>
      <c r="F16" s="763"/>
      <c r="G16" s="763"/>
      <c r="H16" s="763"/>
      <c r="I16" s="763"/>
      <c r="J16" s="763"/>
      <c r="K16" s="763"/>
      <c r="L16" s="763"/>
      <c r="M16" s="763"/>
      <c r="N16" s="763"/>
      <c r="O16" s="763"/>
      <c r="P16" s="763"/>
      <c r="Q16" s="763"/>
      <c r="R16" s="763"/>
      <c r="S16" s="958">
        <f t="shared" si="4"/>
        <v>134218.37785993647</v>
      </c>
      <c r="T16" s="958">
        <f t="shared" si="4"/>
        <v>134218.37785993647</v>
      </c>
      <c r="U16" s="958">
        <f t="shared" si="4"/>
        <v>134218.37785993647</v>
      </c>
      <c r="V16" s="958">
        <f t="shared" si="4"/>
        <v>134218.37785993647</v>
      </c>
      <c r="W16" s="958">
        <f t="shared" si="4"/>
        <v>161062.05343192376</v>
      </c>
      <c r="X16" s="958">
        <f t="shared" si="4"/>
        <v>161062.05343192376</v>
      </c>
      <c r="Y16" s="958">
        <f t="shared" si="4"/>
        <v>161062.05343192376</v>
      </c>
      <c r="Z16" s="958">
        <f t="shared" si="4"/>
        <v>161062.05343192376</v>
      </c>
      <c r="AA16" s="958">
        <f t="shared" si="4"/>
        <v>161062.05343192376</v>
      </c>
      <c r="AB16" s="958">
        <f t="shared" si="4"/>
        <v>161062.05343192376</v>
      </c>
      <c r="AC16" s="958">
        <f t="shared" si="4"/>
        <v>161062.05343192376</v>
      </c>
      <c r="AD16" s="958">
        <f t="shared" si="4"/>
        <v>161062.05343192376</v>
      </c>
      <c r="AE16" s="958">
        <f t="shared" si="4"/>
        <v>214749.40457589834</v>
      </c>
      <c r="AF16" s="958">
        <f t="shared" si="4"/>
        <v>214749.40457589834</v>
      </c>
      <c r="AG16" s="958">
        <f t="shared" si="4"/>
        <v>214749.40457589834</v>
      </c>
      <c r="AH16" s="958">
        <f t="shared" si="4"/>
        <v>214749.40457589834</v>
      </c>
      <c r="AI16" s="763"/>
      <c r="AJ16" s="763"/>
      <c r="AK16" s="763"/>
      <c r="AL16" s="763"/>
      <c r="AM16" s="763"/>
      <c r="AN16" s="763"/>
      <c r="AO16" s="763"/>
      <c r="AP16" s="763"/>
      <c r="AQ16" s="763"/>
      <c r="AR16" s="763"/>
      <c r="AS16" s="763"/>
      <c r="AT16" s="763"/>
      <c r="AU16" s="763"/>
      <c r="AV16" s="764">
        <f t="shared" si="5"/>
        <v>2684367.5571987294</v>
      </c>
      <c r="AW16" s="764">
        <f t="shared" si="3"/>
        <v>2684367.5571987294</v>
      </c>
      <c r="AX16" s="764">
        <f t="shared" si="6"/>
        <v>0</v>
      </c>
      <c r="AY16"/>
      <c r="AZ16"/>
    </row>
    <row r="17" spans="1:52" ht="14.45">
      <c r="A17" s="761" t="str">
        <f>'IJKL Financial'!A62</f>
        <v>Construction Management Fee</v>
      </c>
      <c r="B17" s="797">
        <f>'IJKL Financial'!C62</f>
        <v>1581558.8554079998</v>
      </c>
      <c r="C17" s="763"/>
      <c r="D17" s="763"/>
      <c r="E17" s="763"/>
      <c r="F17" s="763"/>
      <c r="G17" s="763"/>
      <c r="H17" s="763"/>
      <c r="I17" s="763"/>
      <c r="J17" s="763"/>
      <c r="K17" s="763"/>
      <c r="L17" s="763"/>
      <c r="M17" s="763"/>
      <c r="N17" s="763"/>
      <c r="O17" s="763"/>
      <c r="P17" s="763"/>
      <c r="Q17" s="763"/>
      <c r="R17" s="763"/>
      <c r="S17" s="958">
        <f t="shared" si="4"/>
        <v>79077.942770399997</v>
      </c>
      <c r="T17" s="958">
        <f t="shared" si="4"/>
        <v>79077.942770399997</v>
      </c>
      <c r="U17" s="958">
        <f t="shared" si="4"/>
        <v>79077.942770399997</v>
      </c>
      <c r="V17" s="958">
        <f t="shared" si="4"/>
        <v>79077.942770399997</v>
      </c>
      <c r="W17" s="958">
        <f t="shared" si="4"/>
        <v>94893.531324479991</v>
      </c>
      <c r="X17" s="958">
        <f t="shared" si="4"/>
        <v>94893.531324479991</v>
      </c>
      <c r="Y17" s="958">
        <f t="shared" si="4"/>
        <v>94893.531324479991</v>
      </c>
      <c r="Z17" s="958">
        <f t="shared" si="4"/>
        <v>94893.531324479991</v>
      </c>
      <c r="AA17" s="958">
        <f t="shared" si="4"/>
        <v>94893.531324479991</v>
      </c>
      <c r="AB17" s="958">
        <f t="shared" si="4"/>
        <v>94893.531324479991</v>
      </c>
      <c r="AC17" s="958">
        <f t="shared" si="4"/>
        <v>94893.531324479991</v>
      </c>
      <c r="AD17" s="958">
        <f t="shared" si="4"/>
        <v>94893.531324479991</v>
      </c>
      <c r="AE17" s="958">
        <f t="shared" si="4"/>
        <v>126524.70843263999</v>
      </c>
      <c r="AF17" s="958">
        <f t="shared" si="4"/>
        <v>126524.70843263999</v>
      </c>
      <c r="AG17" s="958">
        <f t="shared" si="4"/>
        <v>126524.70843263999</v>
      </c>
      <c r="AH17" s="958">
        <f t="shared" si="4"/>
        <v>126524.70843263999</v>
      </c>
      <c r="AI17" s="763"/>
      <c r="AJ17" s="763"/>
      <c r="AK17" s="763"/>
      <c r="AL17" s="763"/>
      <c r="AM17" s="763"/>
      <c r="AN17" s="763"/>
      <c r="AO17" s="763"/>
      <c r="AP17" s="763"/>
      <c r="AQ17" s="763"/>
      <c r="AR17" s="763"/>
      <c r="AS17" s="763"/>
      <c r="AT17" s="763"/>
      <c r="AU17" s="763"/>
      <c r="AV17" s="764">
        <f t="shared" si="5"/>
        <v>1581558.8554079996</v>
      </c>
      <c r="AW17" s="764">
        <f t="shared" si="3"/>
        <v>1581558.8554079998</v>
      </c>
      <c r="AX17" s="764">
        <f t="shared" si="6"/>
        <v>0</v>
      </c>
      <c r="AY17"/>
      <c r="AZ17"/>
    </row>
    <row r="18" spans="1:52" ht="14.45">
      <c r="A18" s="761" t="str">
        <f>'IJKL Financial'!A63</f>
        <v>Taxes</v>
      </c>
      <c r="B18" s="797">
        <f>'IJKL Financial'!C63</f>
        <v>269273.98889999994</v>
      </c>
      <c r="C18" s="767"/>
      <c r="D18" s="763"/>
      <c r="E18" s="763"/>
      <c r="F18" s="763"/>
      <c r="G18" s="766"/>
      <c r="H18" s="763"/>
      <c r="I18" s="763"/>
      <c r="J18" s="763"/>
      <c r="K18" s="763"/>
      <c r="L18" s="763"/>
      <c r="M18" s="763"/>
      <c r="N18" s="763"/>
      <c r="O18" s="763"/>
      <c r="P18" s="763"/>
      <c r="Q18" s="763"/>
      <c r="R18" s="763"/>
      <c r="S18" s="958">
        <f t="shared" si="4"/>
        <v>13463.699444999998</v>
      </c>
      <c r="T18" s="958">
        <f t="shared" si="4"/>
        <v>13463.699444999998</v>
      </c>
      <c r="U18" s="958">
        <f t="shared" si="4"/>
        <v>13463.699444999998</v>
      </c>
      <c r="V18" s="958">
        <f t="shared" si="4"/>
        <v>13463.699444999998</v>
      </c>
      <c r="W18" s="958">
        <f t="shared" si="4"/>
        <v>16156.439333999995</v>
      </c>
      <c r="X18" s="958">
        <f t="shared" si="4"/>
        <v>16156.439333999995</v>
      </c>
      <c r="Y18" s="958">
        <f t="shared" si="4"/>
        <v>16156.439333999995</v>
      </c>
      <c r="Z18" s="958">
        <f t="shared" si="4"/>
        <v>16156.439333999995</v>
      </c>
      <c r="AA18" s="958">
        <f t="shared" si="4"/>
        <v>16156.439333999995</v>
      </c>
      <c r="AB18" s="958">
        <f t="shared" si="4"/>
        <v>16156.439333999995</v>
      </c>
      <c r="AC18" s="958">
        <f t="shared" si="4"/>
        <v>16156.439333999995</v>
      </c>
      <c r="AD18" s="958">
        <f t="shared" si="4"/>
        <v>16156.439333999995</v>
      </c>
      <c r="AE18" s="958">
        <f t="shared" si="4"/>
        <v>21541.919111999996</v>
      </c>
      <c r="AF18" s="958">
        <f t="shared" si="4"/>
        <v>21541.919111999996</v>
      </c>
      <c r="AG18" s="958">
        <f t="shared" si="4"/>
        <v>21541.919111999996</v>
      </c>
      <c r="AH18" s="958">
        <f t="shared" si="4"/>
        <v>21541.919111999996</v>
      </c>
      <c r="AI18" s="766"/>
      <c r="AJ18" s="763"/>
      <c r="AK18" s="763"/>
      <c r="AL18" s="763"/>
      <c r="AM18" s="763"/>
      <c r="AN18" s="763"/>
      <c r="AO18" s="763"/>
      <c r="AP18" s="861"/>
      <c r="AQ18" s="763"/>
      <c r="AR18" s="763"/>
      <c r="AS18" s="763"/>
      <c r="AT18" s="763"/>
      <c r="AU18" s="763"/>
      <c r="AV18" s="764">
        <f t="shared" si="5"/>
        <v>269273.98889999994</v>
      </c>
      <c r="AW18" s="764">
        <f t="shared" si="3"/>
        <v>269273.98889999994</v>
      </c>
      <c r="AX18" s="764">
        <f t="shared" si="6"/>
        <v>0</v>
      </c>
      <c r="AY18"/>
      <c r="AZ18"/>
    </row>
    <row r="19" spans="1:52" ht="14.45">
      <c r="A19" s="761" t="str">
        <f>'IJKL Financial'!A64</f>
        <v>Insurance</v>
      </c>
      <c r="B19" s="797">
        <f>'IJKL Financial'!C64</f>
        <v>586038.89966529689</v>
      </c>
      <c r="C19" s="767"/>
      <c r="D19" s="214"/>
      <c r="E19" s="214"/>
      <c r="F19" s="763"/>
      <c r="G19" s="763"/>
      <c r="H19" s="763"/>
      <c r="I19" s="763"/>
      <c r="J19" s="763"/>
      <c r="K19" s="763"/>
      <c r="L19" s="767"/>
      <c r="M19" s="763"/>
      <c r="N19" s="763"/>
      <c r="O19" s="763"/>
      <c r="P19" s="763"/>
      <c r="Q19" s="763"/>
      <c r="R19" s="763"/>
      <c r="S19" s="958"/>
      <c r="T19" s="958"/>
      <c r="U19" s="958"/>
      <c r="V19" s="958"/>
      <c r="W19" s="958"/>
      <c r="X19" s="958"/>
      <c r="Y19" s="958"/>
      <c r="Z19" s="958"/>
      <c r="AA19" s="958"/>
      <c r="AB19" s="958"/>
      <c r="AC19" s="958"/>
      <c r="AD19" s="958"/>
      <c r="AE19" s="958"/>
      <c r="AF19" s="958"/>
      <c r="AG19" s="958"/>
      <c r="AH19" s="958"/>
      <c r="AI19" s="763"/>
      <c r="AJ19" s="763"/>
      <c r="AK19" s="861"/>
      <c r="AL19" s="862"/>
      <c r="AM19" s="763"/>
      <c r="AN19" s="763"/>
      <c r="AO19" s="763"/>
      <c r="AP19" s="861"/>
      <c r="AQ19" s="763"/>
      <c r="AR19" s="763"/>
      <c r="AS19" s="763"/>
      <c r="AT19" s="763"/>
      <c r="AU19" s="763"/>
      <c r="AV19" s="764">
        <f t="shared" si="5"/>
        <v>0</v>
      </c>
      <c r="AW19" s="764">
        <f t="shared" si="3"/>
        <v>586038.89966529689</v>
      </c>
      <c r="AX19" s="764">
        <f t="shared" si="6"/>
        <v>586038.89966529689</v>
      </c>
      <c r="AY19"/>
      <c r="AZ19"/>
    </row>
    <row r="20" spans="1:52" ht="14.45">
      <c r="A20" s="761" t="str">
        <f>'IJKL Financial'!A65</f>
        <v>Marketing, FFE and Preleasing</v>
      </c>
      <c r="B20" s="797">
        <f>'IJKL Financial'!C65</f>
        <v>500000</v>
      </c>
      <c r="C20" s="767"/>
      <c r="D20" s="763"/>
      <c r="E20" s="763"/>
      <c r="F20" s="763"/>
      <c r="G20" s="763"/>
      <c r="H20" s="763"/>
      <c r="I20" s="763"/>
      <c r="J20" s="763"/>
      <c r="K20" s="763"/>
      <c r="L20" s="763"/>
      <c r="M20" s="763"/>
      <c r="N20" s="763"/>
      <c r="O20" s="763"/>
      <c r="P20" s="763"/>
      <c r="Q20" s="763"/>
      <c r="R20" s="763"/>
      <c r="S20" s="958"/>
      <c r="T20" s="958"/>
      <c r="U20" s="958"/>
      <c r="V20" s="958"/>
      <c r="W20" s="958"/>
      <c r="X20" s="958"/>
      <c r="Y20" s="958"/>
      <c r="Z20" s="958"/>
      <c r="AA20" s="958"/>
      <c r="AB20" s="958"/>
      <c r="AC20" s="958"/>
      <c r="AD20" s="958"/>
      <c r="AE20" s="958"/>
      <c r="AF20" s="958"/>
      <c r="AG20" s="958"/>
      <c r="AH20" s="958"/>
      <c r="AI20" s="863">
        <f>$B20*0.5</f>
        <v>250000</v>
      </c>
      <c r="AJ20" s="863">
        <f>$B20*0.5</f>
        <v>250000</v>
      </c>
      <c r="AK20" s="863"/>
      <c r="AL20" s="863"/>
      <c r="AM20" s="766"/>
      <c r="AN20" s="766"/>
      <c r="AO20" s="766"/>
      <c r="AP20" s="859"/>
      <c r="AQ20" s="766"/>
      <c r="AR20" s="766"/>
      <c r="AS20" s="766"/>
      <c r="AT20" s="766"/>
      <c r="AU20" s="766"/>
      <c r="AV20" s="764">
        <f t="shared" si="5"/>
        <v>500000</v>
      </c>
      <c r="AW20" s="764">
        <f t="shared" si="3"/>
        <v>500000</v>
      </c>
      <c r="AX20" s="764">
        <f t="shared" si="6"/>
        <v>0</v>
      </c>
      <c r="AY20"/>
      <c r="AZ20"/>
    </row>
    <row r="21" spans="1:52" ht="14.45">
      <c r="A21" s="761" t="str">
        <f>'IJKL Financial'!A66</f>
        <v>Operating Deficit</v>
      </c>
      <c r="B21" s="797">
        <f>'IJKL Financial'!C66</f>
        <v>1170915.4246499999</v>
      </c>
      <c r="C21" s="767"/>
      <c r="D21" s="763"/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958"/>
      <c r="T21" s="958"/>
      <c r="U21" s="958"/>
      <c r="V21" s="958"/>
      <c r="W21" s="958"/>
      <c r="X21" s="958"/>
      <c r="Y21" s="958"/>
      <c r="Z21" s="958"/>
      <c r="AA21" s="958"/>
      <c r="AB21" s="958"/>
      <c r="AC21" s="958"/>
      <c r="AD21" s="958"/>
      <c r="AE21" s="958"/>
      <c r="AF21" s="958"/>
      <c r="AG21" s="958"/>
      <c r="AH21" s="958"/>
      <c r="AI21" s="863">
        <f t="shared" ref="AI21:AJ23" si="7">$B21*0.5</f>
        <v>585457.71232499997</v>
      </c>
      <c r="AJ21" s="863">
        <f t="shared" si="7"/>
        <v>585457.71232499997</v>
      </c>
      <c r="AK21" s="220"/>
      <c r="AL21" s="220"/>
      <c r="AM21" s="220"/>
      <c r="AN21" s="220"/>
      <c r="AO21" s="220"/>
      <c r="AP21" s="220"/>
      <c r="AQ21" s="766"/>
      <c r="AR21" s="767"/>
      <c r="AS21" s="767"/>
      <c r="AT21" s="767"/>
      <c r="AU21" s="767"/>
      <c r="AV21" s="764">
        <f t="shared" si="5"/>
        <v>1170915.4246499999</v>
      </c>
      <c r="AW21" s="764">
        <f t="shared" si="3"/>
        <v>1170915.4246499999</v>
      </c>
      <c r="AX21" s="764">
        <f t="shared" si="6"/>
        <v>0</v>
      </c>
      <c r="AY21"/>
      <c r="AZ21"/>
    </row>
    <row r="22" spans="1:52" ht="14.45">
      <c r="A22" s="761" t="str">
        <f>'IJKL Financial'!A67</f>
        <v>Retail Tenant Improvements</v>
      </c>
      <c r="B22" s="797">
        <f>'IJKL Financial'!C67</f>
        <v>1661460.2999999998</v>
      </c>
      <c r="C22" s="767"/>
      <c r="D22" s="763"/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958"/>
      <c r="T22" s="958"/>
      <c r="U22" s="958"/>
      <c r="V22" s="958"/>
      <c r="W22" s="958"/>
      <c r="X22" s="958"/>
      <c r="Y22" s="958"/>
      <c r="Z22" s="958"/>
      <c r="AA22" s="958"/>
      <c r="AB22" s="958"/>
      <c r="AC22" s="958"/>
      <c r="AD22" s="958"/>
      <c r="AE22" s="958"/>
      <c r="AF22" s="958"/>
      <c r="AG22" s="958"/>
      <c r="AH22" s="958"/>
      <c r="AI22" s="863">
        <f t="shared" si="7"/>
        <v>830730.14999999991</v>
      </c>
      <c r="AJ22" s="863">
        <f t="shared" si="7"/>
        <v>830730.14999999991</v>
      </c>
      <c r="AK22" s="866"/>
      <c r="AL22" s="860"/>
      <c r="AM22" s="766"/>
      <c r="AN22" s="766"/>
      <c r="AO22" s="766"/>
      <c r="AP22" s="859"/>
      <c r="AQ22" s="766"/>
      <c r="AR22" s="766"/>
      <c r="AS22" s="766"/>
      <c r="AT22" s="766"/>
      <c r="AU22" s="766"/>
      <c r="AV22" s="764">
        <f t="shared" si="5"/>
        <v>1661460.2999999998</v>
      </c>
      <c r="AW22" s="764">
        <f t="shared" si="3"/>
        <v>1661460.2999999998</v>
      </c>
      <c r="AX22" s="764">
        <f t="shared" si="6"/>
        <v>0</v>
      </c>
      <c r="AY22"/>
      <c r="AZ22"/>
    </row>
    <row r="23" spans="1:52" ht="14.45">
      <c r="A23" s="761" t="str">
        <f>'IJKL Financial'!A68</f>
        <v>Retail brokerage</v>
      </c>
      <c r="B23" s="797">
        <f>'IJKL Financial'!C68</f>
        <v>269320.71600000001</v>
      </c>
      <c r="C23" s="767"/>
      <c r="D23" s="763"/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958"/>
      <c r="T23" s="958"/>
      <c r="U23" s="958"/>
      <c r="V23" s="958"/>
      <c r="W23" s="958"/>
      <c r="X23" s="958"/>
      <c r="Y23" s="958"/>
      <c r="Z23" s="958"/>
      <c r="AA23" s="958"/>
      <c r="AB23" s="958"/>
      <c r="AC23" s="958"/>
      <c r="AD23" s="958"/>
      <c r="AE23" s="958"/>
      <c r="AF23" s="958"/>
      <c r="AG23" s="958"/>
      <c r="AH23" s="958"/>
      <c r="AI23" s="863">
        <f t="shared" si="7"/>
        <v>134660.35800000001</v>
      </c>
      <c r="AJ23" s="863">
        <f t="shared" si="7"/>
        <v>134660.35800000001</v>
      </c>
      <c r="AK23" s="861"/>
      <c r="AL23" s="860"/>
      <c r="AM23" s="766"/>
      <c r="AN23" s="763"/>
      <c r="AO23" s="763"/>
      <c r="AP23" s="861"/>
      <c r="AQ23" s="763"/>
      <c r="AR23" s="763"/>
      <c r="AS23" s="763"/>
      <c r="AT23" s="763"/>
      <c r="AU23" s="763"/>
      <c r="AV23" s="764">
        <f t="shared" si="5"/>
        <v>269320.71600000001</v>
      </c>
      <c r="AW23" s="764">
        <f t="shared" si="3"/>
        <v>269320.71600000001</v>
      </c>
      <c r="AX23" s="764">
        <f t="shared" si="6"/>
        <v>0</v>
      </c>
      <c r="AY23"/>
      <c r="AZ23"/>
    </row>
    <row r="24" spans="1:52" ht="14.45">
      <c r="A24" s="761" t="str">
        <f>'IJKL Financial'!A69</f>
        <v>Construction Loan Origination</v>
      </c>
      <c r="B24" s="797">
        <f>'IJKL Financial'!C69</f>
        <v>884760</v>
      </c>
      <c r="C24" s="763"/>
      <c r="D24" s="763"/>
      <c r="E24" s="763"/>
      <c r="F24" s="763"/>
      <c r="G24" s="763"/>
      <c r="H24" s="763"/>
      <c r="I24" s="763"/>
      <c r="J24" s="763"/>
      <c r="K24" s="763"/>
      <c r="L24" s="763"/>
      <c r="M24" s="214"/>
      <c r="N24" s="763"/>
      <c r="O24" s="763"/>
      <c r="P24" s="763"/>
      <c r="Q24" s="763"/>
      <c r="R24" s="763"/>
      <c r="S24" s="958">
        <f>B24</f>
        <v>884760</v>
      </c>
      <c r="T24" s="958"/>
      <c r="U24" s="958"/>
      <c r="V24" s="958"/>
      <c r="W24" s="958"/>
      <c r="X24" s="958"/>
      <c r="Y24" s="958"/>
      <c r="Z24" s="958"/>
      <c r="AA24" s="958"/>
      <c r="AB24" s="958"/>
      <c r="AC24" s="958"/>
      <c r="AD24" s="958"/>
      <c r="AE24" s="958"/>
      <c r="AF24" s="958"/>
      <c r="AG24" s="958"/>
      <c r="AH24" s="958"/>
      <c r="AI24" s="763"/>
      <c r="AJ24" s="763"/>
      <c r="AK24" s="861"/>
      <c r="AL24" s="862"/>
      <c r="AM24" s="763"/>
      <c r="AN24" s="763"/>
      <c r="AO24" s="763"/>
      <c r="AP24" s="861"/>
      <c r="AQ24" s="763"/>
      <c r="AR24" s="763"/>
      <c r="AS24" s="763"/>
      <c r="AT24" s="763"/>
      <c r="AU24" s="763"/>
      <c r="AV24" s="764">
        <f t="shared" si="5"/>
        <v>884760</v>
      </c>
      <c r="AW24" s="764">
        <f t="shared" si="3"/>
        <v>884760</v>
      </c>
      <c r="AX24" s="764">
        <f t="shared" si="6"/>
        <v>0</v>
      </c>
      <c r="AY24"/>
      <c r="AZ24"/>
    </row>
    <row r="25" spans="1:52" ht="14.45">
      <c r="A25" s="761" t="str">
        <f>'IJKL Financial'!A70</f>
        <v>Construction Interest</v>
      </c>
      <c r="B25" s="797">
        <f>'IJKL Financial'!C70</f>
        <v>4128880.0000000005</v>
      </c>
      <c r="C25" s="773"/>
      <c r="D25" s="763"/>
      <c r="E25" s="763"/>
      <c r="F25" s="763"/>
      <c r="G25" s="763"/>
      <c r="H25" s="763"/>
      <c r="I25" s="763"/>
      <c r="J25" s="763"/>
      <c r="K25" s="763"/>
      <c r="L25" s="763"/>
      <c r="M25" s="763"/>
      <c r="N25" s="763"/>
      <c r="O25" s="763"/>
      <c r="P25" s="763"/>
      <c r="Q25" s="763"/>
      <c r="R25" s="763"/>
      <c r="S25" s="958">
        <f t="shared" si="4"/>
        <v>206444.00000000003</v>
      </c>
      <c r="T25" s="958">
        <f t="shared" ref="T25:AH26" si="8">T$4*$B25</f>
        <v>206444.00000000003</v>
      </c>
      <c r="U25" s="958">
        <f t="shared" si="8"/>
        <v>206444.00000000003</v>
      </c>
      <c r="V25" s="958">
        <f t="shared" si="8"/>
        <v>206444.00000000003</v>
      </c>
      <c r="W25" s="958">
        <f t="shared" si="8"/>
        <v>247732.80000000002</v>
      </c>
      <c r="X25" s="958">
        <f t="shared" si="8"/>
        <v>247732.80000000002</v>
      </c>
      <c r="Y25" s="958">
        <f t="shared" si="8"/>
        <v>247732.80000000002</v>
      </c>
      <c r="Z25" s="958">
        <f t="shared" si="8"/>
        <v>247732.80000000002</v>
      </c>
      <c r="AA25" s="958">
        <f t="shared" si="8"/>
        <v>247732.80000000002</v>
      </c>
      <c r="AB25" s="958">
        <f t="shared" si="8"/>
        <v>247732.80000000002</v>
      </c>
      <c r="AC25" s="958">
        <f t="shared" si="8"/>
        <v>247732.80000000002</v>
      </c>
      <c r="AD25" s="958">
        <f t="shared" si="8"/>
        <v>247732.80000000002</v>
      </c>
      <c r="AE25" s="958">
        <f t="shared" si="8"/>
        <v>330310.40000000002</v>
      </c>
      <c r="AF25" s="958">
        <f t="shared" si="8"/>
        <v>330310.40000000002</v>
      </c>
      <c r="AG25" s="958">
        <f t="shared" si="8"/>
        <v>330310.40000000002</v>
      </c>
      <c r="AH25" s="958">
        <f t="shared" si="8"/>
        <v>330310.40000000002</v>
      </c>
      <c r="AI25" s="763"/>
      <c r="AJ25" s="763"/>
      <c r="AK25" s="763"/>
      <c r="AL25" s="763"/>
      <c r="AM25" s="763"/>
      <c r="AN25" s="763"/>
      <c r="AO25" s="763"/>
      <c r="AP25" s="763"/>
      <c r="AQ25" s="763"/>
      <c r="AR25" s="763"/>
      <c r="AS25" s="763"/>
      <c r="AT25" s="763"/>
      <c r="AU25" s="763"/>
      <c r="AV25" s="764">
        <f t="shared" si="5"/>
        <v>4128879.9999999995</v>
      </c>
      <c r="AW25" s="764">
        <f t="shared" si="3"/>
        <v>4128880.0000000005</v>
      </c>
      <c r="AX25" s="764">
        <f t="shared" si="6"/>
        <v>0</v>
      </c>
      <c r="AY25"/>
      <c r="AZ25"/>
    </row>
    <row r="26" spans="1:52" ht="15" thickBot="1">
      <c r="A26" s="867" t="str">
        <f>'IJKL Financial'!A71</f>
        <v>Additional Contingency</v>
      </c>
      <c r="B26" s="776">
        <f>'IJKL Financial'!C71</f>
        <v>0</v>
      </c>
      <c r="C26" s="775"/>
      <c r="D26" s="775"/>
      <c r="E26" s="775"/>
      <c r="F26" s="775"/>
      <c r="G26" s="775"/>
      <c r="H26" s="775"/>
      <c r="I26" s="775"/>
      <c r="J26" s="775"/>
      <c r="K26" s="775"/>
      <c r="L26" s="775"/>
      <c r="M26" s="775"/>
      <c r="N26" s="775"/>
      <c r="O26" s="775"/>
      <c r="P26" s="775"/>
      <c r="Q26" s="775"/>
      <c r="R26" s="775"/>
      <c r="S26" s="958">
        <f t="shared" si="4"/>
        <v>0</v>
      </c>
      <c r="T26" s="958">
        <f t="shared" si="8"/>
        <v>0</v>
      </c>
      <c r="U26" s="958">
        <f t="shared" si="8"/>
        <v>0</v>
      </c>
      <c r="V26" s="958">
        <f t="shared" si="8"/>
        <v>0</v>
      </c>
      <c r="W26" s="958">
        <f t="shared" si="8"/>
        <v>0</v>
      </c>
      <c r="X26" s="958">
        <f t="shared" si="8"/>
        <v>0</v>
      </c>
      <c r="Y26" s="958">
        <f t="shared" si="8"/>
        <v>0</v>
      </c>
      <c r="Z26" s="958">
        <f t="shared" si="8"/>
        <v>0</v>
      </c>
      <c r="AA26" s="958">
        <f t="shared" si="8"/>
        <v>0</v>
      </c>
      <c r="AB26" s="958">
        <f t="shared" si="8"/>
        <v>0</v>
      </c>
      <c r="AC26" s="958">
        <f t="shared" si="8"/>
        <v>0</v>
      </c>
      <c r="AD26" s="958">
        <f t="shared" si="8"/>
        <v>0</v>
      </c>
      <c r="AE26" s="958">
        <f t="shared" si="8"/>
        <v>0</v>
      </c>
      <c r="AF26" s="958">
        <f t="shared" si="8"/>
        <v>0</v>
      </c>
      <c r="AG26" s="958">
        <f t="shared" si="8"/>
        <v>0</v>
      </c>
      <c r="AH26" s="958">
        <f t="shared" si="8"/>
        <v>0</v>
      </c>
      <c r="AI26" s="775"/>
      <c r="AJ26" s="775"/>
      <c r="AK26" s="775"/>
      <c r="AL26" s="775"/>
      <c r="AM26" s="868"/>
      <c r="AN26" s="868"/>
      <c r="AO26" s="868"/>
      <c r="AP26" s="868"/>
      <c r="AQ26" s="869"/>
      <c r="AR26" s="869"/>
      <c r="AS26" s="869"/>
      <c r="AT26" s="869"/>
      <c r="AU26" s="869"/>
      <c r="AV26" s="764">
        <f t="shared" si="5"/>
        <v>0</v>
      </c>
      <c r="AW26" s="764">
        <f t="shared" si="3"/>
        <v>0</v>
      </c>
      <c r="AX26" s="764">
        <f t="shared" si="6"/>
        <v>0</v>
      </c>
      <c r="AY26"/>
      <c r="AZ26"/>
    </row>
    <row r="27" spans="1:52" ht="15.6" thickTop="1" thickBot="1">
      <c r="A27" s="141" t="str">
        <f>'A Financial'!A57</f>
        <v>Total Project Cost</v>
      </c>
      <c r="B27" s="142">
        <f t="shared" ref="B27:AJ27" si="9">SUM(B5:B26)</f>
        <v>103215494.31511302</v>
      </c>
      <c r="C27" s="870">
        <f t="shared" si="9"/>
        <v>0</v>
      </c>
      <c r="D27" s="870">
        <f t="shared" si="9"/>
        <v>0</v>
      </c>
      <c r="E27" s="870">
        <f t="shared" si="9"/>
        <v>0</v>
      </c>
      <c r="F27" s="870">
        <f t="shared" si="9"/>
        <v>0</v>
      </c>
      <c r="G27" s="870">
        <f t="shared" si="9"/>
        <v>0</v>
      </c>
      <c r="H27" s="870">
        <f t="shared" si="9"/>
        <v>0</v>
      </c>
      <c r="I27" s="870">
        <f t="shared" si="9"/>
        <v>0</v>
      </c>
      <c r="J27" s="870">
        <f t="shared" si="9"/>
        <v>0</v>
      </c>
      <c r="K27" s="870">
        <f t="shared" si="9"/>
        <v>0</v>
      </c>
      <c r="L27" s="870">
        <f t="shared" si="9"/>
        <v>0</v>
      </c>
      <c r="M27" s="870">
        <f t="shared" si="9"/>
        <v>0</v>
      </c>
      <c r="N27" s="870">
        <f t="shared" si="9"/>
        <v>0</v>
      </c>
      <c r="O27" s="870">
        <f t="shared" si="9"/>
        <v>0</v>
      </c>
      <c r="P27" s="870">
        <f t="shared" si="9"/>
        <v>0</v>
      </c>
      <c r="Q27" s="870">
        <f t="shared" si="9"/>
        <v>0</v>
      </c>
      <c r="R27" s="870">
        <f t="shared" si="9"/>
        <v>0</v>
      </c>
      <c r="S27" s="870">
        <f t="shared" si="9"/>
        <v>5564104.7275206363</v>
      </c>
      <c r="T27" s="870">
        <f t="shared" si="9"/>
        <v>4679344.7275206363</v>
      </c>
      <c r="U27" s="870">
        <f t="shared" si="9"/>
        <v>4679344.7275206363</v>
      </c>
      <c r="V27" s="870">
        <f t="shared" si="9"/>
        <v>4679344.7275206363</v>
      </c>
      <c r="W27" s="870">
        <f t="shared" si="9"/>
        <v>5615213.6730247634</v>
      </c>
      <c r="X27" s="870">
        <f t="shared" si="9"/>
        <v>5615213.6730247634</v>
      </c>
      <c r="Y27" s="870">
        <f t="shared" si="9"/>
        <v>5615213.6730247634</v>
      </c>
      <c r="Z27" s="870">
        <f t="shared" si="9"/>
        <v>5615213.6730247634</v>
      </c>
      <c r="AA27" s="870">
        <f t="shared" si="9"/>
        <v>5615213.6730247634</v>
      </c>
      <c r="AB27" s="870">
        <f t="shared" si="9"/>
        <v>5615213.6730247634</v>
      </c>
      <c r="AC27" s="870">
        <f t="shared" si="9"/>
        <v>5615213.6730247634</v>
      </c>
      <c r="AD27" s="870">
        <f t="shared" si="9"/>
        <v>5615213.6730247634</v>
      </c>
      <c r="AE27" s="870">
        <f t="shared" si="9"/>
        <v>7486951.5640330184</v>
      </c>
      <c r="AF27" s="870">
        <f t="shared" si="9"/>
        <v>7486951.5640330184</v>
      </c>
      <c r="AG27" s="870">
        <f t="shared" si="9"/>
        <v>7486951.5640330184</v>
      </c>
      <c r="AH27" s="870">
        <f t="shared" si="9"/>
        <v>7486951.5640330184</v>
      </c>
      <c r="AI27" s="870">
        <f t="shared" si="9"/>
        <v>1800848.2203249999</v>
      </c>
      <c r="AJ27" s="870">
        <f t="shared" si="9"/>
        <v>1800848.2203249999</v>
      </c>
      <c r="AK27" s="870"/>
      <c r="AL27" s="870"/>
      <c r="AM27" s="870"/>
      <c r="AN27" s="870"/>
      <c r="AO27" s="870"/>
      <c r="AP27" s="870"/>
      <c r="AQ27" s="870"/>
      <c r="AR27" s="143"/>
      <c r="AS27" s="201"/>
      <c r="AT27" s="201"/>
      <c r="AU27" s="201"/>
      <c r="AV27" s="146">
        <f>SUM(AV5:AV26)</f>
        <v>98073350.991062731</v>
      </c>
      <c r="AW27" s="129">
        <f>SUM(AW5:AW26)</f>
        <v>103214608.20295303</v>
      </c>
      <c r="AX27" s="124"/>
      <c r="AY27"/>
      <c r="AZ27"/>
    </row>
    <row r="28" spans="1:52" ht="14.45">
      <c r="A28" s="126" t="s">
        <v>346</v>
      </c>
      <c r="B28" s="192">
        <f>'IJKL Financial'!B80</f>
        <v>0</v>
      </c>
      <c r="C28" s="800"/>
      <c r="D28" s="800"/>
      <c r="E28" s="800"/>
      <c r="F28" s="800"/>
      <c r="G28" s="800"/>
      <c r="H28" s="800"/>
      <c r="I28" s="800"/>
      <c r="J28" s="800"/>
      <c r="K28" s="800"/>
      <c r="L28" s="800"/>
      <c r="M28" s="800"/>
      <c r="N28" s="800"/>
      <c r="O28" s="800"/>
      <c r="P28" s="800"/>
      <c r="Q28" s="800"/>
      <c r="R28" s="800"/>
      <c r="S28" s="800"/>
      <c r="T28" s="800"/>
      <c r="U28" s="800"/>
      <c r="V28" s="800"/>
      <c r="W28" s="800"/>
      <c r="X28" s="800"/>
      <c r="Y28" s="800"/>
      <c r="Z28" s="800"/>
      <c r="AA28" s="800"/>
      <c r="AB28" s="800"/>
      <c r="AC28" s="800"/>
      <c r="AD28" s="800"/>
      <c r="AE28" s="800"/>
      <c r="AF28" s="800"/>
      <c r="AG28" s="800"/>
      <c r="AH28" s="800"/>
      <c r="AI28" s="800"/>
      <c r="AJ28" s="800"/>
      <c r="AK28" s="800"/>
      <c r="AL28" s="800"/>
      <c r="AM28" s="800"/>
      <c r="AN28" s="800"/>
      <c r="AO28" s="800"/>
      <c r="AP28" s="800"/>
      <c r="AQ28" s="800"/>
      <c r="AR28" s="800"/>
      <c r="AS28" s="800"/>
      <c r="AT28" s="800"/>
      <c r="AU28" s="800"/>
      <c r="AV28" s="871"/>
      <c r="AW28" s="800"/>
      <c r="AX28" s="124"/>
      <c r="AY28"/>
      <c r="AZ28"/>
    </row>
    <row r="29" spans="1:52" ht="15" thickBot="1">
      <c r="A29" s="778" t="s">
        <v>347</v>
      </c>
      <c r="B29" s="872">
        <f>B27+B28</f>
        <v>103215494.31511302</v>
      </c>
      <c r="C29" s="793"/>
      <c r="D29" s="793"/>
      <c r="E29" s="793"/>
      <c r="F29" s="793"/>
      <c r="G29" s="793"/>
      <c r="H29" s="793"/>
      <c r="I29" s="793"/>
      <c r="J29" s="793"/>
      <c r="K29" s="793"/>
      <c r="L29" s="793"/>
      <c r="M29" s="793"/>
      <c r="N29" s="793"/>
      <c r="O29" s="793"/>
      <c r="P29" s="793"/>
      <c r="Q29" s="793"/>
      <c r="R29" s="793"/>
      <c r="S29" s="793"/>
      <c r="T29" s="793"/>
      <c r="U29" s="793"/>
      <c r="V29" s="793"/>
      <c r="W29" s="793"/>
      <c r="X29" s="793"/>
      <c r="Y29" s="793"/>
      <c r="Z29" s="791"/>
      <c r="AA29" s="791"/>
      <c r="AB29" s="791"/>
      <c r="AC29" s="791"/>
      <c r="AD29" s="791"/>
      <c r="AE29" s="791"/>
      <c r="AF29" s="791"/>
      <c r="AG29" s="791"/>
      <c r="AH29" s="793"/>
      <c r="AI29" s="793"/>
      <c r="AJ29" s="793"/>
      <c r="AK29" s="793"/>
      <c r="AL29" s="793"/>
      <c r="AM29" s="793"/>
      <c r="AN29" s="793"/>
      <c r="AO29" s="793"/>
      <c r="AP29" s="793"/>
      <c r="AQ29" s="793"/>
      <c r="AR29" s="793"/>
      <c r="AS29" s="793"/>
      <c r="AT29" s="793"/>
      <c r="AU29" s="793"/>
      <c r="AV29" s="793"/>
      <c r="AW29" s="793"/>
      <c r="AX29" s="780"/>
      <c r="AY29"/>
      <c r="AZ29"/>
    </row>
    <row r="30" spans="1:52" ht="14.45">
      <c r="A30" s="781" t="s">
        <v>348</v>
      </c>
      <c r="B30" s="782">
        <f>SUM(C30:AR30)</f>
        <v>41286000</v>
      </c>
      <c r="C30" s="764">
        <f>C27</f>
        <v>0</v>
      </c>
      <c r="D30" s="764">
        <f t="shared" ref="D30:X30" si="10">IF(C31+D27&lt;=$B$31,D27,($B$31-C31))</f>
        <v>0</v>
      </c>
      <c r="E30" s="764">
        <f t="shared" si="10"/>
        <v>0</v>
      </c>
      <c r="F30" s="764">
        <f t="shared" si="10"/>
        <v>0</v>
      </c>
      <c r="G30" s="764">
        <f t="shared" si="10"/>
        <v>0</v>
      </c>
      <c r="H30" s="764">
        <f t="shared" si="10"/>
        <v>0</v>
      </c>
      <c r="I30" s="764">
        <f t="shared" si="10"/>
        <v>0</v>
      </c>
      <c r="J30" s="764">
        <f t="shared" si="10"/>
        <v>0</v>
      </c>
      <c r="K30" s="764">
        <f t="shared" si="10"/>
        <v>0</v>
      </c>
      <c r="L30" s="764">
        <f t="shared" si="10"/>
        <v>0</v>
      </c>
      <c r="M30" s="764">
        <f t="shared" si="10"/>
        <v>0</v>
      </c>
      <c r="N30" s="764">
        <f t="shared" si="10"/>
        <v>0</v>
      </c>
      <c r="O30" s="764">
        <f t="shared" si="10"/>
        <v>0</v>
      </c>
      <c r="P30" s="764">
        <f t="shared" si="10"/>
        <v>0</v>
      </c>
      <c r="Q30" s="764">
        <f t="shared" si="10"/>
        <v>0</v>
      </c>
      <c r="R30" s="764">
        <f t="shared" si="10"/>
        <v>0</v>
      </c>
      <c r="S30" s="764">
        <f t="shared" si="10"/>
        <v>5564104.7275206363</v>
      </c>
      <c r="T30" s="764">
        <f t="shared" si="10"/>
        <v>4679344.7275206363</v>
      </c>
      <c r="U30" s="764">
        <f t="shared" si="10"/>
        <v>4679344.7275206363</v>
      </c>
      <c r="V30" s="764">
        <f t="shared" si="10"/>
        <v>4679344.7275206363</v>
      </c>
      <c r="W30" s="764">
        <f t="shared" si="10"/>
        <v>5615213.6730247634</v>
      </c>
      <c r="X30" s="764">
        <f t="shared" si="10"/>
        <v>5615213.6730247634</v>
      </c>
      <c r="Y30" s="764">
        <f t="shared" ref="Y30" si="11">IF(X31+Y27&lt;=$B$31,Y27,($B$31-X31))</f>
        <v>5615213.6730247634</v>
      </c>
      <c r="Z30" s="764">
        <f t="shared" ref="Z30" si="12">IF(Y31+Z27&lt;=$B$31,Z27,($B$31-Y31))</f>
        <v>4838220.0708431676</v>
      </c>
      <c r="AA30" s="764">
        <f t="shared" ref="AA30" si="13">IF(Z31+AA27&lt;=$B$31,AA27,($B$31-Z31))</f>
        <v>0</v>
      </c>
      <c r="AB30" s="764">
        <f t="shared" ref="AB30" si="14">IF(AA31+AB27&lt;=$B$31,AB27,($B$31-AA31))</f>
        <v>0</v>
      </c>
      <c r="AC30" s="764">
        <f t="shared" ref="AC30" si="15">IF(AB31+AC27&lt;=$B$31,AC27,($B$31-AB31))</f>
        <v>0</v>
      </c>
      <c r="AD30" s="764">
        <f t="shared" ref="AD30" si="16">IF(AC31+AD27&lt;=$B$31,AD27,($B$31-AC31))</f>
        <v>0</v>
      </c>
      <c r="AE30" s="764">
        <f t="shared" ref="AE30" si="17">IF(AD31+AE27&lt;=$B$31,AE27,($B$31-AD31))</f>
        <v>0</v>
      </c>
      <c r="AF30" s="764">
        <f t="shared" ref="AF30" si="18">IF(AE31+AF27&lt;=$B$31,AF27,($B$31-AE31))</f>
        <v>0</v>
      </c>
      <c r="AG30" s="764">
        <f t="shared" ref="AG30" si="19">IF(AF31+AG27&lt;=$B$31,AG27,($B$31-AF31))</f>
        <v>0</v>
      </c>
      <c r="AH30" s="764">
        <f t="shared" ref="AH30" si="20">IF(AG31+AH27&lt;=$B$31,AH27,($B$31-AG31))</f>
        <v>0</v>
      </c>
      <c r="AI30" s="764">
        <f t="shared" ref="AI30" si="21">IF(AH31+AI27&lt;=$B$31,AI27,($B$31-AH31))</f>
        <v>0</v>
      </c>
      <c r="AJ30" s="764">
        <f t="shared" ref="AJ30" si="22">IF(AI31+AJ27&lt;=$B$31,AJ27,($B$31-AI31))</f>
        <v>0</v>
      </c>
      <c r="AK30" s="764"/>
      <c r="AL30" s="764"/>
      <c r="AM30" s="764"/>
      <c r="AN30" s="764"/>
      <c r="AO30" s="764"/>
      <c r="AP30" s="764"/>
      <c r="AQ30" s="764"/>
      <c r="AR30" s="764"/>
      <c r="AS30" s="783"/>
      <c r="AT30" s="783"/>
      <c r="AU30" s="783"/>
      <c r="AV30" s="783"/>
      <c r="AW30" s="783"/>
      <c r="AX30" s="783"/>
      <c r="AY30"/>
      <c r="AZ30"/>
    </row>
    <row r="31" spans="1:52" ht="15" thickBot="1">
      <c r="A31" s="761" t="s">
        <v>349</v>
      </c>
      <c r="B31" s="784">
        <f>'IJKL Financial'!B83</f>
        <v>41286000</v>
      </c>
      <c r="C31" s="764">
        <f>C30</f>
        <v>0</v>
      </c>
      <c r="D31" s="764">
        <f>IF(SUM($C$30:D30)&lt;=$B31,SUM($C$30:D30),0)</f>
        <v>0</v>
      </c>
      <c r="E31" s="764">
        <f>IF(SUM($C$30:E30)&lt;=$B31,SUM($C$30:E30),0)</f>
        <v>0</v>
      </c>
      <c r="F31" s="764">
        <f>IF(SUM($C$30:F30)&lt;=$B31,SUM($C$30:F30),0)</f>
        <v>0</v>
      </c>
      <c r="G31" s="764">
        <f>IF(SUM($C$30:G30)&lt;=$B31,SUM($C$30:G30),0)</f>
        <v>0</v>
      </c>
      <c r="H31" s="764">
        <f>IF(SUM($C$30:H30)&lt;=$B31,SUM($C$30:H30),0)</f>
        <v>0</v>
      </c>
      <c r="I31" s="764">
        <f>IF(SUM($C$30:I30)&lt;=$B31,SUM($C$30:I30),0)</f>
        <v>0</v>
      </c>
      <c r="J31" s="764">
        <f>IF(SUM($C$30:J30)&lt;=$B31,SUM($C$30:J30),0)</f>
        <v>0</v>
      </c>
      <c r="K31" s="764">
        <f>IF(SUM($C$30:K30)&lt;=$B31,SUM($C$30:K30),0)</f>
        <v>0</v>
      </c>
      <c r="L31" s="764">
        <f>IF(SUM($C$30:L30)&lt;=$B31,SUM($C$30:L30),0)</f>
        <v>0</v>
      </c>
      <c r="M31" s="764">
        <f>IF(SUM($C$30:M30)&lt;=$B31,SUM($C$30:M30),0)</f>
        <v>0</v>
      </c>
      <c r="N31" s="764">
        <f>IF(SUM($C$30:N30)&lt;=$B31,SUM($C$30:N30),0)</f>
        <v>0</v>
      </c>
      <c r="O31" s="764">
        <f>IF(SUM($C$30:O30)&lt;=$B31,SUM($C$30:O30),0)</f>
        <v>0</v>
      </c>
      <c r="P31" s="764">
        <f>IF(SUM($C$30:P30)&lt;=$B31,SUM($C$30:P30),0)</f>
        <v>0</v>
      </c>
      <c r="Q31" s="764">
        <f>IF(SUM($C$30:Q30)&lt;=$B31,SUM($C$30:Q30),0)</f>
        <v>0</v>
      </c>
      <c r="R31" s="764">
        <f>IF(SUM($C$30:R30)&lt;=$B31,SUM($C$30:R30),0)</f>
        <v>0</v>
      </c>
      <c r="S31" s="764">
        <f>IF(SUM($C$30:S30)&lt;=$B31,SUM($C$30:S30),0)</f>
        <v>5564104.7275206363</v>
      </c>
      <c r="T31" s="764">
        <f>IF(SUM($C$30:T30)&lt;=$B31,SUM($C$30:T30),0)</f>
        <v>10243449.455041273</v>
      </c>
      <c r="U31" s="764">
        <f>IF(SUM($C$30:U30)&lt;=$B31,SUM($C$30:U30),0)</f>
        <v>14922794.182561908</v>
      </c>
      <c r="V31" s="764">
        <f>IF(SUM($C$30:V30)&lt;=$B31,SUM($C$30:V30),0)</f>
        <v>19602138.910082545</v>
      </c>
      <c r="W31" s="764">
        <f>IF(SUM($C$30:W30)&lt;=$B31,SUM($C$30:W30),0)</f>
        <v>25217352.583107308</v>
      </c>
      <c r="X31" s="764">
        <f>IF(SUM($C$30:X30)&lt;=$B31,SUM($C$30:X30),0)</f>
        <v>30832566.25613207</v>
      </c>
      <c r="Y31" s="764">
        <f>IF(SUM($C$30:Y30)&lt;=$B31,SUM($C$30:Y30),0)</f>
        <v>36447779.929156832</v>
      </c>
      <c r="Z31" s="764">
        <f>IF(SUM($C$30:Z30)&lt;=$B31,SUM($C$30:Z30),0)</f>
        <v>41286000</v>
      </c>
      <c r="AA31" s="764">
        <f>IF(SUM($C$30:AA30)&lt;=$B31,SUM($C$30:AA30),0)</f>
        <v>41286000</v>
      </c>
      <c r="AB31" s="764">
        <f>IF(SUM($C$30:AB30)&lt;=$B31,SUM($C$30:AB30),0)</f>
        <v>41286000</v>
      </c>
      <c r="AC31" s="764">
        <f>IF(SUM($C$30:AC30)&lt;=$B31,SUM($C$30:AC30),0)</f>
        <v>41286000</v>
      </c>
      <c r="AD31" s="764">
        <f>IF(SUM($C$30:AD30)&lt;=$B31,SUM($C$30:AD30),0)</f>
        <v>41286000</v>
      </c>
      <c r="AE31" s="764">
        <f>IF(SUM($C$30:AE30)&lt;=$B31,SUM($C$30:AE30),0)</f>
        <v>41286000</v>
      </c>
      <c r="AF31" s="764">
        <f>IF(SUM($C$30:AF30)&lt;=$B31,SUM($C$30:AF30),0)</f>
        <v>41286000</v>
      </c>
      <c r="AG31" s="764">
        <f>IF(SUM($C$30:AG30)&lt;=$B31,SUM($C$30:AG30),0)</f>
        <v>41286000</v>
      </c>
      <c r="AH31" s="764">
        <f>IF(SUM($C$30:AH30)&lt;=$B31,SUM($C$30:AH30),0)</f>
        <v>41286000</v>
      </c>
      <c r="AI31" s="764">
        <f>IF(SUM($C$30:AI30)&lt;=$B31,SUM($C$30:AI30),0)</f>
        <v>41286000</v>
      </c>
      <c r="AJ31" s="801">
        <f>IF(SUM($C$30:AJ30)&lt;=$B31,SUM($C$30:AJ30),0)</f>
        <v>41286000</v>
      </c>
      <c r="AK31" s="764"/>
      <c r="AL31" s="764"/>
      <c r="AM31" s="764"/>
      <c r="AN31" s="764"/>
      <c r="AO31" s="764"/>
      <c r="AP31" s="764"/>
      <c r="AQ31" s="764"/>
      <c r="AR31" s="764"/>
      <c r="AS31" s="783"/>
      <c r="AT31" s="783"/>
      <c r="AU31" s="783"/>
      <c r="AV31" s="783"/>
      <c r="AW31" s="783"/>
      <c r="AX31" s="783"/>
      <c r="AY31"/>
      <c r="AZ31"/>
    </row>
    <row r="32" spans="1:52" ht="14.45">
      <c r="A32" s="130" t="s">
        <v>350</v>
      </c>
      <c r="B32" s="131">
        <f>'IJKL Financial'!B82</f>
        <v>61929000</v>
      </c>
      <c r="C32" s="785"/>
      <c r="D32" s="786"/>
      <c r="E32" s="786"/>
      <c r="F32" s="786"/>
      <c r="G32" s="786"/>
      <c r="H32" s="786"/>
      <c r="I32" s="786"/>
      <c r="J32" s="786"/>
      <c r="K32" s="786"/>
      <c r="L32" s="786"/>
      <c r="M32" s="786"/>
      <c r="N32" s="786"/>
      <c r="O32" s="786"/>
      <c r="P32" s="786"/>
      <c r="Q32" s="786"/>
      <c r="R32" s="786"/>
      <c r="S32" s="786"/>
      <c r="T32" s="786"/>
      <c r="U32" s="786"/>
      <c r="V32" s="786"/>
      <c r="W32" s="786"/>
      <c r="X32" s="786"/>
      <c r="Y32" s="786"/>
      <c r="Z32" s="786"/>
      <c r="AA32" s="786"/>
      <c r="AB32" s="786"/>
      <c r="AC32" s="786"/>
      <c r="AD32" s="786"/>
      <c r="AE32" s="786"/>
      <c r="AF32" s="786"/>
      <c r="AG32" s="786"/>
      <c r="AH32" s="786"/>
      <c r="AI32" s="786"/>
      <c r="AJ32" s="786"/>
      <c r="AK32" s="786"/>
      <c r="AL32" s="786"/>
      <c r="AM32" s="786"/>
      <c r="AN32" s="786"/>
      <c r="AO32" s="786"/>
      <c r="AP32" s="786"/>
      <c r="AQ32" s="786"/>
      <c r="AR32" s="786"/>
      <c r="AS32" s="785"/>
      <c r="AT32" s="785"/>
      <c r="AU32" s="785"/>
      <c r="AV32" s="785"/>
      <c r="AW32" s="785"/>
      <c r="AX32" s="783"/>
      <c r="AY32"/>
      <c r="AZ32"/>
    </row>
    <row r="33" spans="1:52" ht="15" thickBot="1">
      <c r="A33" s="787" t="s">
        <v>351</v>
      </c>
      <c r="B33" s="788">
        <f>PMT(0.045,30,(B32))</f>
        <v>-3801916.8607862652</v>
      </c>
      <c r="C33" s="785"/>
      <c r="D33" s="786"/>
      <c r="E33" s="786"/>
      <c r="F33" s="786"/>
      <c r="G33" s="786"/>
      <c r="H33" s="786"/>
      <c r="I33" s="786"/>
      <c r="J33" s="786"/>
      <c r="K33" s="786"/>
      <c r="L33" s="786"/>
      <c r="M33" s="786"/>
      <c r="N33" s="786"/>
      <c r="O33" s="786"/>
      <c r="P33" s="786"/>
      <c r="Q33" s="786"/>
      <c r="R33" s="786"/>
      <c r="S33" s="786"/>
      <c r="T33" s="786"/>
      <c r="U33" s="786"/>
      <c r="V33" s="786"/>
      <c r="W33" s="786"/>
      <c r="X33" s="786"/>
      <c r="Y33" s="786"/>
      <c r="Z33" s="786"/>
      <c r="AA33" s="786"/>
      <c r="AB33" s="786"/>
      <c r="AC33" s="786"/>
      <c r="AD33" s="786"/>
      <c r="AE33" s="786"/>
      <c r="AF33" s="786"/>
      <c r="AG33" s="786"/>
      <c r="AH33" s="786"/>
      <c r="AI33" s="786"/>
      <c r="AJ33" s="786"/>
      <c r="AK33" s="786"/>
      <c r="AL33" s="786"/>
      <c r="AM33" s="786"/>
      <c r="AN33" s="786"/>
      <c r="AO33" s="786"/>
      <c r="AP33" s="786"/>
      <c r="AQ33" s="786"/>
      <c r="AR33" s="786"/>
      <c r="AS33" s="785"/>
      <c r="AT33" s="785"/>
      <c r="AU33" s="785"/>
      <c r="AV33" s="785"/>
      <c r="AW33" s="785"/>
      <c r="AX33" s="783"/>
      <c r="AY33"/>
      <c r="AZ33"/>
    </row>
    <row r="34" spans="1:52" ht="14.45">
      <c r="A34" s="132" t="s">
        <v>352</v>
      </c>
      <c r="B34" s="133">
        <f>SUM(C34:AV34)</f>
        <v>0</v>
      </c>
      <c r="C34" s="764"/>
      <c r="D34" s="764"/>
      <c r="E34" s="764"/>
      <c r="F34" s="764"/>
      <c r="G34" s="764"/>
      <c r="H34" s="764"/>
      <c r="I34" s="764"/>
      <c r="J34" s="764"/>
      <c r="K34" s="764"/>
      <c r="L34" s="764"/>
      <c r="M34" s="764"/>
      <c r="N34" s="764"/>
      <c r="O34" s="764"/>
      <c r="P34" s="764"/>
      <c r="Q34" s="764"/>
      <c r="R34" s="764"/>
      <c r="S34" s="764"/>
      <c r="T34" s="764"/>
      <c r="U34" s="764"/>
      <c r="V34" s="764"/>
      <c r="W34" s="764"/>
      <c r="X34" s="764"/>
      <c r="Y34" s="764"/>
      <c r="Z34" s="764"/>
      <c r="AA34" s="764"/>
      <c r="AB34" s="764"/>
      <c r="AC34" s="764"/>
      <c r="AD34" s="764"/>
      <c r="AE34" s="764"/>
      <c r="AF34" s="764"/>
      <c r="AG34" s="764"/>
      <c r="AH34" s="764"/>
      <c r="AI34" s="764"/>
      <c r="AJ34" s="764"/>
      <c r="AK34" s="764"/>
      <c r="AL34" s="764"/>
      <c r="AM34" s="764"/>
      <c r="AN34" s="764"/>
      <c r="AO34" s="764"/>
      <c r="AP34" s="764"/>
      <c r="AQ34" s="764"/>
      <c r="AR34" s="764"/>
      <c r="AS34" s="764"/>
      <c r="AT34" s="764"/>
      <c r="AU34" s="764"/>
      <c r="AV34" s="791"/>
      <c r="AW34" s="785"/>
      <c r="AX34" s="783"/>
      <c r="AY34"/>
      <c r="AZ34"/>
    </row>
    <row r="35" spans="1:52" ht="14.45">
      <c r="A35" s="789" t="s">
        <v>353</v>
      </c>
      <c r="B35" s="790"/>
      <c r="C35" s="764"/>
      <c r="D35" s="764"/>
      <c r="E35" s="764"/>
      <c r="F35" s="764"/>
      <c r="G35" s="764"/>
      <c r="H35" s="764"/>
      <c r="I35" s="764"/>
      <c r="J35" s="764"/>
      <c r="K35" s="764"/>
      <c r="L35" s="764"/>
      <c r="M35" s="764"/>
      <c r="N35" s="764"/>
      <c r="O35" s="764"/>
      <c r="P35" s="764"/>
      <c r="Q35" s="764"/>
      <c r="R35" s="764"/>
      <c r="S35" s="764"/>
      <c r="T35" s="764"/>
      <c r="U35" s="764"/>
      <c r="V35" s="764"/>
      <c r="W35" s="764"/>
      <c r="X35" s="764"/>
      <c r="Y35" s="764"/>
      <c r="Z35" s="764"/>
      <c r="AA35" s="764"/>
      <c r="AB35" s="764"/>
      <c r="AC35" s="764"/>
      <c r="AD35" s="764"/>
      <c r="AE35" s="764"/>
      <c r="AF35" s="764"/>
      <c r="AG35" s="764"/>
      <c r="AH35" s="764"/>
      <c r="AI35" s="764"/>
      <c r="AJ35" s="764"/>
      <c r="AK35" s="764"/>
      <c r="AL35" s="764"/>
      <c r="AM35" s="764"/>
      <c r="AN35" s="764"/>
      <c r="AO35" s="764"/>
      <c r="AP35" s="764"/>
      <c r="AQ35" s="764"/>
      <c r="AR35" s="764"/>
      <c r="AS35" s="70"/>
      <c r="AT35" s="70"/>
      <c r="AU35" s="70"/>
      <c r="AV35" s="791"/>
      <c r="AW35" s="786"/>
      <c r="AX35" s="783"/>
      <c r="AY35"/>
      <c r="AZ35"/>
    </row>
    <row r="36" spans="1:52" ht="14.45">
      <c r="A36" s="781" t="s">
        <v>354</v>
      </c>
      <c r="B36" s="782">
        <f>'IJKL Financial'!B90+'IJKL Financial'!B91</f>
        <v>65502900</v>
      </c>
      <c r="C36" s="791"/>
      <c r="D36" s="792"/>
      <c r="E36" s="792"/>
      <c r="F36" s="792"/>
      <c r="G36" s="792"/>
      <c r="H36" s="792"/>
      <c r="I36" s="792"/>
      <c r="J36" s="792"/>
      <c r="K36" s="792"/>
      <c r="L36" s="792"/>
      <c r="M36" s="792"/>
      <c r="N36" s="792"/>
      <c r="O36" s="792"/>
      <c r="P36" s="792"/>
      <c r="Q36" s="792"/>
      <c r="R36" s="792"/>
      <c r="S36" s="792"/>
      <c r="T36" s="792"/>
      <c r="U36" s="792"/>
      <c r="V36" s="792"/>
      <c r="W36" s="792"/>
      <c r="X36" s="792"/>
      <c r="Y36" s="792"/>
      <c r="Z36" s="792"/>
      <c r="AA36" s="792"/>
      <c r="AB36" s="792"/>
      <c r="AC36" s="792"/>
      <c r="AD36" s="792"/>
      <c r="AE36" s="792"/>
      <c r="AF36" s="792"/>
      <c r="AG36" s="873"/>
      <c r="AH36" s="792"/>
      <c r="AI36" s="792"/>
      <c r="AJ36" s="792"/>
      <c r="AK36" s="792"/>
      <c r="AL36" s="792"/>
      <c r="AM36" s="792"/>
      <c r="AN36" s="792"/>
      <c r="AO36" s="792"/>
      <c r="AP36" s="792"/>
      <c r="AQ36" s="792"/>
      <c r="AR36" s="792"/>
      <c r="AS36" s="202"/>
      <c r="AT36" s="202"/>
      <c r="AU36" s="202"/>
      <c r="AV36" s="793"/>
      <c r="AW36" s="794"/>
      <c r="AX36" s="795"/>
      <c r="AY36"/>
      <c r="AZ36"/>
    </row>
    <row r="37" spans="1:52" ht="14.45">
      <c r="A37" s="781" t="s">
        <v>397</v>
      </c>
      <c r="B37" s="796">
        <f>SUM(C37:AU37)</f>
        <v>24216900</v>
      </c>
      <c r="C37" s="797">
        <f t="shared" ref="C37:AI37" si="23">-C30</f>
        <v>0</v>
      </c>
      <c r="D37" s="797">
        <f t="shared" si="23"/>
        <v>0</v>
      </c>
      <c r="E37" s="797">
        <f t="shared" si="23"/>
        <v>0</v>
      </c>
      <c r="F37" s="797">
        <f t="shared" si="23"/>
        <v>0</v>
      </c>
      <c r="G37" s="797">
        <f t="shared" si="23"/>
        <v>0</v>
      </c>
      <c r="H37" s="797">
        <f t="shared" si="23"/>
        <v>0</v>
      </c>
      <c r="I37" s="797">
        <f t="shared" si="23"/>
        <v>0</v>
      </c>
      <c r="J37" s="797">
        <f t="shared" si="23"/>
        <v>0</v>
      </c>
      <c r="K37" s="797">
        <f t="shared" si="23"/>
        <v>0</v>
      </c>
      <c r="L37" s="797">
        <f t="shared" si="23"/>
        <v>0</v>
      </c>
      <c r="M37" s="797">
        <f t="shared" si="23"/>
        <v>0</v>
      </c>
      <c r="N37" s="797">
        <f t="shared" si="23"/>
        <v>0</v>
      </c>
      <c r="O37" s="797">
        <f t="shared" si="23"/>
        <v>0</v>
      </c>
      <c r="P37" s="797">
        <f t="shared" si="23"/>
        <v>0</v>
      </c>
      <c r="Q37" s="797">
        <f t="shared" si="23"/>
        <v>0</v>
      </c>
      <c r="R37" s="797">
        <f t="shared" si="23"/>
        <v>0</v>
      </c>
      <c r="S37" s="797">
        <f t="shared" si="23"/>
        <v>-5564104.7275206363</v>
      </c>
      <c r="T37" s="797">
        <f t="shared" si="23"/>
        <v>-4679344.7275206363</v>
      </c>
      <c r="U37" s="797">
        <f t="shared" si="23"/>
        <v>-4679344.7275206363</v>
      </c>
      <c r="V37" s="797">
        <f t="shared" si="23"/>
        <v>-4679344.7275206363</v>
      </c>
      <c r="W37" s="797">
        <f t="shared" si="23"/>
        <v>-5615213.6730247634</v>
      </c>
      <c r="X37" s="797">
        <f t="shared" si="23"/>
        <v>-5615213.6730247634</v>
      </c>
      <c r="Y37" s="797">
        <f t="shared" si="23"/>
        <v>-5615213.6730247634</v>
      </c>
      <c r="Z37" s="797">
        <f t="shared" si="23"/>
        <v>-4838220.0708431676</v>
      </c>
      <c r="AA37" s="797">
        <f t="shared" si="23"/>
        <v>0</v>
      </c>
      <c r="AB37" s="797">
        <f t="shared" si="23"/>
        <v>0</v>
      </c>
      <c r="AC37" s="797">
        <f t="shared" si="23"/>
        <v>0</v>
      </c>
      <c r="AD37" s="797">
        <f t="shared" si="23"/>
        <v>0</v>
      </c>
      <c r="AE37" s="797">
        <f t="shared" si="23"/>
        <v>0</v>
      </c>
      <c r="AF37" s="797">
        <f t="shared" si="23"/>
        <v>0</v>
      </c>
      <c r="AG37" s="797">
        <f t="shared" si="23"/>
        <v>0</v>
      </c>
      <c r="AH37" s="797">
        <f t="shared" si="23"/>
        <v>0</v>
      </c>
      <c r="AI37" s="797">
        <f t="shared" si="23"/>
        <v>0</v>
      </c>
      <c r="AJ37" s="874">
        <f>B36</f>
        <v>65502900</v>
      </c>
      <c r="AK37" s="135"/>
      <c r="AL37" s="875"/>
      <c r="AM37" s="875"/>
      <c r="AN37" s="875"/>
      <c r="AO37" s="875"/>
      <c r="AP37" s="875"/>
      <c r="AQ37" s="875"/>
      <c r="AR37" s="875"/>
      <c r="AS37" s="876"/>
      <c r="AT37" s="876"/>
      <c r="AU37" s="876"/>
      <c r="AV37" s="136"/>
      <c r="AW37" s="797"/>
      <c r="AX37" s="764"/>
      <c r="AY37"/>
      <c r="AZ37"/>
    </row>
    <row r="38" spans="1:52" ht="14.45">
      <c r="A38" s="781" t="s">
        <v>356</v>
      </c>
      <c r="B38" s="799">
        <f>IF(B37&lt;0,0,IRR(C37:AIW37))</f>
        <v>3.4652758750777668E-2</v>
      </c>
      <c r="C38" s="800"/>
      <c r="D38" s="800"/>
      <c r="E38" s="800"/>
      <c r="F38" s="800"/>
      <c r="G38" s="800"/>
      <c r="H38" s="800"/>
      <c r="I38" s="800"/>
      <c r="J38" s="800"/>
      <c r="K38" s="800"/>
      <c r="L38" s="800"/>
      <c r="M38" s="800"/>
      <c r="N38" s="800"/>
      <c r="O38" s="800"/>
      <c r="P38" s="800"/>
      <c r="Q38" s="800"/>
      <c r="R38" s="800"/>
      <c r="S38" s="800"/>
      <c r="T38" s="800"/>
      <c r="U38" s="800"/>
      <c r="V38" s="800"/>
      <c r="W38" s="800"/>
      <c r="X38" s="800"/>
      <c r="Y38" s="800"/>
      <c r="Z38" s="800"/>
      <c r="AA38" s="800"/>
      <c r="AB38" s="800"/>
      <c r="AC38" s="800"/>
      <c r="AD38" s="800"/>
      <c r="AE38" s="800"/>
      <c r="AF38" s="800"/>
      <c r="AG38" s="800"/>
      <c r="AH38" s="800"/>
      <c r="AI38" s="800"/>
      <c r="AJ38" s="800"/>
      <c r="AK38" s="800"/>
      <c r="AL38" s="800"/>
      <c r="AM38" s="800"/>
      <c r="AN38" s="800"/>
      <c r="AO38" s="800"/>
      <c r="AP38" s="800"/>
      <c r="AQ38" s="800"/>
      <c r="AR38" s="800"/>
      <c r="AS38" s="800"/>
      <c r="AT38" s="800"/>
      <c r="AU38" s="800"/>
      <c r="AV38" s="793"/>
      <c r="AW38" s="800"/>
      <c r="AX38" s="801"/>
      <c r="AY38"/>
      <c r="AZ38"/>
    </row>
    <row r="39" spans="1:52" ht="14.45">
      <c r="A39" s="772" t="s">
        <v>357</v>
      </c>
      <c r="B39" s="877">
        <f>POWER((1+B38),4)-1</f>
        <v>0.14598380511914777</v>
      </c>
      <c r="C39" s="793"/>
      <c r="D39" s="793"/>
      <c r="E39" s="803"/>
      <c r="F39" s="803"/>
      <c r="G39" s="803"/>
      <c r="H39" s="803"/>
      <c r="I39" s="803"/>
      <c r="J39" s="803"/>
      <c r="K39" s="803"/>
      <c r="L39" s="803"/>
      <c r="M39" s="803"/>
      <c r="N39" s="803"/>
      <c r="O39" s="803"/>
      <c r="P39" s="804"/>
      <c r="Q39" s="803"/>
      <c r="R39" s="803"/>
      <c r="S39" s="803"/>
      <c r="T39" s="803"/>
      <c r="U39" s="803"/>
      <c r="V39" s="804"/>
      <c r="W39" s="803"/>
      <c r="X39" s="803"/>
      <c r="Y39" s="803"/>
      <c r="Z39" s="803"/>
      <c r="AA39" s="803"/>
      <c r="AB39" s="803"/>
      <c r="AC39" s="803"/>
      <c r="AD39" s="803"/>
      <c r="AE39" s="803"/>
      <c r="AF39" s="803"/>
      <c r="AG39" s="803"/>
      <c r="AH39" s="803"/>
      <c r="AI39" s="803"/>
      <c r="AJ39" s="803"/>
      <c r="AK39" s="803"/>
      <c r="AL39" s="803"/>
      <c r="AM39" s="803"/>
      <c r="AN39" s="803"/>
      <c r="AO39" s="803"/>
      <c r="AP39" s="803"/>
      <c r="AQ39" s="803"/>
      <c r="AR39" s="878"/>
      <c r="AS39" s="878"/>
      <c r="AT39" s="878"/>
      <c r="AU39" s="878"/>
      <c r="AV39" s="803"/>
      <c r="AW39" s="803"/>
      <c r="AX39" s="805"/>
      <c r="AY39"/>
      <c r="AZ39"/>
    </row>
    <row r="40" spans="1:52" ht="12.95">
      <c r="A40" s="879" t="s">
        <v>358</v>
      </c>
      <c r="B40" s="789"/>
      <c r="C40" s="793"/>
      <c r="D40" s="793"/>
      <c r="E40" s="793"/>
      <c r="F40" s="793"/>
      <c r="G40" s="793"/>
      <c r="H40" s="793"/>
      <c r="I40" s="793"/>
      <c r="J40" s="793"/>
      <c r="K40" s="793"/>
      <c r="L40" s="793"/>
      <c r="M40" s="793"/>
      <c r="N40" s="793"/>
      <c r="O40" s="793"/>
      <c r="P40" s="793"/>
      <c r="Q40" s="793"/>
      <c r="R40" s="793"/>
      <c r="S40" s="793"/>
      <c r="T40" s="793"/>
      <c r="U40" s="793"/>
      <c r="V40" s="793"/>
      <c r="W40" s="793"/>
      <c r="X40" s="793"/>
      <c r="Y40" s="793"/>
      <c r="Z40" s="793"/>
      <c r="AA40" s="793"/>
      <c r="AB40" s="793"/>
      <c r="AC40" s="793"/>
      <c r="AD40" s="793"/>
      <c r="AE40" s="793"/>
      <c r="AF40" s="793"/>
      <c r="AG40" s="793"/>
      <c r="AH40" s="793"/>
      <c r="AI40" s="793"/>
      <c r="AJ40" s="793"/>
      <c r="AK40" s="793"/>
      <c r="AL40" s="793"/>
      <c r="AM40" s="793"/>
      <c r="AN40" s="793"/>
      <c r="AO40" s="793"/>
      <c r="AP40" s="793"/>
      <c r="AQ40" s="793"/>
      <c r="AR40" s="793"/>
      <c r="AS40" s="793"/>
      <c r="AT40" s="793"/>
      <c r="AU40" s="793"/>
      <c r="AV40" s="793"/>
      <c r="AW40" s="793"/>
      <c r="AX40" s="772"/>
    </row>
    <row r="41" spans="1:52">
      <c r="A41" s="781" t="s">
        <v>359</v>
      </c>
      <c r="B41" s="880">
        <f>'IJKL Financial'!B90-B28</f>
        <v>127431900</v>
      </c>
      <c r="C41" s="793"/>
      <c r="D41" s="793"/>
      <c r="E41" s="793"/>
      <c r="F41" s="793"/>
      <c r="G41" s="793"/>
      <c r="H41" s="793"/>
      <c r="I41" s="793"/>
      <c r="J41" s="793"/>
      <c r="K41" s="793"/>
      <c r="L41" s="793"/>
      <c r="M41" s="786"/>
      <c r="N41" s="793"/>
      <c r="O41" s="793"/>
      <c r="P41" s="793"/>
      <c r="Q41" s="793"/>
      <c r="R41" s="793"/>
      <c r="S41" s="786"/>
      <c r="T41" s="793"/>
      <c r="U41" s="793"/>
      <c r="V41" s="793"/>
      <c r="W41" s="793"/>
      <c r="X41" s="793"/>
      <c r="Y41" s="793"/>
      <c r="Z41" s="793"/>
      <c r="AA41" s="793"/>
      <c r="AB41" s="793"/>
      <c r="AC41" s="793"/>
      <c r="AD41" s="793"/>
      <c r="AE41" s="793"/>
      <c r="AF41" s="793"/>
      <c r="AG41" s="793"/>
      <c r="AH41" s="793"/>
      <c r="AI41" s="793"/>
      <c r="AJ41" s="793"/>
      <c r="AK41" s="793"/>
      <c r="AL41" s="793"/>
      <c r="AM41" s="793"/>
      <c r="AN41" s="793"/>
      <c r="AO41" s="793"/>
      <c r="AP41" s="793"/>
      <c r="AQ41" s="793"/>
      <c r="AR41" s="793"/>
      <c r="AS41" s="793"/>
      <c r="AT41" s="793"/>
      <c r="AU41" s="793"/>
      <c r="AV41" s="793"/>
      <c r="AW41" s="793"/>
      <c r="AX41" s="772"/>
    </row>
    <row r="42" spans="1:52" ht="12.95">
      <c r="A42" s="781" t="s">
        <v>360</v>
      </c>
      <c r="B42" s="796">
        <f>SUM(C42:AU42)</f>
        <v>25544183.556237519</v>
      </c>
      <c r="C42" s="764">
        <f>-C27</f>
        <v>0</v>
      </c>
      <c r="D42" s="764">
        <f t="shared" ref="D42:AI42" si="24">-D27</f>
        <v>0</v>
      </c>
      <c r="E42" s="764">
        <f t="shared" si="24"/>
        <v>0</v>
      </c>
      <c r="F42" s="764">
        <f t="shared" si="24"/>
        <v>0</v>
      </c>
      <c r="G42" s="764">
        <f t="shared" si="24"/>
        <v>0</v>
      </c>
      <c r="H42" s="764">
        <f t="shared" si="24"/>
        <v>0</v>
      </c>
      <c r="I42" s="764">
        <f t="shared" si="24"/>
        <v>0</v>
      </c>
      <c r="J42" s="764">
        <f t="shared" si="24"/>
        <v>0</v>
      </c>
      <c r="K42" s="764">
        <f t="shared" si="24"/>
        <v>0</v>
      </c>
      <c r="L42" s="764">
        <f t="shared" si="24"/>
        <v>0</v>
      </c>
      <c r="M42" s="764">
        <f t="shared" si="24"/>
        <v>0</v>
      </c>
      <c r="N42" s="764">
        <f t="shared" si="24"/>
        <v>0</v>
      </c>
      <c r="O42" s="764">
        <f t="shared" si="24"/>
        <v>0</v>
      </c>
      <c r="P42" s="764">
        <f t="shared" si="24"/>
        <v>0</v>
      </c>
      <c r="Q42" s="764">
        <f t="shared" si="24"/>
        <v>0</v>
      </c>
      <c r="R42" s="764">
        <f t="shared" si="24"/>
        <v>0</v>
      </c>
      <c r="S42" s="764">
        <f t="shared" si="24"/>
        <v>-5564104.7275206363</v>
      </c>
      <c r="T42" s="764">
        <f t="shared" si="24"/>
        <v>-4679344.7275206363</v>
      </c>
      <c r="U42" s="764">
        <f t="shared" si="24"/>
        <v>-4679344.7275206363</v>
      </c>
      <c r="V42" s="764">
        <f t="shared" si="24"/>
        <v>-4679344.7275206363</v>
      </c>
      <c r="W42" s="764">
        <f t="shared" si="24"/>
        <v>-5615213.6730247634</v>
      </c>
      <c r="X42" s="764">
        <f t="shared" si="24"/>
        <v>-5615213.6730247634</v>
      </c>
      <c r="Y42" s="764">
        <f t="shared" si="24"/>
        <v>-5615213.6730247634</v>
      </c>
      <c r="Z42" s="764">
        <f t="shared" si="24"/>
        <v>-5615213.6730247634</v>
      </c>
      <c r="AA42" s="764">
        <f t="shared" si="24"/>
        <v>-5615213.6730247634</v>
      </c>
      <c r="AB42" s="764">
        <f t="shared" si="24"/>
        <v>-5615213.6730247634</v>
      </c>
      <c r="AC42" s="764">
        <f t="shared" si="24"/>
        <v>-5615213.6730247634</v>
      </c>
      <c r="AD42" s="764">
        <f t="shared" si="24"/>
        <v>-5615213.6730247634</v>
      </c>
      <c r="AE42" s="764">
        <f t="shared" si="24"/>
        <v>-7486951.5640330184</v>
      </c>
      <c r="AF42" s="764">
        <f t="shared" si="24"/>
        <v>-7486951.5640330184</v>
      </c>
      <c r="AG42" s="764">
        <f t="shared" si="24"/>
        <v>-7486951.5640330184</v>
      </c>
      <c r="AH42" s="764">
        <f t="shared" si="24"/>
        <v>-7486951.5640330184</v>
      </c>
      <c r="AI42" s="764">
        <f t="shared" si="24"/>
        <v>-1800848.2203249999</v>
      </c>
      <c r="AJ42" s="801">
        <f>-X27+B41</f>
        <v>121816686.32697524</v>
      </c>
      <c r="AK42" s="764">
        <f t="shared" ref="AK42:AR42" si="25">IF(AK31&gt;=$B$31,-(AK27+AK37),AK37)</f>
        <v>0</v>
      </c>
      <c r="AL42" s="764">
        <f t="shared" si="25"/>
        <v>0</v>
      </c>
      <c r="AM42" s="764">
        <f t="shared" si="25"/>
        <v>0</v>
      </c>
      <c r="AN42" s="764">
        <f t="shared" si="25"/>
        <v>0</v>
      </c>
      <c r="AO42" s="764">
        <f t="shared" si="25"/>
        <v>0</v>
      </c>
      <c r="AP42" s="764">
        <f t="shared" si="25"/>
        <v>0</v>
      </c>
      <c r="AQ42" s="764">
        <f t="shared" si="25"/>
        <v>0</v>
      </c>
      <c r="AR42" s="764">
        <f t="shared" si="25"/>
        <v>0</v>
      </c>
      <c r="AS42" s="764"/>
      <c r="AT42" s="764"/>
      <c r="AU42" s="764"/>
      <c r="AV42" s="881"/>
      <c r="AW42" s="772"/>
      <c r="AX42" s="772"/>
    </row>
    <row r="43" spans="1:52">
      <c r="A43" s="781" t="s">
        <v>361</v>
      </c>
      <c r="B43" s="799">
        <f>IF(B42&lt;0,0,IRR(C42:AU42))</f>
        <v>2.6475461298188119E-2</v>
      </c>
      <c r="C43" s="793"/>
      <c r="D43" s="793"/>
      <c r="E43" s="793"/>
      <c r="F43" s="793"/>
      <c r="G43" s="793"/>
      <c r="H43" s="793"/>
      <c r="I43" s="793"/>
      <c r="J43" s="793"/>
      <c r="K43" s="793"/>
      <c r="L43" s="793"/>
      <c r="M43" s="793"/>
      <c r="N43" s="793"/>
      <c r="O43" s="793"/>
      <c r="P43" s="793"/>
      <c r="Q43" s="793"/>
      <c r="R43" s="793"/>
      <c r="S43" s="793"/>
      <c r="T43" s="793"/>
      <c r="U43" s="793"/>
      <c r="V43" s="793"/>
      <c r="W43" s="793"/>
      <c r="X43" s="793"/>
      <c r="Y43" s="793"/>
      <c r="Z43" s="793"/>
      <c r="AA43" s="793"/>
      <c r="AB43" s="793"/>
      <c r="AC43" s="793"/>
      <c r="AD43" s="793"/>
      <c r="AE43" s="793"/>
      <c r="AF43" s="793"/>
      <c r="AG43" s="793"/>
      <c r="AH43" s="793"/>
      <c r="AI43" s="793"/>
      <c r="AJ43" s="793"/>
      <c r="AK43" s="793"/>
      <c r="AL43" s="793"/>
      <c r="AM43" s="793"/>
      <c r="AN43" s="793"/>
      <c r="AO43" s="793"/>
      <c r="AP43" s="793"/>
      <c r="AQ43" s="793"/>
      <c r="AR43" s="793"/>
      <c r="AS43" s="793"/>
      <c r="AT43" s="793"/>
      <c r="AU43" s="793"/>
      <c r="AV43" s="793"/>
      <c r="AW43" s="793"/>
      <c r="AX43" s="772"/>
    </row>
    <row r="44" spans="1:52" ht="12.95">
      <c r="A44" s="772" t="s">
        <v>362</v>
      </c>
      <c r="B44" s="802">
        <f>POWER((1+B43),4)-1</f>
        <v>0.11018226873322123</v>
      </c>
      <c r="C44" s="793"/>
      <c r="D44" s="793"/>
      <c r="E44" s="793"/>
      <c r="F44" s="793"/>
      <c r="G44" s="793"/>
      <c r="H44" s="793"/>
      <c r="I44" s="793"/>
      <c r="J44" s="793"/>
      <c r="K44" s="793"/>
      <c r="L44" s="793"/>
      <c r="M44" s="793"/>
      <c r="N44" s="793"/>
      <c r="O44" s="793"/>
      <c r="P44" s="793"/>
      <c r="Q44" s="793"/>
      <c r="R44" s="793"/>
      <c r="S44" s="793"/>
      <c r="T44" s="793"/>
      <c r="U44" s="793"/>
      <c r="V44" s="793"/>
      <c r="W44" s="793"/>
      <c r="X44" s="793"/>
      <c r="Y44" s="793"/>
      <c r="Z44" s="793"/>
      <c r="AA44" s="793"/>
      <c r="AB44" s="793"/>
      <c r="AC44" s="793"/>
      <c r="AD44" s="793"/>
      <c r="AE44" s="793"/>
      <c r="AF44" s="793"/>
      <c r="AG44" s="793"/>
      <c r="AH44" s="793"/>
      <c r="AI44" s="793"/>
      <c r="AJ44" s="793"/>
      <c r="AK44" s="793"/>
      <c r="AL44" s="793"/>
      <c r="AM44" s="793"/>
      <c r="AN44" s="793"/>
      <c r="AO44" s="793"/>
      <c r="AP44" s="793"/>
      <c r="AQ44" s="793"/>
      <c r="AR44" s="793"/>
      <c r="AS44" s="793"/>
      <c r="AT44" s="793"/>
      <c r="AU44" s="793"/>
      <c r="AV44" s="793"/>
      <c r="AW44" s="793"/>
      <c r="AX44" s="772"/>
    </row>
    <row r="45" spans="1:52">
      <c r="G45" s="6"/>
      <c r="AB45" s="6"/>
      <c r="AE45" s="6"/>
      <c r="AI45" s="6"/>
    </row>
    <row r="46" spans="1:52">
      <c r="G46" s="6"/>
      <c r="AB46" s="6"/>
      <c r="AE46" s="6"/>
      <c r="AI46" s="6"/>
    </row>
    <row r="47" spans="1:52">
      <c r="G47" s="6"/>
      <c r="AB47" s="6"/>
      <c r="AE47" s="6"/>
      <c r="AI47" s="6"/>
    </row>
    <row r="48" spans="1:52">
      <c r="G48" s="6"/>
      <c r="AB48" s="6"/>
      <c r="AE48" s="6"/>
      <c r="AI48" s="6"/>
    </row>
    <row r="49" spans="7:35">
      <c r="G49" s="6"/>
      <c r="AB49" s="6"/>
      <c r="AE49" s="6"/>
      <c r="AI49" s="6"/>
    </row>
    <row r="50" spans="7:35">
      <c r="G50" s="6"/>
      <c r="AB50" s="6"/>
      <c r="AE50" s="6"/>
      <c r="AI50" s="6"/>
    </row>
    <row r="51" spans="7:35">
      <c r="G51" s="6"/>
      <c r="AB51" s="6"/>
      <c r="AE51" s="6"/>
      <c r="AI51" s="6"/>
    </row>
    <row r="52" spans="7:35">
      <c r="G52" s="6"/>
    </row>
    <row r="53" spans="7:35">
      <c r="G53" s="6"/>
    </row>
    <row r="54" spans="7:35">
      <c r="G54" s="6"/>
    </row>
    <row r="55" spans="7:35">
      <c r="G55" s="6"/>
    </row>
    <row r="56" spans="7:35">
      <c r="G56" s="6"/>
    </row>
    <row r="57" spans="7:35">
      <c r="G57" s="6"/>
    </row>
    <row r="58" spans="7:35">
      <c r="G58" s="6"/>
    </row>
    <row r="59" spans="7:35">
      <c r="G59" s="6"/>
    </row>
    <row r="60" spans="7:35">
      <c r="G60" s="6"/>
    </row>
    <row r="61" spans="7:35">
      <c r="G61" s="6"/>
    </row>
    <row r="62" spans="7:35">
      <c r="G62" s="6"/>
    </row>
    <row r="63" spans="7:35">
      <c r="G63" s="6"/>
    </row>
    <row r="64" spans="7:35">
      <c r="G64" s="6"/>
    </row>
    <row r="65" spans="7:7">
      <c r="G65" s="6"/>
    </row>
    <row r="66" spans="7:7">
      <c r="G66" s="6"/>
    </row>
    <row r="67" spans="7:7">
      <c r="G67" s="6"/>
    </row>
    <row r="68" spans="7:7">
      <c r="G68" s="6"/>
    </row>
    <row r="69" spans="7:7">
      <c r="G69" s="6"/>
    </row>
    <row r="70" spans="7:7">
      <c r="G70" s="6"/>
    </row>
    <row r="71" spans="7:7">
      <c r="G71" s="6"/>
    </row>
    <row r="72" spans="7:7">
      <c r="G72" s="6"/>
    </row>
    <row r="73" spans="7:7">
      <c r="G73" s="6"/>
    </row>
    <row r="74" spans="7:7">
      <c r="G74" s="6"/>
    </row>
    <row r="75" spans="7:7">
      <c r="G75" s="6"/>
    </row>
    <row r="76" spans="7:7">
      <c r="G76" s="6"/>
    </row>
    <row r="77" spans="7:7">
      <c r="G77" s="6"/>
    </row>
    <row r="78" spans="7:7">
      <c r="G78" s="6"/>
    </row>
    <row r="79" spans="7:7">
      <c r="G79" s="6"/>
    </row>
    <row r="80" spans="7:7">
      <c r="G80" s="6"/>
    </row>
    <row r="81" spans="7:7">
      <c r="G81" s="6"/>
    </row>
    <row r="82" spans="7:7">
      <c r="G82" s="6"/>
    </row>
    <row r="83" spans="7:7">
      <c r="G83" s="6"/>
    </row>
    <row r="84" spans="7:7">
      <c r="G84" s="6"/>
    </row>
    <row r="85" spans="7:7">
      <c r="G85" s="6"/>
    </row>
    <row r="86" spans="7:7">
      <c r="G86" s="6"/>
    </row>
    <row r="87" spans="7:7">
      <c r="G87" s="6"/>
    </row>
    <row r="88" spans="7:7">
      <c r="G88" s="6"/>
    </row>
    <row r="89" spans="7:7">
      <c r="G89" s="6"/>
    </row>
    <row r="90" spans="7:7">
      <c r="G90" s="6"/>
    </row>
    <row r="91" spans="7:7">
      <c r="G91" s="6"/>
    </row>
    <row r="92" spans="7:7">
      <c r="G92" s="6"/>
    </row>
    <row r="93" spans="7:7">
      <c r="G93" s="6"/>
    </row>
    <row r="94" spans="7:7">
      <c r="G94" s="6"/>
    </row>
    <row r="95" spans="7:7">
      <c r="G95" s="6"/>
    </row>
    <row r="96" spans="7:7">
      <c r="G96" s="6"/>
    </row>
    <row r="97" spans="7:7">
      <c r="G97" s="6"/>
    </row>
    <row r="98" spans="7:7">
      <c r="G98" s="6"/>
    </row>
    <row r="99" spans="7:7">
      <c r="G99" s="6"/>
    </row>
    <row r="100" spans="7:7">
      <c r="G100" s="6"/>
    </row>
    <row r="101" spans="7:7">
      <c r="G101" s="6"/>
    </row>
    <row r="102" spans="7:7">
      <c r="G102" s="6"/>
    </row>
    <row r="103" spans="7:7">
      <c r="G103" s="6"/>
    </row>
    <row r="104" spans="7:7">
      <c r="G104" s="6"/>
    </row>
    <row r="105" spans="7:7">
      <c r="G105" s="6"/>
    </row>
    <row r="106" spans="7:7">
      <c r="G106" s="6"/>
    </row>
    <row r="107" spans="7:7">
      <c r="G107" s="6"/>
    </row>
    <row r="108" spans="7:7">
      <c r="G108" s="6"/>
    </row>
    <row r="109" spans="7:7">
      <c r="G109" s="6"/>
    </row>
    <row r="110" spans="7:7">
      <c r="G110" s="6"/>
    </row>
    <row r="111" spans="7:7">
      <c r="G111" s="6"/>
    </row>
    <row r="112" spans="7:7">
      <c r="G112" s="6"/>
    </row>
    <row r="113" spans="7:7">
      <c r="G113" s="6"/>
    </row>
    <row r="114" spans="7:7">
      <c r="G114" s="6"/>
    </row>
    <row r="115" spans="7:7">
      <c r="G115" s="6"/>
    </row>
    <row r="116" spans="7:7">
      <c r="G116" s="6"/>
    </row>
    <row r="117" spans="7:7">
      <c r="G117" s="6"/>
    </row>
    <row r="118" spans="7:7">
      <c r="G118" s="6"/>
    </row>
    <row r="119" spans="7:7">
      <c r="G119" s="6"/>
    </row>
    <row r="120" spans="7:7">
      <c r="G120" s="6"/>
    </row>
    <row r="121" spans="7:7">
      <c r="G121" s="6"/>
    </row>
    <row r="122" spans="7:7">
      <c r="G122" s="6"/>
    </row>
    <row r="123" spans="7:7">
      <c r="G123" s="6"/>
    </row>
    <row r="124" spans="7:7">
      <c r="G124" s="6"/>
    </row>
    <row r="125" spans="7:7">
      <c r="G125" s="6"/>
    </row>
    <row r="126" spans="7:7">
      <c r="G126" s="6"/>
    </row>
    <row r="127" spans="7:7">
      <c r="G127" s="6"/>
    </row>
    <row r="128" spans="7:7">
      <c r="G128" s="6"/>
    </row>
    <row r="129" spans="7:7">
      <c r="G129" s="6"/>
    </row>
    <row r="130" spans="7:7">
      <c r="G130" s="6"/>
    </row>
    <row r="131" spans="7:7">
      <c r="G131" s="6"/>
    </row>
    <row r="132" spans="7:7">
      <c r="G132" s="6"/>
    </row>
    <row r="133" spans="7:7">
      <c r="G133" s="6"/>
    </row>
    <row r="134" spans="7:7">
      <c r="G134" s="6"/>
    </row>
    <row r="135" spans="7:7">
      <c r="G135" s="6"/>
    </row>
    <row r="136" spans="7:7">
      <c r="G136" s="6"/>
    </row>
    <row r="137" spans="7:7">
      <c r="G137" s="6"/>
    </row>
    <row r="138" spans="7:7">
      <c r="G138" s="6"/>
    </row>
    <row r="139" spans="7:7">
      <c r="G139" s="6"/>
    </row>
    <row r="140" spans="7:7">
      <c r="G140" s="6"/>
    </row>
    <row r="141" spans="7:7">
      <c r="G141" s="6"/>
    </row>
    <row r="142" spans="7:7">
      <c r="G142" s="6"/>
    </row>
    <row r="143" spans="7:7">
      <c r="G143" s="6"/>
    </row>
    <row r="144" spans="7:7">
      <c r="G144" s="6"/>
    </row>
    <row r="145" spans="7:7">
      <c r="G145" s="6"/>
    </row>
    <row r="146" spans="7:7">
      <c r="G146" s="6"/>
    </row>
    <row r="147" spans="7:7">
      <c r="G147" s="6"/>
    </row>
    <row r="148" spans="7:7">
      <c r="G148" s="6"/>
    </row>
    <row r="149" spans="7:7">
      <c r="G149" s="6"/>
    </row>
    <row r="150" spans="7:7">
      <c r="G150" s="6"/>
    </row>
    <row r="151" spans="7:7">
      <c r="G151" s="6"/>
    </row>
    <row r="152" spans="7:7">
      <c r="G152" s="6"/>
    </row>
    <row r="153" spans="7:7">
      <c r="G153" s="6"/>
    </row>
    <row r="154" spans="7:7">
      <c r="G154" s="6"/>
    </row>
    <row r="155" spans="7:7">
      <c r="G155" s="6"/>
    </row>
    <row r="156" spans="7:7">
      <c r="G156" s="6"/>
    </row>
    <row r="157" spans="7:7">
      <c r="G157" s="6"/>
    </row>
    <row r="158" spans="7:7">
      <c r="G158" s="6"/>
    </row>
    <row r="159" spans="7:7">
      <c r="G159" s="6"/>
    </row>
    <row r="160" spans="7:7">
      <c r="G160" s="6"/>
    </row>
    <row r="161" spans="7:7">
      <c r="G161" s="6"/>
    </row>
    <row r="162" spans="7:7">
      <c r="G162" s="6"/>
    </row>
    <row r="163" spans="7:7">
      <c r="G163" s="6"/>
    </row>
    <row r="164" spans="7:7">
      <c r="G164" s="6"/>
    </row>
    <row r="165" spans="7:7">
      <c r="G165" s="6"/>
    </row>
    <row r="166" spans="7:7">
      <c r="G166" s="6"/>
    </row>
    <row r="167" spans="7:7">
      <c r="G167" s="6"/>
    </row>
    <row r="168" spans="7:7">
      <c r="G168" s="6"/>
    </row>
    <row r="169" spans="7:7">
      <c r="G169" s="6"/>
    </row>
    <row r="170" spans="7:7">
      <c r="G170" s="6"/>
    </row>
    <row r="171" spans="7:7">
      <c r="G171" s="6"/>
    </row>
    <row r="172" spans="7:7">
      <c r="G172" s="6"/>
    </row>
    <row r="173" spans="7:7">
      <c r="G173" s="6"/>
    </row>
    <row r="174" spans="7:7">
      <c r="G174" s="6"/>
    </row>
    <row r="175" spans="7:7">
      <c r="G175" s="6"/>
    </row>
    <row r="176" spans="7:7">
      <c r="G176" s="6"/>
    </row>
    <row r="177" spans="7:7">
      <c r="G177" s="6"/>
    </row>
    <row r="178" spans="7:7">
      <c r="G178" s="6"/>
    </row>
    <row r="179" spans="7:7">
      <c r="G179" s="6"/>
    </row>
    <row r="180" spans="7:7">
      <c r="G180" s="6"/>
    </row>
    <row r="181" spans="7:7">
      <c r="G181" s="6"/>
    </row>
    <row r="182" spans="7:7">
      <c r="G182" s="6"/>
    </row>
    <row r="183" spans="7:7">
      <c r="G183" s="6"/>
    </row>
    <row r="184" spans="7:7">
      <c r="G184" s="6"/>
    </row>
    <row r="185" spans="7:7">
      <c r="G185" s="6"/>
    </row>
    <row r="186" spans="7:7">
      <c r="G186" s="6"/>
    </row>
    <row r="187" spans="7:7">
      <c r="G187" s="6"/>
    </row>
    <row r="188" spans="7:7">
      <c r="G188" s="6"/>
    </row>
    <row r="189" spans="7:7">
      <c r="G189" s="6"/>
    </row>
    <row r="190" spans="7:7">
      <c r="G190" s="6"/>
    </row>
    <row r="191" spans="7:7">
      <c r="G191" s="6"/>
    </row>
    <row r="192" spans="7:7">
      <c r="G192" s="6"/>
    </row>
    <row r="193" spans="7:7">
      <c r="G193" s="6"/>
    </row>
    <row r="194" spans="7:7">
      <c r="G194" s="6"/>
    </row>
    <row r="195" spans="7:7">
      <c r="G195" s="6"/>
    </row>
    <row r="196" spans="7:7">
      <c r="G196" s="6"/>
    </row>
    <row r="197" spans="7:7">
      <c r="G197" s="6"/>
    </row>
    <row r="198" spans="7:7">
      <c r="G198" s="6"/>
    </row>
    <row r="199" spans="7:7">
      <c r="G199" s="6"/>
    </row>
    <row r="200" spans="7:7">
      <c r="G200" s="6"/>
    </row>
    <row r="201" spans="7:7">
      <c r="G201" s="6"/>
    </row>
    <row r="202" spans="7:7">
      <c r="G202" s="6"/>
    </row>
    <row r="203" spans="7:7">
      <c r="G203" s="6"/>
    </row>
    <row r="204" spans="7:7">
      <c r="G204" s="6"/>
    </row>
    <row r="205" spans="7:7">
      <c r="G205" s="6"/>
    </row>
    <row r="206" spans="7:7">
      <c r="G206" s="6"/>
    </row>
    <row r="207" spans="7:7">
      <c r="G207" s="6"/>
    </row>
    <row r="208" spans="7:7">
      <c r="G208" s="6"/>
    </row>
    <row r="209" spans="7:7">
      <c r="G209" s="6"/>
    </row>
    <row r="210" spans="7:7">
      <c r="G210" s="6"/>
    </row>
    <row r="211" spans="7:7">
      <c r="G211" s="6"/>
    </row>
    <row r="212" spans="7:7">
      <c r="G212" s="6"/>
    </row>
    <row r="213" spans="7:7">
      <c r="G213" s="6"/>
    </row>
    <row r="214" spans="7:7">
      <c r="G214" s="6"/>
    </row>
    <row r="215" spans="7:7">
      <c r="G215" s="6"/>
    </row>
    <row r="216" spans="7:7">
      <c r="G216" s="6"/>
    </row>
    <row r="217" spans="7:7">
      <c r="G217" s="6"/>
    </row>
    <row r="218" spans="7:7">
      <c r="G218" s="6"/>
    </row>
    <row r="219" spans="7:7">
      <c r="G219" s="6"/>
    </row>
    <row r="220" spans="7:7">
      <c r="G220" s="6"/>
    </row>
    <row r="221" spans="7:7">
      <c r="G221" s="6"/>
    </row>
    <row r="222" spans="7:7">
      <c r="G222" s="6"/>
    </row>
    <row r="223" spans="7:7">
      <c r="G223" s="6"/>
    </row>
    <row r="224" spans="7:7">
      <c r="G224" s="6"/>
    </row>
    <row r="225" spans="7:7">
      <c r="G225" s="6"/>
    </row>
    <row r="226" spans="7:7">
      <c r="G226" s="6"/>
    </row>
    <row r="227" spans="7:7">
      <c r="G227" s="6"/>
    </row>
    <row r="228" spans="7:7">
      <c r="G228" s="6"/>
    </row>
    <row r="229" spans="7:7">
      <c r="G229" s="6"/>
    </row>
    <row r="230" spans="7:7">
      <c r="G230" s="6"/>
    </row>
    <row r="231" spans="7:7">
      <c r="G231" s="6"/>
    </row>
    <row r="232" spans="7:7">
      <c r="G232" s="6"/>
    </row>
    <row r="233" spans="7:7">
      <c r="G233" s="6"/>
    </row>
    <row r="234" spans="7:7">
      <c r="G234" s="6"/>
    </row>
    <row r="235" spans="7:7">
      <c r="G235" s="6"/>
    </row>
    <row r="236" spans="7:7">
      <c r="G236" s="6"/>
    </row>
    <row r="237" spans="7:7">
      <c r="G237" s="6"/>
    </row>
    <row r="238" spans="7:7">
      <c r="G238" s="6"/>
    </row>
    <row r="239" spans="7:7">
      <c r="G239" s="6"/>
    </row>
    <row r="240" spans="7:7">
      <c r="G240" s="6"/>
    </row>
    <row r="241" spans="7:7">
      <c r="G241" s="6"/>
    </row>
    <row r="242" spans="7:7">
      <c r="G242" s="6"/>
    </row>
    <row r="243" spans="7:7">
      <c r="G243" s="6"/>
    </row>
    <row r="244" spans="7:7">
      <c r="G244" s="6"/>
    </row>
    <row r="245" spans="7:7">
      <c r="G245" s="6"/>
    </row>
    <row r="246" spans="7:7">
      <c r="G246" s="6"/>
    </row>
    <row r="247" spans="7:7">
      <c r="G247" s="6"/>
    </row>
    <row r="248" spans="7:7">
      <c r="G248" s="6"/>
    </row>
    <row r="249" spans="7:7">
      <c r="G249" s="6"/>
    </row>
    <row r="250" spans="7:7">
      <c r="G250" s="6"/>
    </row>
    <row r="251" spans="7:7">
      <c r="G251" s="6"/>
    </row>
    <row r="252" spans="7:7">
      <c r="G252" s="6"/>
    </row>
    <row r="253" spans="7:7">
      <c r="G253" s="6"/>
    </row>
    <row r="254" spans="7:7">
      <c r="G254" s="6"/>
    </row>
    <row r="255" spans="7:7">
      <c r="G255" s="6"/>
    </row>
    <row r="256" spans="7:7">
      <c r="G256" s="6"/>
    </row>
    <row r="257" spans="7:7">
      <c r="G257" s="6"/>
    </row>
    <row r="258" spans="7:7">
      <c r="G258" s="6"/>
    </row>
    <row r="259" spans="7:7">
      <c r="G259" s="6"/>
    </row>
    <row r="260" spans="7:7">
      <c r="G260" s="6"/>
    </row>
    <row r="261" spans="7:7">
      <c r="G261" s="6"/>
    </row>
    <row r="262" spans="7:7">
      <c r="G262" s="6"/>
    </row>
    <row r="263" spans="7:7">
      <c r="G263" s="6"/>
    </row>
    <row r="264" spans="7:7">
      <c r="G264" s="6"/>
    </row>
    <row r="265" spans="7:7">
      <c r="G265" s="6"/>
    </row>
    <row r="266" spans="7:7">
      <c r="G266" s="6"/>
    </row>
    <row r="267" spans="7:7">
      <c r="G267" s="6"/>
    </row>
    <row r="268" spans="7:7">
      <c r="G268" s="6"/>
    </row>
    <row r="269" spans="7:7">
      <c r="G269" s="6"/>
    </row>
    <row r="270" spans="7:7">
      <c r="G270" s="6"/>
    </row>
    <row r="271" spans="7:7">
      <c r="G271" s="6"/>
    </row>
    <row r="272" spans="7:7">
      <c r="G272" s="6"/>
    </row>
    <row r="273" spans="7:7">
      <c r="G273" s="6"/>
    </row>
    <row r="274" spans="7:7">
      <c r="G274" s="6"/>
    </row>
    <row r="275" spans="7:7">
      <c r="G275" s="6"/>
    </row>
    <row r="276" spans="7:7">
      <c r="G276" s="6"/>
    </row>
    <row r="277" spans="7:7">
      <c r="G277" s="6"/>
    </row>
    <row r="278" spans="7:7">
      <c r="G278" s="6"/>
    </row>
    <row r="279" spans="7:7">
      <c r="G279" s="6"/>
    </row>
    <row r="280" spans="7:7">
      <c r="G280" s="6"/>
    </row>
    <row r="281" spans="7:7">
      <c r="G281" s="6"/>
    </row>
    <row r="282" spans="7:7">
      <c r="G282" s="6"/>
    </row>
    <row r="283" spans="7:7">
      <c r="G283" s="6"/>
    </row>
    <row r="284" spans="7:7">
      <c r="G284" s="6"/>
    </row>
    <row r="285" spans="7:7">
      <c r="G285" s="6"/>
    </row>
    <row r="286" spans="7:7">
      <c r="G286" s="6"/>
    </row>
    <row r="287" spans="7:7">
      <c r="G287" s="6"/>
    </row>
    <row r="288" spans="7:7">
      <c r="G288" s="6"/>
    </row>
    <row r="289" spans="7:7">
      <c r="G289" s="6"/>
    </row>
    <row r="290" spans="7:7">
      <c r="G290" s="6"/>
    </row>
    <row r="291" spans="7:7">
      <c r="G291" s="6"/>
    </row>
    <row r="292" spans="7:7">
      <c r="G292" s="6"/>
    </row>
    <row r="293" spans="7:7">
      <c r="G293" s="6"/>
    </row>
    <row r="294" spans="7:7">
      <c r="G294" s="6"/>
    </row>
    <row r="295" spans="7:7">
      <c r="G295" s="6"/>
    </row>
    <row r="296" spans="7:7">
      <c r="G296" s="6"/>
    </row>
    <row r="297" spans="7:7">
      <c r="G297" s="6"/>
    </row>
    <row r="298" spans="7:7">
      <c r="G298" s="6"/>
    </row>
    <row r="299" spans="7:7">
      <c r="G299" s="6"/>
    </row>
    <row r="300" spans="7:7">
      <c r="G300" s="6"/>
    </row>
    <row r="301" spans="7:7">
      <c r="G301" s="6"/>
    </row>
    <row r="302" spans="7:7">
      <c r="G302" s="6"/>
    </row>
    <row r="303" spans="7:7">
      <c r="G303" s="6"/>
    </row>
    <row r="304" spans="7:7">
      <c r="G304" s="6"/>
    </row>
    <row r="305" spans="7:7">
      <c r="G305" s="6"/>
    </row>
    <row r="306" spans="7:7">
      <c r="G306" s="6"/>
    </row>
    <row r="307" spans="7:7">
      <c r="G307" s="6"/>
    </row>
    <row r="308" spans="7:7">
      <c r="G308" s="6"/>
    </row>
    <row r="309" spans="7:7">
      <c r="G309" s="6"/>
    </row>
    <row r="310" spans="7:7">
      <c r="G310" s="6"/>
    </row>
    <row r="311" spans="7:7">
      <c r="G311" s="6"/>
    </row>
    <row r="312" spans="7:7">
      <c r="G312" s="6"/>
    </row>
    <row r="313" spans="7:7">
      <c r="G313" s="6"/>
    </row>
    <row r="314" spans="7:7">
      <c r="G314" s="6"/>
    </row>
    <row r="315" spans="7:7">
      <c r="G315" s="6"/>
    </row>
    <row r="316" spans="7:7">
      <c r="G316" s="6"/>
    </row>
    <row r="317" spans="7:7">
      <c r="G317" s="6"/>
    </row>
    <row r="318" spans="7:7">
      <c r="G318" s="6"/>
    </row>
    <row r="319" spans="7:7">
      <c r="G319" s="6"/>
    </row>
    <row r="320" spans="7:7">
      <c r="G320" s="6"/>
    </row>
    <row r="321" spans="7:7">
      <c r="G321" s="6"/>
    </row>
    <row r="322" spans="7:7">
      <c r="G322" s="6"/>
    </row>
    <row r="323" spans="7:7">
      <c r="G323" s="6"/>
    </row>
    <row r="324" spans="7:7">
      <c r="G324" s="6"/>
    </row>
    <row r="325" spans="7:7">
      <c r="G325" s="6"/>
    </row>
    <row r="326" spans="7:7">
      <c r="G326" s="6"/>
    </row>
    <row r="327" spans="7:7">
      <c r="G327" s="6"/>
    </row>
    <row r="328" spans="7:7">
      <c r="G328" s="6"/>
    </row>
    <row r="329" spans="7:7">
      <c r="G329" s="6"/>
    </row>
    <row r="330" spans="7:7">
      <c r="G330" s="6"/>
    </row>
    <row r="331" spans="7:7">
      <c r="G331" s="6"/>
    </row>
    <row r="332" spans="7:7">
      <c r="G332" s="6"/>
    </row>
    <row r="333" spans="7:7">
      <c r="G333" s="6"/>
    </row>
    <row r="334" spans="7:7">
      <c r="G334" s="6"/>
    </row>
    <row r="335" spans="7:7">
      <c r="G335" s="6"/>
    </row>
    <row r="336" spans="7:7">
      <c r="G336" s="6"/>
    </row>
    <row r="337" spans="7:7">
      <c r="G337" s="6"/>
    </row>
    <row r="338" spans="7:7">
      <c r="G338" s="6"/>
    </row>
    <row r="339" spans="7:7">
      <c r="G339" s="6"/>
    </row>
    <row r="340" spans="7:7">
      <c r="G340" s="6"/>
    </row>
    <row r="341" spans="7:7">
      <c r="G341" s="6"/>
    </row>
    <row r="342" spans="7:7">
      <c r="G342" s="6"/>
    </row>
    <row r="343" spans="7:7">
      <c r="G343" s="6"/>
    </row>
    <row r="344" spans="7:7">
      <c r="G344" s="6"/>
    </row>
    <row r="345" spans="7:7">
      <c r="G345" s="6"/>
    </row>
    <row r="346" spans="7:7">
      <c r="G346" s="6"/>
    </row>
    <row r="347" spans="7:7">
      <c r="G347" s="6"/>
    </row>
    <row r="348" spans="7:7">
      <c r="G348" s="6"/>
    </row>
    <row r="349" spans="7:7">
      <c r="G349" s="6"/>
    </row>
    <row r="350" spans="7:7">
      <c r="G350" s="6"/>
    </row>
    <row r="351" spans="7:7">
      <c r="G351" s="6"/>
    </row>
    <row r="352" spans="7:7">
      <c r="G352" s="6"/>
    </row>
    <row r="353" spans="7:7">
      <c r="G353" s="6"/>
    </row>
    <row r="354" spans="7:7">
      <c r="G354" s="6"/>
    </row>
    <row r="355" spans="7:7">
      <c r="G355" s="6"/>
    </row>
    <row r="356" spans="7:7">
      <c r="G356" s="6"/>
    </row>
    <row r="357" spans="7:7">
      <c r="G357" s="6"/>
    </row>
    <row r="358" spans="7:7">
      <c r="G358" s="6"/>
    </row>
    <row r="359" spans="7:7">
      <c r="G359" s="6"/>
    </row>
    <row r="360" spans="7:7">
      <c r="G360" s="6"/>
    </row>
    <row r="361" spans="7:7">
      <c r="G361" s="6"/>
    </row>
    <row r="362" spans="7:7">
      <c r="G362" s="6"/>
    </row>
    <row r="363" spans="7:7">
      <c r="G363" s="6"/>
    </row>
    <row r="364" spans="7:7">
      <c r="G364" s="6"/>
    </row>
    <row r="365" spans="7:7">
      <c r="G365" s="6"/>
    </row>
    <row r="366" spans="7:7">
      <c r="G366" s="6"/>
    </row>
    <row r="367" spans="7:7">
      <c r="G367" s="6"/>
    </row>
    <row r="368" spans="7:7">
      <c r="G368" s="6"/>
    </row>
    <row r="369" spans="7:7">
      <c r="G369" s="6"/>
    </row>
    <row r="370" spans="7:7">
      <c r="G370" s="6"/>
    </row>
    <row r="371" spans="7:7">
      <c r="G371" s="6"/>
    </row>
    <row r="372" spans="7:7">
      <c r="G372" s="6"/>
    </row>
    <row r="373" spans="7:7">
      <c r="G373" s="6"/>
    </row>
    <row r="374" spans="7:7">
      <c r="G374" s="6"/>
    </row>
    <row r="375" spans="7:7">
      <c r="G375" s="6"/>
    </row>
    <row r="376" spans="7:7">
      <c r="G376" s="6"/>
    </row>
    <row r="377" spans="7:7">
      <c r="G377" s="6"/>
    </row>
    <row r="378" spans="7:7">
      <c r="G378" s="6"/>
    </row>
    <row r="379" spans="7:7">
      <c r="G379" s="6"/>
    </row>
    <row r="380" spans="7:7">
      <c r="G380" s="6"/>
    </row>
    <row r="381" spans="7:7">
      <c r="G381" s="6"/>
    </row>
    <row r="382" spans="7:7">
      <c r="G382" s="6"/>
    </row>
    <row r="383" spans="7:7">
      <c r="G383" s="6"/>
    </row>
    <row r="384" spans="7:7">
      <c r="G384" s="6"/>
    </row>
    <row r="385" spans="7:7">
      <c r="G385" s="6"/>
    </row>
    <row r="386" spans="7:7">
      <c r="G386" s="6"/>
    </row>
    <row r="387" spans="7:7">
      <c r="G387" s="6"/>
    </row>
    <row r="388" spans="7:7">
      <c r="G388" s="6"/>
    </row>
    <row r="389" spans="7:7">
      <c r="G389" s="6"/>
    </row>
    <row r="390" spans="7:7">
      <c r="G390" s="6"/>
    </row>
    <row r="391" spans="7:7">
      <c r="G391" s="6"/>
    </row>
    <row r="392" spans="7:7">
      <c r="G392" s="6"/>
    </row>
    <row r="393" spans="7:7">
      <c r="G393" s="6"/>
    </row>
    <row r="394" spans="7:7">
      <c r="G394" s="6"/>
    </row>
    <row r="395" spans="7:7">
      <c r="G395" s="6"/>
    </row>
    <row r="396" spans="7:7">
      <c r="G396" s="6"/>
    </row>
    <row r="397" spans="7:7">
      <c r="G397" s="6"/>
    </row>
    <row r="398" spans="7:7">
      <c r="G398" s="6"/>
    </row>
    <row r="399" spans="7:7">
      <c r="G399" s="6"/>
    </row>
    <row r="400" spans="7:7">
      <c r="G400" s="6"/>
    </row>
    <row r="401" spans="7:7">
      <c r="G401" s="6"/>
    </row>
    <row r="402" spans="7:7">
      <c r="G402" s="6"/>
    </row>
    <row r="403" spans="7:7">
      <c r="G403" s="6"/>
    </row>
    <row r="404" spans="7:7">
      <c r="G404" s="6"/>
    </row>
    <row r="405" spans="7:7">
      <c r="G405" s="6"/>
    </row>
    <row r="406" spans="7:7">
      <c r="G406" s="6"/>
    </row>
    <row r="407" spans="7:7">
      <c r="G407" s="6"/>
    </row>
    <row r="408" spans="7:7">
      <c r="G408" s="6"/>
    </row>
    <row r="409" spans="7:7">
      <c r="G409" s="6"/>
    </row>
    <row r="410" spans="7:7">
      <c r="G410" s="6"/>
    </row>
    <row r="411" spans="7:7">
      <c r="G411" s="6"/>
    </row>
    <row r="412" spans="7:7">
      <c r="G412" s="6"/>
    </row>
    <row r="413" spans="7:7">
      <c r="G413" s="6"/>
    </row>
    <row r="414" spans="7:7">
      <c r="G414" s="6"/>
    </row>
    <row r="415" spans="7:7">
      <c r="G415" s="6"/>
    </row>
    <row r="416" spans="7:7">
      <c r="G416" s="6"/>
    </row>
    <row r="417" spans="7:7">
      <c r="G417" s="6"/>
    </row>
    <row r="418" spans="7:7">
      <c r="G418" s="6"/>
    </row>
    <row r="419" spans="7:7">
      <c r="G419" s="6"/>
    </row>
    <row r="420" spans="7:7">
      <c r="G420" s="6"/>
    </row>
    <row r="421" spans="7:7">
      <c r="G421" s="6"/>
    </row>
    <row r="422" spans="7:7">
      <c r="G422" s="6"/>
    </row>
    <row r="423" spans="7:7">
      <c r="G423" s="6"/>
    </row>
    <row r="424" spans="7:7">
      <c r="G424" s="6"/>
    </row>
    <row r="425" spans="7:7">
      <c r="G425" s="6"/>
    </row>
    <row r="426" spans="7:7">
      <c r="G426" s="6"/>
    </row>
    <row r="427" spans="7:7">
      <c r="G427" s="6"/>
    </row>
    <row r="428" spans="7:7">
      <c r="G428" s="6"/>
    </row>
    <row r="429" spans="7:7">
      <c r="G429" s="6"/>
    </row>
    <row r="430" spans="7:7">
      <c r="G430" s="6"/>
    </row>
    <row r="431" spans="7:7">
      <c r="G431" s="6"/>
    </row>
    <row r="432" spans="7:7">
      <c r="G432" s="6"/>
    </row>
    <row r="433" spans="7:7">
      <c r="G433" s="6"/>
    </row>
    <row r="434" spans="7:7">
      <c r="G434" s="6"/>
    </row>
    <row r="435" spans="7:7">
      <c r="G435" s="6"/>
    </row>
    <row r="436" spans="7:7">
      <c r="G436" s="6"/>
    </row>
    <row r="437" spans="7:7">
      <c r="G437" s="6"/>
    </row>
    <row r="438" spans="7:7">
      <c r="G438" s="6"/>
    </row>
    <row r="439" spans="7:7">
      <c r="G439" s="6"/>
    </row>
    <row r="440" spans="7:7">
      <c r="G440" s="6"/>
    </row>
    <row r="441" spans="7:7">
      <c r="G441" s="6"/>
    </row>
    <row r="442" spans="7:7">
      <c r="G442" s="6"/>
    </row>
    <row r="443" spans="7:7">
      <c r="G443" s="6"/>
    </row>
    <row r="444" spans="7:7">
      <c r="G444" s="6"/>
    </row>
    <row r="445" spans="7:7">
      <c r="G445" s="6"/>
    </row>
    <row r="446" spans="7:7">
      <c r="G446" s="6"/>
    </row>
    <row r="447" spans="7:7">
      <c r="G447" s="6"/>
    </row>
    <row r="448" spans="7:7">
      <c r="G448" s="6"/>
    </row>
    <row r="449" spans="7:7">
      <c r="G449" s="6"/>
    </row>
    <row r="450" spans="7:7">
      <c r="G450" s="6"/>
    </row>
    <row r="451" spans="7:7">
      <c r="G451" s="6"/>
    </row>
    <row r="452" spans="7:7">
      <c r="G452" s="6"/>
    </row>
    <row r="453" spans="7:7">
      <c r="G453" s="6"/>
    </row>
    <row r="454" spans="7:7">
      <c r="G454" s="6"/>
    </row>
    <row r="455" spans="7:7">
      <c r="G455" s="6"/>
    </row>
    <row r="456" spans="7:7">
      <c r="G456" s="6"/>
    </row>
    <row r="457" spans="7:7">
      <c r="G457" s="6"/>
    </row>
    <row r="458" spans="7:7">
      <c r="G458" s="6"/>
    </row>
    <row r="459" spans="7:7">
      <c r="G459" s="6"/>
    </row>
    <row r="460" spans="7:7">
      <c r="G460" s="6"/>
    </row>
    <row r="461" spans="7:7">
      <c r="G461" s="6"/>
    </row>
    <row r="462" spans="7:7">
      <c r="G462" s="6"/>
    </row>
    <row r="463" spans="7:7">
      <c r="G463" s="6"/>
    </row>
    <row r="464" spans="7:7">
      <c r="G464" s="6"/>
    </row>
    <row r="465" spans="7:7">
      <c r="G465" s="6"/>
    </row>
    <row r="466" spans="7:7">
      <c r="G466" s="6"/>
    </row>
    <row r="467" spans="7:7">
      <c r="G467" s="6"/>
    </row>
    <row r="468" spans="7:7">
      <c r="G468" s="6"/>
    </row>
    <row r="469" spans="7:7">
      <c r="G469" s="6"/>
    </row>
    <row r="470" spans="7:7">
      <c r="G470" s="6"/>
    </row>
    <row r="471" spans="7:7">
      <c r="G471" s="6"/>
    </row>
    <row r="472" spans="7:7">
      <c r="G472" s="6"/>
    </row>
    <row r="473" spans="7:7">
      <c r="G473" s="6"/>
    </row>
    <row r="474" spans="7:7">
      <c r="G474" s="6"/>
    </row>
    <row r="475" spans="7:7">
      <c r="G475" s="6"/>
    </row>
    <row r="476" spans="7:7">
      <c r="G476" s="6"/>
    </row>
    <row r="477" spans="7:7">
      <c r="G477" s="6"/>
    </row>
    <row r="478" spans="7:7">
      <c r="G478" s="6"/>
    </row>
    <row r="479" spans="7:7">
      <c r="G479" s="6"/>
    </row>
    <row r="480" spans="7:7">
      <c r="G480" s="6"/>
    </row>
    <row r="481" spans="7:7">
      <c r="G481" s="6"/>
    </row>
    <row r="482" spans="7:7">
      <c r="G482" s="6"/>
    </row>
    <row r="483" spans="7:7">
      <c r="G483" s="6"/>
    </row>
    <row r="484" spans="7:7">
      <c r="G484" s="6"/>
    </row>
    <row r="485" spans="7:7">
      <c r="G485" s="6"/>
    </row>
    <row r="486" spans="7:7">
      <c r="G486" s="6"/>
    </row>
    <row r="487" spans="7:7">
      <c r="G487" s="6"/>
    </row>
    <row r="488" spans="7:7">
      <c r="G488" s="6"/>
    </row>
    <row r="489" spans="7:7">
      <c r="G489" s="6"/>
    </row>
    <row r="490" spans="7:7">
      <c r="G490" s="6"/>
    </row>
    <row r="491" spans="7:7">
      <c r="G491" s="6"/>
    </row>
    <row r="492" spans="7:7">
      <c r="G492" s="6"/>
    </row>
    <row r="493" spans="7:7">
      <c r="G493" s="6"/>
    </row>
    <row r="494" spans="7:7">
      <c r="G494" s="6"/>
    </row>
    <row r="495" spans="7:7">
      <c r="G495" s="6"/>
    </row>
    <row r="496" spans="7:7">
      <c r="G496" s="6"/>
    </row>
    <row r="497" spans="7:7">
      <c r="G497" s="6"/>
    </row>
    <row r="498" spans="7:7">
      <c r="G498" s="6"/>
    </row>
    <row r="499" spans="7:7">
      <c r="G499" s="6"/>
    </row>
    <row r="500" spans="7:7">
      <c r="G500" s="6"/>
    </row>
    <row r="501" spans="7:7">
      <c r="G501" s="6"/>
    </row>
    <row r="502" spans="7:7">
      <c r="G502" s="6"/>
    </row>
    <row r="503" spans="7:7">
      <c r="G503" s="6"/>
    </row>
    <row r="504" spans="7:7">
      <c r="G504" s="6"/>
    </row>
    <row r="505" spans="7:7">
      <c r="G505" s="6"/>
    </row>
    <row r="506" spans="7:7">
      <c r="G506" s="6"/>
    </row>
    <row r="507" spans="7:7">
      <c r="G507" s="6"/>
    </row>
    <row r="508" spans="7:7">
      <c r="G508" s="6"/>
    </row>
    <row r="509" spans="7:7">
      <c r="G509" s="6"/>
    </row>
    <row r="510" spans="7:7">
      <c r="G510" s="6"/>
    </row>
    <row r="511" spans="7:7">
      <c r="G511" s="6"/>
    </row>
    <row r="512" spans="7:7">
      <c r="G512" s="6"/>
    </row>
    <row r="513" spans="7:7">
      <c r="G513" s="6"/>
    </row>
    <row r="514" spans="7:7">
      <c r="G514" s="6"/>
    </row>
    <row r="515" spans="7:7">
      <c r="G515" s="6"/>
    </row>
    <row r="516" spans="7:7">
      <c r="G516" s="6"/>
    </row>
    <row r="517" spans="7:7">
      <c r="G517" s="6"/>
    </row>
    <row r="518" spans="7:7">
      <c r="G518" s="6"/>
    </row>
    <row r="519" spans="7:7">
      <c r="G519" s="6"/>
    </row>
    <row r="520" spans="7:7">
      <c r="G520" s="6"/>
    </row>
    <row r="521" spans="7:7">
      <c r="G521" s="6"/>
    </row>
    <row r="522" spans="7:7">
      <c r="G522" s="6"/>
    </row>
    <row r="523" spans="7:7">
      <c r="G523" s="6"/>
    </row>
    <row r="524" spans="7:7">
      <c r="G524" s="6"/>
    </row>
    <row r="525" spans="7:7">
      <c r="G525" s="6"/>
    </row>
    <row r="526" spans="7:7">
      <c r="G526" s="6"/>
    </row>
    <row r="527" spans="7:7">
      <c r="G527" s="6"/>
    </row>
    <row r="528" spans="7:7">
      <c r="G528" s="6"/>
    </row>
    <row r="529" spans="7:7">
      <c r="G529" s="6"/>
    </row>
    <row r="530" spans="7:7">
      <c r="G530" s="6"/>
    </row>
    <row r="531" spans="7:7">
      <c r="G531" s="6"/>
    </row>
    <row r="532" spans="7:7">
      <c r="G532" s="6"/>
    </row>
    <row r="533" spans="7:7">
      <c r="G533" s="6"/>
    </row>
    <row r="534" spans="7:7">
      <c r="G534" s="6"/>
    </row>
    <row r="535" spans="7:7">
      <c r="G535" s="6"/>
    </row>
    <row r="536" spans="7:7">
      <c r="G536" s="6"/>
    </row>
    <row r="537" spans="7:7">
      <c r="G537" s="6"/>
    </row>
    <row r="538" spans="7:7">
      <c r="G538" s="6"/>
    </row>
    <row r="539" spans="7:7">
      <c r="G539" s="6"/>
    </row>
    <row r="540" spans="7:7">
      <c r="G540" s="6"/>
    </row>
    <row r="541" spans="7:7">
      <c r="G541" s="6"/>
    </row>
    <row r="542" spans="7:7">
      <c r="G542" s="6"/>
    </row>
    <row r="543" spans="7:7">
      <c r="G543" s="6"/>
    </row>
    <row r="544" spans="7:7">
      <c r="G544" s="6"/>
    </row>
    <row r="545" spans="7:7">
      <c r="G545" s="6"/>
    </row>
    <row r="546" spans="7:7">
      <c r="G546" s="6"/>
    </row>
    <row r="547" spans="7:7">
      <c r="G547" s="6"/>
    </row>
    <row r="548" spans="7:7">
      <c r="G548" s="6"/>
    </row>
    <row r="549" spans="7:7">
      <c r="G549" s="6"/>
    </row>
    <row r="550" spans="7:7">
      <c r="G550" s="6"/>
    </row>
    <row r="551" spans="7:7">
      <c r="G551" s="6"/>
    </row>
    <row r="552" spans="7:7">
      <c r="G552" s="6"/>
    </row>
    <row r="553" spans="7:7">
      <c r="G553" s="6"/>
    </row>
    <row r="554" spans="7:7">
      <c r="G554" s="6"/>
    </row>
    <row r="555" spans="7:7">
      <c r="G555" s="6"/>
    </row>
    <row r="556" spans="7:7">
      <c r="G556" s="6"/>
    </row>
    <row r="557" spans="7:7">
      <c r="G557" s="6"/>
    </row>
    <row r="558" spans="7:7">
      <c r="G558" s="6"/>
    </row>
    <row r="559" spans="7:7">
      <c r="G559" s="6"/>
    </row>
    <row r="560" spans="7:7">
      <c r="G560" s="6"/>
    </row>
    <row r="561" spans="7:7">
      <c r="G561" s="6"/>
    </row>
    <row r="562" spans="7:7">
      <c r="G562" s="6"/>
    </row>
    <row r="563" spans="7:7">
      <c r="G563" s="6"/>
    </row>
    <row r="564" spans="7:7">
      <c r="G564" s="6"/>
    </row>
    <row r="565" spans="7:7">
      <c r="G565" s="6"/>
    </row>
    <row r="566" spans="7:7">
      <c r="G566" s="6"/>
    </row>
    <row r="567" spans="7:7">
      <c r="G567" s="6"/>
    </row>
    <row r="568" spans="7:7">
      <c r="G568" s="6"/>
    </row>
    <row r="569" spans="7:7">
      <c r="G569" s="6"/>
    </row>
    <row r="570" spans="7:7">
      <c r="G570" s="6"/>
    </row>
    <row r="571" spans="7:7">
      <c r="G571" s="6"/>
    </row>
    <row r="572" spans="7:7">
      <c r="G572" s="6"/>
    </row>
    <row r="573" spans="7:7">
      <c r="G573" s="6"/>
    </row>
    <row r="574" spans="7:7">
      <c r="G574" s="6"/>
    </row>
    <row r="575" spans="7:7">
      <c r="G575" s="6"/>
    </row>
    <row r="576" spans="7:7">
      <c r="G576" s="6"/>
    </row>
    <row r="577" spans="7:7">
      <c r="G577" s="6"/>
    </row>
    <row r="578" spans="7:7">
      <c r="G578" s="6"/>
    </row>
    <row r="579" spans="7:7">
      <c r="G579" s="6"/>
    </row>
    <row r="580" spans="7:7">
      <c r="G580" s="6"/>
    </row>
    <row r="581" spans="7:7">
      <c r="G581" s="6"/>
    </row>
    <row r="582" spans="7:7">
      <c r="G582" s="6"/>
    </row>
    <row r="583" spans="7:7">
      <c r="G583" s="6"/>
    </row>
    <row r="584" spans="7:7">
      <c r="G584" s="6"/>
    </row>
    <row r="585" spans="7:7">
      <c r="G585" s="6"/>
    </row>
    <row r="586" spans="7:7">
      <c r="G586" s="6"/>
    </row>
    <row r="587" spans="7:7">
      <c r="G587" s="6"/>
    </row>
    <row r="588" spans="7:7">
      <c r="G588" s="6"/>
    </row>
    <row r="589" spans="7:7">
      <c r="G589" s="6"/>
    </row>
    <row r="590" spans="7:7">
      <c r="G590" s="6"/>
    </row>
    <row r="591" spans="7:7">
      <c r="G591" s="6"/>
    </row>
    <row r="592" spans="7:7">
      <c r="G592" s="6"/>
    </row>
    <row r="593" spans="7:7">
      <c r="G593" s="6"/>
    </row>
    <row r="594" spans="7:7">
      <c r="G594" s="6"/>
    </row>
    <row r="595" spans="7:7">
      <c r="G595" s="6"/>
    </row>
    <row r="596" spans="7:7">
      <c r="G596" s="6"/>
    </row>
    <row r="597" spans="7:7">
      <c r="G597" s="6"/>
    </row>
    <row r="598" spans="7:7">
      <c r="G598" s="6"/>
    </row>
    <row r="599" spans="7:7">
      <c r="G599" s="6"/>
    </row>
  </sheetData>
  <mergeCells count="4">
    <mergeCell ref="A1:A3"/>
    <mergeCell ref="AV2:AX2"/>
    <mergeCell ref="A35:B35"/>
    <mergeCell ref="A40:B40"/>
  </mergeCells>
  <conditionalFormatting sqref="AV3:AX3">
    <cfRule type="cellIs" dxfId="43" priority="13" operator="equal">
      <formula>#REF!</formula>
    </cfRule>
    <cfRule type="cellIs" dxfId="42" priority="14" operator="equal">
      <formula>#REF!</formula>
    </cfRule>
  </conditionalFormatting>
  <conditionalFormatting sqref="AV3:AX3">
    <cfRule type="cellIs" dxfId="41" priority="15" operator="equal">
      <formula>#REF!</formula>
    </cfRule>
    <cfRule type="cellIs" dxfId="40" priority="16" operator="equal">
      <formula>#REF!</formula>
    </cfRule>
  </conditionalFormatting>
  <conditionalFormatting sqref="Y4:AU4">
    <cfRule type="cellIs" dxfId="39" priority="9" operator="equal">
      <formula>#REF!</formula>
    </cfRule>
    <cfRule type="cellIs" dxfId="38" priority="10" operator="equal">
      <formula>#REF!</formula>
    </cfRule>
  </conditionalFormatting>
  <conditionalFormatting sqref="Y4:AU4">
    <cfRule type="cellIs" dxfId="37" priority="11" operator="equal">
      <formula>#REF!</formula>
    </cfRule>
    <cfRule type="cellIs" dxfId="36" priority="12" operator="equal">
      <formula>#REF!</formula>
    </cfRule>
  </conditionalFormatting>
  <conditionalFormatting sqref="Y4:AC4">
    <cfRule type="cellIs" dxfId="35" priority="5" operator="equal">
      <formula>#REF!</formula>
    </cfRule>
    <cfRule type="cellIs" dxfId="34" priority="6" operator="equal">
      <formula>#REF!</formula>
    </cfRule>
  </conditionalFormatting>
  <conditionalFormatting sqref="Y4:AC4">
    <cfRule type="cellIs" dxfId="33" priority="7" operator="equal">
      <formula>#REF!</formula>
    </cfRule>
    <cfRule type="cellIs" dxfId="32" priority="8" operator="equal">
      <formula>#REF!</formula>
    </cfRule>
  </conditionalFormatting>
  <conditionalFormatting sqref="D3:AU3">
    <cfRule type="cellIs" dxfId="31" priority="1" operator="equal">
      <formula>#REF!</formula>
    </cfRule>
    <cfRule type="cellIs" dxfId="30" priority="2" operator="equal">
      <formula>#REF!</formula>
    </cfRule>
  </conditionalFormatting>
  <conditionalFormatting sqref="D3:AU3">
    <cfRule type="cellIs" dxfId="29" priority="3" operator="equal">
      <formula>#REF!</formula>
    </cfRule>
    <cfRule type="cellIs" dxfId="28" priority="4" operator="equal">
      <formula>#REF!</formula>
    </cfRule>
  </conditionalFormatting>
  <pageMargins left="0.7" right="0.7" top="0.75" bottom="0.75" header="0.3" footer="0.3"/>
  <pageSetup orientation="portrait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CA0B2-0BD2-4EA1-A108-9DDB0F00F3D6}">
  <sheetPr>
    <tabColor theme="6" tint="-0.249977111117893"/>
    <pageSetUpPr fitToPage="1"/>
  </sheetPr>
  <dimension ref="A1:R89"/>
  <sheetViews>
    <sheetView showOutlineSymbols="0" showWhiteSpace="0" topLeftCell="A7" workbookViewId="0">
      <selection activeCell="B61" sqref="B61"/>
    </sheetView>
  </sheetViews>
  <sheetFormatPr defaultColWidth="8.85546875" defaultRowHeight="52.35" customHeight="1"/>
  <cols>
    <col min="1" max="1" width="36.5703125" style="6" bestFit="1" customWidth="1"/>
    <col min="2" max="2" width="22.85546875" style="6" bestFit="1" customWidth="1"/>
    <col min="3" max="3" width="25.42578125" style="6" bestFit="1" customWidth="1"/>
    <col min="4" max="4" width="13.140625" style="6" customWidth="1"/>
    <col min="5" max="5" width="18.140625" style="6" bestFit="1" customWidth="1"/>
    <col min="6" max="6" width="26.140625" style="6" customWidth="1"/>
    <col min="7" max="7" width="13.140625" style="6" bestFit="1" customWidth="1"/>
    <col min="8" max="8" width="24.5703125" style="6" customWidth="1"/>
    <col min="9" max="9" width="12.140625" style="6" bestFit="1" customWidth="1"/>
    <col min="10" max="10" width="20.140625" style="6" customWidth="1"/>
    <col min="11" max="11" width="13.85546875" style="6" bestFit="1" customWidth="1"/>
    <col min="12" max="12" width="8.85546875" style="6" bestFit="1" customWidth="1"/>
    <col min="13" max="13" width="12.140625" style="6" bestFit="1" customWidth="1"/>
    <col min="14" max="14" width="9" style="6" bestFit="1" customWidth="1"/>
    <col min="15" max="15" width="13.85546875" style="6" bestFit="1" customWidth="1"/>
    <col min="16" max="16" width="13" style="6" bestFit="1" customWidth="1"/>
    <col min="17" max="17" width="8.85546875" style="6"/>
    <col min="18" max="18" width="12.7109375" style="6" bestFit="1" customWidth="1"/>
    <col min="19" max="16384" width="8.85546875" style="6"/>
  </cols>
  <sheetData>
    <row r="1" spans="1:6" ht="13.5" thickBot="1">
      <c r="A1" s="2"/>
      <c r="B1" s="3"/>
      <c r="C1" s="4"/>
      <c r="D1" s="5"/>
    </row>
    <row r="2" spans="1:6" ht="52.35" customHeight="1" thickBot="1">
      <c r="A2" s="428" t="s">
        <v>265</v>
      </c>
      <c r="B2" s="429"/>
      <c r="C2" s="429"/>
      <c r="D2" s="427" t="str">
        <f>'Development Program'!A13</f>
        <v>Duplexes/Townhomes</v>
      </c>
      <c r="E2" s="427"/>
    </row>
    <row r="3" spans="1:6" ht="12.95">
      <c r="A3" s="7"/>
      <c r="B3" s="8"/>
      <c r="C3" s="8"/>
      <c r="D3" s="628">
        <v>0</v>
      </c>
      <c r="E3" s="629" t="s">
        <v>266</v>
      </c>
    </row>
    <row r="4" spans="1:6" ht="12.95">
      <c r="A4" s="9" t="s">
        <v>267</v>
      </c>
      <c r="B4" s="10" t="s">
        <v>268</v>
      </c>
      <c r="C4" s="48" t="s">
        <v>269</v>
      </c>
      <c r="D4" s="10" t="s">
        <v>270</v>
      </c>
      <c r="E4" s="11" t="s">
        <v>271</v>
      </c>
    </row>
    <row r="5" spans="1:6" ht="12.95">
      <c r="A5" s="630" t="s">
        <v>427</v>
      </c>
      <c r="B5" s="631">
        <f>30-B6</f>
        <v>0</v>
      </c>
      <c r="C5" s="631">
        <v>3000</v>
      </c>
      <c r="D5" s="808">
        <v>205</v>
      </c>
      <c r="E5" s="633">
        <f>D5*C5*B5</f>
        <v>0</v>
      </c>
      <c r="F5" s="334"/>
    </row>
    <row r="6" spans="1:6" ht="12.95">
      <c r="A6" s="630" t="s">
        <v>428</v>
      </c>
      <c r="B6" s="631">
        <v>30</v>
      </c>
      <c r="C6" s="631">
        <v>3000</v>
      </c>
      <c r="D6" s="632">
        <f>Assumptions!J64/'MN Financial'!C6</f>
        <v>90.33560233769613</v>
      </c>
      <c r="E6" s="633">
        <f>D6*C6*B6</f>
        <v>8130204.2103926511</v>
      </c>
    </row>
    <row r="7" spans="1:6" ht="12.95">
      <c r="A7" s="232" t="s">
        <v>429</v>
      </c>
      <c r="B7" s="631">
        <f>8-B8</f>
        <v>0</v>
      </c>
      <c r="C7" s="631">
        <v>3600</v>
      </c>
      <c r="D7" s="808">
        <v>210</v>
      </c>
      <c r="E7" s="633">
        <f>D7*C7*B7</f>
        <v>0</v>
      </c>
    </row>
    <row r="8" spans="1:6" ht="12.95">
      <c r="A8" s="232" t="s">
        <v>430</v>
      </c>
      <c r="B8" s="631">
        <v>8</v>
      </c>
      <c r="C8" s="631">
        <v>3600</v>
      </c>
      <c r="D8" s="632">
        <f>Assumptions!J64/'MN Financial'!C8</f>
        <v>75.279668614746768</v>
      </c>
      <c r="E8" s="633">
        <f>D8*C8*B8</f>
        <v>2168054.456104707</v>
      </c>
    </row>
    <row r="9" spans="1:6" ht="12.6">
      <c r="A9" s="232"/>
      <c r="B9" s="634"/>
      <c r="C9" s="634"/>
      <c r="D9" s="637"/>
      <c r="E9" s="633"/>
    </row>
    <row r="10" spans="1:6" ht="12.95" thickBot="1">
      <c r="A10" s="232"/>
      <c r="B10" s="634"/>
      <c r="C10" s="634"/>
      <c r="D10" s="637"/>
      <c r="E10" s="638"/>
    </row>
    <row r="11" spans="1:6" ht="14.1" thickTop="1" thickBot="1">
      <c r="A11" s="12" t="s">
        <v>273</v>
      </c>
      <c r="B11" s="13">
        <f>SUM(B5:B10)</f>
        <v>38</v>
      </c>
      <c r="C11" s="14">
        <f>B5*C5+B6*C6+B7*C7+B8*C8+B9*C9+B10*C10</f>
        <v>118800</v>
      </c>
      <c r="D11" s="15"/>
      <c r="E11" s="639">
        <f>SUM(E5:E10)</f>
        <v>10298258.666497357</v>
      </c>
    </row>
    <row r="12" spans="1:6" ht="14.1" thickTop="1" thickBot="1">
      <c r="A12" s="16" t="s">
        <v>274</v>
      </c>
      <c r="B12" s="17"/>
      <c r="C12" s="18">
        <f>C11/B11</f>
        <v>3126.3157894736842</v>
      </c>
      <c r="D12" s="19">
        <f>(E11/12)/C11</f>
        <v>7.2238065842433761</v>
      </c>
      <c r="E12" s="20"/>
    </row>
    <row r="13" spans="1:6" ht="12.95">
      <c r="A13" s="21"/>
      <c r="B13" s="22"/>
      <c r="C13" s="23"/>
      <c r="D13" s="24"/>
    </row>
    <row r="14" spans="1:6" ht="12.95">
      <c r="A14" s="9" t="s">
        <v>275</v>
      </c>
      <c r="B14" s="10" t="s">
        <v>276</v>
      </c>
      <c r="C14" s="10" t="s">
        <v>277</v>
      </c>
      <c r="D14" s="10" t="s">
        <v>278</v>
      </c>
    </row>
    <row r="15" spans="1:6" ht="12.95">
      <c r="A15" s="640" t="s">
        <v>50</v>
      </c>
      <c r="B15" s="641">
        <v>0</v>
      </c>
      <c r="C15" s="642">
        <v>0</v>
      </c>
      <c r="D15" s="643">
        <f>B15*C15</f>
        <v>0</v>
      </c>
    </row>
    <row r="16" spans="1:6" ht="13.5" thickBot="1">
      <c r="A16" s="644" t="s">
        <v>29</v>
      </c>
      <c r="B16" s="645">
        <v>0</v>
      </c>
      <c r="C16" s="646">
        <v>0</v>
      </c>
      <c r="D16" s="647">
        <f>B16*C16</f>
        <v>0</v>
      </c>
    </row>
    <row r="17" spans="1:5" ht="13.5" thickTop="1" thickBot="1">
      <c r="A17" s="25" t="s">
        <v>279</v>
      </c>
      <c r="B17" s="648">
        <f>SUM(B15:B16)</f>
        <v>0</v>
      </c>
      <c r="C17" s="26">
        <f>IF(B17=0,0,D17/B17)</f>
        <v>0</v>
      </c>
      <c r="D17" s="27">
        <f>SUM(D15:D16)</f>
        <v>0</v>
      </c>
      <c r="E17" s="28"/>
    </row>
    <row r="18" spans="1:5" ht="12.95">
      <c r="A18" s="649" t="s">
        <v>280</v>
      </c>
      <c r="B18" s="650" t="str">
        <f>D2</f>
        <v>Duplexes/Townhomes</v>
      </c>
    </row>
    <row r="19" spans="1:5" ht="12.95">
      <c r="A19" s="514" t="s">
        <v>281</v>
      </c>
      <c r="B19" s="651">
        <f>B11*2</f>
        <v>76</v>
      </c>
      <c r="C19" s="29"/>
      <c r="D19" s="30"/>
    </row>
    <row r="20" spans="1:5" ht="13.5" thickBot="1">
      <c r="A20" s="515" t="s">
        <v>282</v>
      </c>
      <c r="B20" s="651">
        <v>10</v>
      </c>
      <c r="C20" s="310" t="s">
        <v>283</v>
      </c>
      <c r="D20" s="30"/>
    </row>
    <row r="21" spans="1:5" ht="13.5" thickTop="1" thickBot="1">
      <c r="A21" s="31" t="s">
        <v>284</v>
      </c>
      <c r="B21" s="32">
        <f>SUM(B19:B20)</f>
        <v>86</v>
      </c>
      <c r="C21" s="29"/>
      <c r="D21" s="30"/>
    </row>
    <row r="22" spans="1:5" ht="12.95">
      <c r="A22" s="652" t="s">
        <v>285</v>
      </c>
      <c r="B22" s="653" t="str">
        <f>D2</f>
        <v>Duplexes/Townhomes</v>
      </c>
      <c r="C22" s="33"/>
      <c r="D22" s="33"/>
      <c r="E22" s="33"/>
    </row>
    <row r="23" spans="1:5" ht="12.95">
      <c r="A23" s="654" t="s">
        <v>286</v>
      </c>
      <c r="B23" s="655">
        <f>'Development Program'!C4</f>
        <v>54279.03</v>
      </c>
      <c r="C23" s="34"/>
      <c r="D23" s="35"/>
      <c r="E23" s="33"/>
    </row>
    <row r="24" spans="1:5" ht="12.95">
      <c r="A24" s="654" t="s">
        <v>287</v>
      </c>
      <c r="B24" s="655">
        <f>C11+B17</f>
        <v>118800</v>
      </c>
      <c r="C24" s="34"/>
      <c r="D24" s="35"/>
      <c r="E24" s="33"/>
    </row>
    <row r="25" spans="1:5" ht="12.95">
      <c r="A25" s="656">
        <v>0</v>
      </c>
      <c r="B25" s="655">
        <v>0</v>
      </c>
      <c r="C25" s="34" t="s">
        <v>288</v>
      </c>
      <c r="D25" s="35"/>
      <c r="E25" s="33"/>
    </row>
    <row r="26" spans="1:5" ht="12.95">
      <c r="A26" s="657">
        <v>0.05</v>
      </c>
      <c r="B26" s="655">
        <f>(1+A26)*(B24+B25)</f>
        <v>124740</v>
      </c>
      <c r="D26" s="35"/>
      <c r="E26" s="33"/>
    </row>
    <row r="27" spans="1:5" ht="13.5" thickBot="1">
      <c r="A27" s="658">
        <f>3</f>
        <v>3</v>
      </c>
      <c r="B27" s="659">
        <f>B26/A27</f>
        <v>41580</v>
      </c>
      <c r="C27" s="34"/>
      <c r="D27" s="35"/>
      <c r="E27" s="33"/>
    </row>
    <row r="28" spans="1:5" ht="33.75" customHeight="1" thickBot="1">
      <c r="A28" s="436" t="s">
        <v>289</v>
      </c>
      <c r="B28" s="437"/>
      <c r="C28" s="660" t="str">
        <f>D2</f>
        <v>Duplexes/Townhomes</v>
      </c>
      <c r="D28" s="661"/>
      <c r="E28" s="33"/>
    </row>
    <row r="29" spans="1:5" ht="13.5" thickBot="1">
      <c r="A29" s="662" t="s">
        <v>290</v>
      </c>
      <c r="B29" s="663" t="s">
        <v>291</v>
      </c>
      <c r="C29" s="663" t="s">
        <v>292</v>
      </c>
      <c r="D29" s="664" t="s">
        <v>293</v>
      </c>
      <c r="E29" s="33"/>
    </row>
    <row r="30" spans="1:5" ht="12.6">
      <c r="A30" s="665" t="s">
        <v>294</v>
      </c>
      <c r="B30" s="666">
        <f>D30/B11</f>
        <v>271006.80701308837</v>
      </c>
      <c r="C30" s="667">
        <f>D30/C11</f>
        <v>86.685679010920509</v>
      </c>
      <c r="D30" s="36">
        <f>E11</f>
        <v>10298258.666497357</v>
      </c>
      <c r="E30" s="33"/>
    </row>
    <row r="31" spans="1:5" ht="12.95" thickBot="1">
      <c r="A31" s="668">
        <v>0.03</v>
      </c>
      <c r="B31" s="669"/>
      <c r="C31" s="435"/>
      <c r="D31" s="670">
        <f>-A31*D30</f>
        <v>-308947.75999492069</v>
      </c>
      <c r="E31" s="33"/>
    </row>
    <row r="32" spans="1:5" ht="14.1" thickTop="1" thickBot="1">
      <c r="A32" s="671"/>
      <c r="B32" s="672" t="s">
        <v>295</v>
      </c>
      <c r="C32" s="672"/>
      <c r="D32" s="673">
        <f>SUM(D30:D31)</f>
        <v>9989310.9065024368</v>
      </c>
      <c r="E32" s="33"/>
    </row>
    <row r="33" spans="1:18" ht="13.5" thickBot="1">
      <c r="A33" s="438" t="s">
        <v>296</v>
      </c>
      <c r="B33" s="439"/>
      <c r="C33" s="430" t="str">
        <f>D2</f>
        <v>Duplexes/Townhomes</v>
      </c>
      <c r="D33" s="430"/>
    </row>
    <row r="34" spans="1:18" ht="13.5" thickBot="1">
      <c r="A34" s="652"/>
      <c r="B34" s="48" t="s">
        <v>297</v>
      </c>
      <c r="C34" s="48" t="s">
        <v>298</v>
      </c>
      <c r="D34" s="48" t="s">
        <v>291</v>
      </c>
      <c r="K34" s="316"/>
    </row>
    <row r="35" spans="1:18" ht="12.6">
      <c r="A35" s="674" t="s">
        <v>299</v>
      </c>
      <c r="B35" s="675">
        <f>Assumptions!F25</f>
        <v>130</v>
      </c>
      <c r="C35" s="676">
        <f>B35*(C11+B17)</f>
        <v>15444000</v>
      </c>
      <c r="D35" s="677">
        <f t="shared" ref="D35:D40" si="0">C35/$B$11</f>
        <v>406421.05263157893</v>
      </c>
    </row>
    <row r="36" spans="1:18" ht="12.6">
      <c r="A36" s="49" t="s">
        <v>288</v>
      </c>
      <c r="B36" s="678">
        <v>533.52</v>
      </c>
      <c r="C36" s="50">
        <f>B21*B36</f>
        <v>45882.720000000001</v>
      </c>
      <c r="D36" s="677">
        <f t="shared" si="0"/>
        <v>1207.44</v>
      </c>
    </row>
    <row r="37" spans="1:18" ht="12.95">
      <c r="A37" s="49" t="s">
        <v>300</v>
      </c>
      <c r="B37" s="679">
        <v>0.08</v>
      </c>
      <c r="C37" s="50">
        <f>B37*C35</f>
        <v>1235520</v>
      </c>
      <c r="D37" s="677">
        <f t="shared" si="0"/>
        <v>32513.684210526317</v>
      </c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</row>
    <row r="38" spans="1:18" ht="12.95">
      <c r="A38" s="49" t="s">
        <v>191</v>
      </c>
      <c r="B38" s="679" t="s">
        <v>101</v>
      </c>
      <c r="C38" s="50">
        <f>Assumptions!F49*0.5</f>
        <v>131000</v>
      </c>
      <c r="D38" s="677">
        <f t="shared" si="0"/>
        <v>3447.3684210526317</v>
      </c>
      <c r="H38" s="313"/>
      <c r="J38" s="312"/>
      <c r="K38" s="312"/>
      <c r="N38" s="311"/>
      <c r="O38" s="311"/>
      <c r="Q38" s="317"/>
      <c r="R38" s="317"/>
    </row>
    <row r="39" spans="1:18" ht="12.6">
      <c r="A39" s="49" t="s">
        <v>301</v>
      </c>
      <c r="B39" s="680">
        <f>Assumptions!F43</f>
        <v>10.5</v>
      </c>
      <c r="C39" s="50">
        <f>B39*'Development Program'!C13</f>
        <v>749218.09200000006</v>
      </c>
      <c r="D39" s="677">
        <f t="shared" si="0"/>
        <v>19716.265578947368</v>
      </c>
      <c r="F39" s="311"/>
      <c r="H39" s="314"/>
      <c r="J39" s="312"/>
      <c r="K39" s="312"/>
      <c r="N39" s="311"/>
      <c r="O39" s="311"/>
      <c r="Q39" s="317"/>
      <c r="R39" s="317"/>
    </row>
    <row r="40" spans="1:18" ht="24.95">
      <c r="A40" s="49" t="str">
        <f>Assumptions!E27</f>
        <v>Stormwater Utility Fee</v>
      </c>
      <c r="B40" s="681" t="str">
        <f>Assumptions!F27</f>
        <v>(Non Residential SF/3000 ) * $72</v>
      </c>
      <c r="C40" s="50">
        <f>(B17/3000)*72</f>
        <v>0</v>
      </c>
      <c r="D40" s="677">
        <f t="shared" si="0"/>
        <v>0</v>
      </c>
      <c r="F40" s="311"/>
      <c r="H40" s="314"/>
      <c r="J40" s="312"/>
      <c r="K40" s="312"/>
      <c r="N40" s="311"/>
      <c r="O40" s="311"/>
      <c r="Q40" s="317"/>
      <c r="R40" s="317"/>
    </row>
    <row r="41" spans="1:18" ht="12.95">
      <c r="A41" s="49" t="s">
        <v>302</v>
      </c>
      <c r="B41" s="682" t="str">
        <f>Assumptions!F28</f>
        <v>Estimate Calculation</v>
      </c>
      <c r="C41" s="50">
        <f>1799.5+((C35-500000)/1000)*3</f>
        <v>46631.5</v>
      </c>
      <c r="D41" s="683">
        <f>C41/B11</f>
        <v>1227.1447368421052</v>
      </c>
      <c r="H41" s="313"/>
      <c r="J41" s="312"/>
      <c r="K41" s="312"/>
      <c r="N41" s="311"/>
      <c r="O41" s="311"/>
      <c r="Q41" s="317"/>
      <c r="R41" s="317"/>
    </row>
    <row r="42" spans="1:18" ht="12.6">
      <c r="A42" s="49" t="s">
        <v>303</v>
      </c>
      <c r="B42" s="684" t="s">
        <v>304</v>
      </c>
      <c r="C42" s="50">
        <f>'Development Program'!I24</f>
        <v>293070.5</v>
      </c>
      <c r="D42" s="677">
        <f>C42/$B$11</f>
        <v>7712.3815789473683</v>
      </c>
      <c r="H42" s="313"/>
      <c r="J42" s="312"/>
      <c r="K42" s="312"/>
      <c r="N42" s="311"/>
      <c r="O42" s="311"/>
      <c r="Q42" s="317"/>
      <c r="R42" s="317"/>
    </row>
    <row r="43" spans="1:18" ht="12.6">
      <c r="A43" s="514" t="s">
        <v>88</v>
      </c>
      <c r="B43" s="685">
        <f>Assumptions!F30</f>
        <v>7.4999999999999997E-3</v>
      </c>
      <c r="C43" s="686">
        <f>B43*C35</f>
        <v>115830</v>
      </c>
      <c r="D43" s="677">
        <f t="shared" ref="D43:D44" si="1">C43/$B$11</f>
        <v>3048.1578947368421</v>
      </c>
      <c r="J43" s="312"/>
      <c r="K43" s="312"/>
      <c r="N43" s="311"/>
      <c r="O43" s="311"/>
      <c r="Q43" s="317"/>
      <c r="R43" s="317"/>
    </row>
    <row r="44" spans="1:18" ht="12.6">
      <c r="A44" s="514" t="s">
        <v>90</v>
      </c>
      <c r="B44" s="687">
        <f>Assumptions!F31</f>
        <v>1.4999999999999999E-2</v>
      </c>
      <c r="C44" s="686">
        <f>C39*B44</f>
        <v>11238.27138</v>
      </c>
      <c r="D44" s="677">
        <f t="shared" si="1"/>
        <v>295.74398368421055</v>
      </c>
      <c r="E44" s="51"/>
      <c r="J44" s="311"/>
      <c r="K44" s="312"/>
      <c r="L44" s="312"/>
      <c r="M44" s="315"/>
      <c r="N44" s="311"/>
      <c r="O44" s="311"/>
      <c r="Q44" s="317"/>
      <c r="R44" s="317"/>
    </row>
    <row r="45" spans="1:18" ht="12.6">
      <c r="A45" s="514" t="s">
        <v>305</v>
      </c>
      <c r="B45" s="688">
        <f>Assumptions!F32</f>
        <v>7.0000000000000007E-2</v>
      </c>
      <c r="C45" s="686">
        <f>B45*(C35+C37)</f>
        <v>1167566.4000000001</v>
      </c>
      <c r="D45" s="677">
        <f>C45/$B$11</f>
        <v>30725.431578947373</v>
      </c>
    </row>
    <row r="46" spans="1:18" ht="12.6">
      <c r="A46" s="514" t="s">
        <v>94</v>
      </c>
      <c r="B46" s="689">
        <v>0.03</v>
      </c>
      <c r="C46" s="690">
        <f>B46*SUM(C35:C45)</f>
        <v>577198.72450139991</v>
      </c>
      <c r="D46" s="677">
        <f>C46/$B$11</f>
        <v>15189.440118457893</v>
      </c>
      <c r="Q46" s="311"/>
      <c r="R46" s="317"/>
    </row>
    <row r="47" spans="1:18" ht="12.6">
      <c r="A47" s="514" t="s">
        <v>306</v>
      </c>
      <c r="B47" s="688">
        <f>Assumptions!F34</f>
        <v>0.02</v>
      </c>
      <c r="C47" s="686">
        <f>B47*(C35+C37)</f>
        <v>333590.40000000002</v>
      </c>
      <c r="D47" s="677">
        <f t="shared" ref="D47:D56" si="2">C47/$B$11</f>
        <v>8778.6947368421061</v>
      </c>
    </row>
    <row r="48" spans="1:18" ht="12.6">
      <c r="A48" s="514" t="s">
        <v>307</v>
      </c>
      <c r="B48" s="691">
        <f>Assumptions!F35</f>
        <v>0.04</v>
      </c>
      <c r="C48" s="686">
        <f>B48*C39</f>
        <v>29968.723680000003</v>
      </c>
      <c r="D48" s="677">
        <f t="shared" si="2"/>
        <v>788.65062315789476</v>
      </c>
    </row>
    <row r="49" spans="1:16" ht="12.6">
      <c r="A49" s="514" t="s">
        <v>100</v>
      </c>
      <c r="B49" s="684" t="str">
        <f>Assumptions!F36</f>
        <v>Estimate</v>
      </c>
      <c r="C49" s="686">
        <f>'Insurance Calculations'!G38</f>
        <v>123628.65333073918</v>
      </c>
      <c r="D49" s="677">
        <f t="shared" si="2"/>
        <v>3253.3856139668205</v>
      </c>
      <c r="O49" s="324"/>
      <c r="P49" s="324"/>
    </row>
    <row r="50" spans="1:16" ht="12.95">
      <c r="A50" s="514" t="s">
        <v>308</v>
      </c>
      <c r="B50" s="692" t="s">
        <v>101</v>
      </c>
      <c r="C50" s="693">
        <v>10000</v>
      </c>
      <c r="D50" s="677">
        <f t="shared" si="2"/>
        <v>263.15789473684208</v>
      </c>
      <c r="O50" s="324"/>
      <c r="P50" s="324"/>
    </row>
    <row r="51" spans="1:16" ht="12.95">
      <c r="A51" s="514" t="s">
        <v>105</v>
      </c>
      <c r="B51" s="692"/>
      <c r="C51" s="693"/>
      <c r="D51" s="677">
        <v>0</v>
      </c>
      <c r="O51" s="324"/>
      <c r="P51" s="324"/>
    </row>
    <row r="52" spans="1:16" ht="12.95">
      <c r="A52" s="514" t="s">
        <v>309</v>
      </c>
      <c r="B52" s="173"/>
      <c r="C52" s="686"/>
      <c r="D52" s="677">
        <f t="shared" si="2"/>
        <v>0</v>
      </c>
      <c r="O52" s="324"/>
      <c r="P52" s="324"/>
    </row>
    <row r="53" spans="1:16" ht="12.95">
      <c r="A53" s="514" t="s">
        <v>310</v>
      </c>
      <c r="B53" s="485"/>
      <c r="C53" s="690"/>
      <c r="D53" s="677">
        <f t="shared" si="2"/>
        <v>0</v>
      </c>
      <c r="O53" s="324"/>
      <c r="P53" s="324"/>
    </row>
    <row r="54" spans="1:16" ht="12.95">
      <c r="A54" s="514" t="s">
        <v>108</v>
      </c>
      <c r="B54" s="486">
        <v>1.4999999999999999E-2</v>
      </c>
      <c r="C54" s="690">
        <v>182829.09586402922</v>
      </c>
      <c r="D54" s="677">
        <f t="shared" si="2"/>
        <v>4811.2919964218218</v>
      </c>
      <c r="E54" s="433" t="s">
        <v>311</v>
      </c>
      <c r="F54" s="434"/>
      <c r="G54" s="52">
        <f>B54*B67</f>
        <v>74919.379753094719</v>
      </c>
      <c r="O54" s="324"/>
      <c r="P54" s="324"/>
    </row>
    <row r="55" spans="1:16" ht="12.95">
      <c r="A55" s="694" t="s">
        <v>109</v>
      </c>
      <c r="B55" s="487">
        <v>7.0000000000000007E-2</v>
      </c>
      <c r="C55" s="690">
        <v>853202.44736546976</v>
      </c>
      <c r="D55" s="677">
        <f t="shared" si="2"/>
        <v>22452.695983301837</v>
      </c>
      <c r="E55" s="433" t="s">
        <v>311</v>
      </c>
      <c r="F55" s="434"/>
      <c r="G55" s="53">
        <f>B55*B67</f>
        <v>349623.77218110871</v>
      </c>
      <c r="O55" s="324"/>
      <c r="P55" s="324"/>
    </row>
    <row r="56" spans="1:16" ht="13.5" thickBot="1">
      <c r="A56" s="515" t="s">
        <v>312</v>
      </c>
      <c r="B56" s="695"/>
      <c r="C56" s="696"/>
      <c r="D56" s="697">
        <f t="shared" si="2"/>
        <v>0</v>
      </c>
      <c r="O56" s="324"/>
      <c r="P56" s="324"/>
    </row>
    <row r="57" spans="1:16" ht="14.1" thickTop="1" thickBot="1">
      <c r="A57" s="698" t="s">
        <v>313</v>
      </c>
      <c r="B57" s="699"/>
      <c r="C57" s="54">
        <f>SUM(C35:C56)</f>
        <v>21350375.528121635</v>
      </c>
      <c r="D57" s="54">
        <f>ROUND(C57/$B$11,-3)</f>
        <v>562000</v>
      </c>
      <c r="O57" s="33"/>
      <c r="P57" s="33"/>
    </row>
    <row r="58" spans="1:16" ht="12.95">
      <c r="A58" s="700"/>
      <c r="B58" s="701"/>
      <c r="O58" s="33"/>
      <c r="P58" s="33"/>
    </row>
    <row r="59" spans="1:16" ht="12.95">
      <c r="A59" s="702" t="s">
        <v>314</v>
      </c>
      <c r="B59" s="703">
        <f>(D32/C57)-1</f>
        <v>-0.53212481469728612</v>
      </c>
      <c r="C59" s="55"/>
      <c r="D59" s="56"/>
      <c r="O59" s="33"/>
      <c r="P59" s="33"/>
    </row>
    <row r="60" spans="1:16" ht="13.5" thickBot="1">
      <c r="A60" s="704">
        <v>0.2</v>
      </c>
      <c r="B60" s="705">
        <f>(D32/(1+A60))</f>
        <v>8324425.7554186974</v>
      </c>
      <c r="E60" s="284"/>
      <c r="O60" s="33"/>
      <c r="P60" s="33"/>
    </row>
    <row r="61" spans="1:16" ht="13.5" thickBot="1">
      <c r="A61" s="706">
        <v>0.2</v>
      </c>
      <c r="B61" s="705">
        <f>ROUND((D32/(1+A61))-C57,-3)</f>
        <v>-13026000</v>
      </c>
      <c r="C61" s="57" t="s">
        <v>315</v>
      </c>
      <c r="O61" s="33"/>
      <c r="P61" s="33"/>
    </row>
    <row r="62" spans="1:16" ht="13.5" thickBot="1">
      <c r="A62" s="58"/>
      <c r="B62" s="59"/>
      <c r="O62" s="33"/>
      <c r="P62" s="33"/>
    </row>
    <row r="63" spans="1:16" ht="33.75" customHeight="1" thickBot="1">
      <c r="A63" s="431" t="s">
        <v>316</v>
      </c>
      <c r="B63" s="432"/>
      <c r="C63" s="707" t="str">
        <f>D2</f>
        <v>Duplexes/Townhomes</v>
      </c>
      <c r="O63" s="33"/>
      <c r="P63" s="33"/>
    </row>
    <row r="64" spans="1:16" ht="13.5" thickBot="1">
      <c r="A64" s="708"/>
      <c r="B64" s="709" t="s">
        <v>211</v>
      </c>
      <c r="C64" s="710" t="s">
        <v>291</v>
      </c>
      <c r="O64" s="33"/>
      <c r="P64" s="33"/>
    </row>
    <row r="65" spans="1:16" ht="12.95">
      <c r="A65" s="60" t="s">
        <v>431</v>
      </c>
      <c r="B65" s="206">
        <f>IF(B61&lt;0,B61,0)</f>
        <v>-13026000</v>
      </c>
      <c r="C65" s="711">
        <f>B65/B11</f>
        <v>-342789.4736842105</v>
      </c>
      <c r="O65" s="33"/>
      <c r="P65" s="33"/>
    </row>
    <row r="66" spans="1:16" ht="12.95">
      <c r="A66" s="62" t="s">
        <v>318</v>
      </c>
      <c r="B66" s="206">
        <f>C57+B65</f>
        <v>8324375.5281216353</v>
      </c>
      <c r="C66" s="711">
        <f>B66/B11</f>
        <v>219062.51389793778</v>
      </c>
      <c r="O66" s="33"/>
      <c r="P66" s="33"/>
    </row>
    <row r="67" spans="1:16" ht="12.95">
      <c r="A67" s="712">
        <f>Assumptions!H16</f>
        <v>0.6</v>
      </c>
      <c r="B67" s="207">
        <f>IF(B66&gt;0,B66*A67,C57*A67)</f>
        <v>4994625.3168729814</v>
      </c>
      <c r="C67" s="208">
        <f>B67/B11</f>
        <v>131437.50833876268</v>
      </c>
      <c r="D67" s="56"/>
      <c r="O67" s="33"/>
      <c r="P67" s="33"/>
    </row>
    <row r="68" spans="1:16" ht="12.95" thickBot="1">
      <c r="A68" s="713">
        <f>1-A67</f>
        <v>0.4</v>
      </c>
      <c r="B68" s="207">
        <f>IF(B66&gt;0,B66*A68,C57*A68)</f>
        <v>3329750.2112486544</v>
      </c>
      <c r="C68" s="714">
        <f>B68/B11</f>
        <v>87625.005559175115</v>
      </c>
      <c r="D68" s="56"/>
      <c r="O68" s="325"/>
      <c r="P68" s="33"/>
    </row>
    <row r="69" spans="1:16" ht="13.5" thickTop="1">
      <c r="A69" s="97" t="s">
        <v>319</v>
      </c>
      <c r="B69" s="715">
        <f>B67+B68</f>
        <v>8324375.5281216353</v>
      </c>
      <c r="C69" s="209">
        <f>ROUND((C68+C67),-3)</f>
        <v>219000</v>
      </c>
      <c r="O69" s="33"/>
      <c r="P69" s="325"/>
    </row>
    <row r="70" spans="1:16" ht="13.5" thickBot="1">
      <c r="A70" s="716"/>
      <c r="B70" s="717"/>
      <c r="C70" s="718"/>
      <c r="P70" s="33"/>
    </row>
    <row r="71" spans="1:16" ht="33.75" customHeight="1" thickBot="1">
      <c r="A71" s="431" t="s">
        <v>320</v>
      </c>
      <c r="B71" s="432"/>
      <c r="C71" s="707" t="str">
        <f>D2</f>
        <v>Duplexes/Townhomes</v>
      </c>
    </row>
    <row r="72" spans="1:16" ht="13.5" thickBot="1">
      <c r="A72" s="66"/>
      <c r="B72" s="719" t="s">
        <v>321</v>
      </c>
      <c r="C72" s="719"/>
    </row>
    <row r="73" spans="1:16" ht="12.6">
      <c r="A73" s="720" t="s">
        <v>294</v>
      </c>
      <c r="B73" s="721">
        <f>ROUND(D32,-3)</f>
        <v>9989000</v>
      </c>
      <c r="C73" s="722"/>
    </row>
    <row r="74" spans="1:16" ht="13.5" thickBot="1">
      <c r="A74" s="723">
        <v>0.03</v>
      </c>
      <c r="B74" s="724">
        <f>-A74*B73</f>
        <v>-299670</v>
      </c>
      <c r="C74" s="725"/>
    </row>
    <row r="75" spans="1:16" ht="13.5" thickTop="1" thickBot="1">
      <c r="A75" s="726" t="s">
        <v>295</v>
      </c>
      <c r="B75" s="210">
        <f>B73+B74</f>
        <v>9689330</v>
      </c>
      <c r="C75" s="67"/>
      <c r="E75" s="68"/>
    </row>
    <row r="76" spans="1:16" ht="12.6">
      <c r="A76" s="720" t="s">
        <v>322</v>
      </c>
      <c r="B76" s="721">
        <f>-B67</f>
        <v>-4994625.3168729814</v>
      </c>
      <c r="C76" s="722"/>
    </row>
    <row r="77" spans="1:16" ht="12.95" thickBot="1">
      <c r="A77" s="727" t="s">
        <v>323</v>
      </c>
      <c r="B77" s="728">
        <f>-B68</f>
        <v>-3329750.2112486544</v>
      </c>
      <c r="C77" s="725"/>
    </row>
    <row r="78" spans="1:16" ht="14.1" thickTop="1" thickBot="1">
      <c r="A78" s="109" t="s">
        <v>324</v>
      </c>
      <c r="B78" s="211">
        <f>ROUND(B75+B76+B77,-2)</f>
        <v>1365000</v>
      </c>
      <c r="C78" s="69"/>
      <c r="D78" s="70"/>
    </row>
    <row r="79" spans="1:16" ht="13.5" thickBot="1">
      <c r="A79" s="729" t="s">
        <v>325</v>
      </c>
      <c r="B79" s="730"/>
      <c r="C79" s="731"/>
    </row>
    <row r="80" spans="1:16" ht="12.6">
      <c r="A80" s="732" t="s">
        <v>326</v>
      </c>
      <c r="B80" s="733">
        <f>ROUND((B73)/B$11,-2)</f>
        <v>262900</v>
      </c>
      <c r="C80" s="733"/>
    </row>
    <row r="81" spans="1:4" ht="12.95" thickBot="1">
      <c r="A81" s="734" t="s">
        <v>327</v>
      </c>
      <c r="B81" s="735">
        <f>ROUND((B75)/B$11,-2)</f>
        <v>255000</v>
      </c>
      <c r="C81" s="735"/>
    </row>
    <row r="82" spans="1:4" ht="12.95">
      <c r="A82" s="736" t="s">
        <v>328</v>
      </c>
      <c r="B82" s="737"/>
      <c r="C82" s="738"/>
    </row>
    <row r="83" spans="1:4" ht="13.5" thickBot="1">
      <c r="A83" s="716"/>
      <c r="B83" s="71"/>
      <c r="C83" s="71"/>
    </row>
    <row r="84" spans="1:4" ht="12.95">
      <c r="A84" s="72"/>
      <c r="B84" s="719" t="s">
        <v>321</v>
      </c>
      <c r="C84" s="719"/>
    </row>
    <row r="85" spans="1:4" ht="12.6">
      <c r="A85" s="739" t="s">
        <v>329</v>
      </c>
      <c r="B85" s="740">
        <f>(B78+B68)/B68</f>
        <v>1.4099406602299234</v>
      </c>
      <c r="C85" s="740"/>
    </row>
    <row r="86" spans="1:4" ht="12.95">
      <c r="A86" s="741" t="s">
        <v>330</v>
      </c>
      <c r="B86" s="742">
        <f>'MN Draw'!B38</f>
        <v>5.3086835344337224E-2</v>
      </c>
      <c r="C86" s="742"/>
      <c r="D86" s="73"/>
    </row>
    <row r="87" spans="1:4" ht="12.95">
      <c r="A87" s="741" t="s">
        <v>331</v>
      </c>
      <c r="B87" s="742">
        <f>'MN Draw'!B43</f>
        <v>1.8502203712940535E-2</v>
      </c>
      <c r="C87" s="742"/>
      <c r="D87" s="73"/>
    </row>
    <row r="88" spans="1:4" ht="12.6">
      <c r="A88" s="739" t="s">
        <v>332</v>
      </c>
      <c r="B88" s="743" t="s">
        <v>61</v>
      </c>
      <c r="C88" s="743"/>
    </row>
    <row r="89" spans="1:4" ht="12.6">
      <c r="A89" s="739" t="s">
        <v>333</v>
      </c>
      <c r="B89" s="744" t="s">
        <v>61</v>
      </c>
      <c r="C89" s="744"/>
    </row>
  </sheetData>
  <mergeCells count="13">
    <mergeCell ref="A82:C82"/>
    <mergeCell ref="A2:C2"/>
    <mergeCell ref="D2:E2"/>
    <mergeCell ref="A28:B28"/>
    <mergeCell ref="B31:C31"/>
    <mergeCell ref="B32:C32"/>
    <mergeCell ref="A33:B33"/>
    <mergeCell ref="C33:D33"/>
    <mergeCell ref="E54:F54"/>
    <mergeCell ref="E55:F55"/>
    <mergeCell ref="A63:B63"/>
    <mergeCell ref="A71:B71"/>
    <mergeCell ref="A79:C79"/>
  </mergeCells>
  <printOptions horizontalCentered="1" verticalCentered="1"/>
  <pageMargins left="0.7" right="0.7" top="0.75" bottom="0.75" header="0.3" footer="0.3"/>
  <pageSetup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2" manualBreakCount="2">
    <brk id="27" max="4" man="1"/>
    <brk id="57" max="4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574F-4961-4FC2-AF66-0B40709A2EB9}">
  <sheetPr>
    <tabColor rgb="FF0070C0"/>
  </sheetPr>
  <dimension ref="A1:BX600"/>
  <sheetViews>
    <sheetView showOutlineSymbols="0" showWhiteSpace="0" topLeftCell="A25" workbookViewId="0">
      <selection activeCell="R30" sqref="R30"/>
    </sheetView>
  </sheetViews>
  <sheetFormatPr defaultColWidth="8.85546875" defaultRowHeight="14.45"/>
  <cols>
    <col min="1" max="1" width="45.5703125" style="6" customWidth="1"/>
    <col min="2" max="2" width="21.42578125" style="6" customWidth="1"/>
    <col min="3" max="3" width="19" style="6" hidden="1" customWidth="1"/>
    <col min="4" max="4" width="15" style="6" hidden="1" customWidth="1"/>
    <col min="5" max="6" width="19" style="6" hidden="1" customWidth="1"/>
    <col min="7" max="7" width="14.42578125" style="116" hidden="1" customWidth="1"/>
    <col min="8" max="8" width="21.140625" style="6" bestFit="1" customWidth="1"/>
    <col min="9" max="9" width="18.5703125" style="6" customWidth="1"/>
    <col min="10" max="10" width="16.42578125" style="6" customWidth="1"/>
    <col min="11" max="11" width="15" style="6" customWidth="1"/>
    <col min="12" max="12" width="14.140625" style="6" customWidth="1"/>
    <col min="13" max="13" width="14.42578125" style="6" customWidth="1"/>
    <col min="14" max="14" width="15.42578125" style="6" customWidth="1"/>
    <col min="15" max="15" width="16.140625" style="6" customWidth="1"/>
    <col min="16" max="16" width="15.42578125" style="6" customWidth="1"/>
    <col min="17" max="17" width="20.5703125" style="6" bestFit="1" customWidth="1"/>
    <col min="18" max="18" width="10.5703125" style="6" bestFit="1" customWidth="1"/>
    <col min="19" max="19" width="20.5703125" style="6" bestFit="1" customWidth="1"/>
    <col min="20" max="20" width="17.140625" style="6" bestFit="1" customWidth="1"/>
    <col min="21" max="22" width="14.42578125" style="6" customWidth="1"/>
    <col min="23" max="23" width="17.140625" style="6" bestFit="1" customWidth="1"/>
    <col min="24" max="27" width="14.42578125" style="6" customWidth="1"/>
    <col min="28" max="28" width="15.42578125" style="6" bestFit="1" customWidth="1"/>
    <col min="29" max="29" width="14.42578125" style="6" bestFit="1" customWidth="1"/>
    <col min="30" max="31" width="14.42578125" style="6" customWidth="1"/>
    <col min="32" max="32" width="15.42578125" style="6" bestFit="1" customWidth="1"/>
    <col min="33" max="37" width="14.42578125" style="6" customWidth="1"/>
    <col min="38" max="38" width="15.5703125" style="6" bestFit="1" customWidth="1"/>
    <col min="39" max="42" width="14.42578125" style="6" customWidth="1"/>
    <col min="43" max="43" width="12.5703125" style="6" hidden="1" customWidth="1"/>
    <col min="44" max="44" width="17" style="6" hidden="1" customWidth="1"/>
    <col min="45" max="45" width="16.42578125" style="6" hidden="1" customWidth="1"/>
    <col min="46" max="46" width="13.42578125" style="6" hidden="1" customWidth="1"/>
    <col min="47" max="47" width="15" style="6" hidden="1" customWidth="1"/>
    <col min="48" max="48" width="20.42578125" style="6" customWidth="1"/>
    <col min="49" max="73" width="17" style="6" customWidth="1"/>
    <col min="74" max="74" width="16.5703125" style="6" customWidth="1"/>
    <col min="75" max="75" width="15" customWidth="1"/>
    <col min="76" max="76" width="17.85546875" bestFit="1" customWidth="1"/>
    <col min="77" max="77" width="9.5703125" style="6" bestFit="1" customWidth="1"/>
    <col min="78" max="78" width="11.85546875" style="6" bestFit="1" customWidth="1"/>
    <col min="79" max="80" width="9.5703125" style="6" bestFit="1" customWidth="1"/>
    <col min="81" max="16384" width="8.85546875" style="6"/>
  </cols>
  <sheetData>
    <row r="1" spans="1:74" ht="15" thickBot="1">
      <c r="A1" s="440" t="str">
        <f>'MN Financial'!D2</f>
        <v>Duplexes/Townhomes</v>
      </c>
      <c r="B1" s="199" t="s">
        <v>334</v>
      </c>
      <c r="C1" s="184" t="str">
        <f>'Development Program'!B27</f>
        <v>Pre-Development</v>
      </c>
      <c r="D1" s="184" t="str">
        <f>'Development Program'!C27</f>
        <v>Demolition</v>
      </c>
      <c r="E1" s="184" t="str">
        <f>'Development Program'!D27</f>
        <v>Construction</v>
      </c>
      <c r="F1" s="184" t="str">
        <f>'Development Program'!E27</f>
        <v>Close-out</v>
      </c>
      <c r="G1" s="56"/>
    </row>
    <row r="2" spans="1:74" ht="15" thickBot="1">
      <c r="A2" s="441"/>
      <c r="B2" s="745" t="s">
        <v>335</v>
      </c>
      <c r="C2" s="746" t="str">
        <f>_xlfn.XLOOKUP($A$1,'Development Program'!$A$28:$A$34,'Development Program'!$B$28:$B$34)</f>
        <v>7/1/2025 to 8/31/2027</v>
      </c>
      <c r="D2" s="746" t="str">
        <f>_xlfn.XLOOKUP($A$1,'Development Program'!$A$28:$A$34,'Development Program'!$C$28:$C$34)</f>
        <v>9/1/2027 to 12/31/2027</v>
      </c>
      <c r="E2" s="746" t="str">
        <f>_xlfn.XLOOKUP($A$1,'Development Program'!$A$28:$A$34,'Development Program'!$D$28:$D$34)</f>
        <v>1/1/2029 to 12/31/2032</v>
      </c>
      <c r="F2" s="849" t="str">
        <f>_xlfn.XLOOKUP($A$1,'Development Program'!$A$28:$A$34,'Development Program'!$E$28:$E$34)</f>
        <v>1/1/2031 to 12/31/2033</v>
      </c>
      <c r="G2" s="6"/>
      <c r="H2" s="264" t="s">
        <v>405</v>
      </c>
      <c r="I2" s="263"/>
      <c r="Q2" s="266" t="s">
        <v>336</v>
      </c>
      <c r="R2" s="266" t="s">
        <v>191</v>
      </c>
      <c r="S2" s="188"/>
      <c r="T2" s="263"/>
      <c r="U2" s="216"/>
      <c r="V2" s="216"/>
      <c r="W2" s="265" t="s">
        <v>337</v>
      </c>
      <c r="X2" s="216"/>
      <c r="Y2" s="216"/>
      <c r="Z2" s="216"/>
      <c r="AA2" s="216"/>
      <c r="AD2" s="216"/>
      <c r="AE2" s="216"/>
      <c r="AF2" s="263"/>
      <c r="AG2" s="216"/>
      <c r="AH2" s="216"/>
      <c r="AI2" s="216"/>
      <c r="AJ2" s="216"/>
      <c r="AK2" s="216"/>
      <c r="AL2" s="265" t="s">
        <v>394</v>
      </c>
      <c r="AM2" s="265" t="s">
        <v>395</v>
      </c>
      <c r="AN2" s="216"/>
      <c r="AO2" s="216"/>
      <c r="AP2" s="265" t="s">
        <v>396</v>
      </c>
      <c r="AV2" s="443" t="s">
        <v>341</v>
      </c>
      <c r="AW2" s="443"/>
      <c r="AX2" s="443"/>
    </row>
    <row r="3" spans="1:74" ht="15" thickBot="1">
      <c r="A3" s="442"/>
      <c r="B3" s="120" t="s">
        <v>188</v>
      </c>
      <c r="C3" s="186">
        <v>45292</v>
      </c>
      <c r="D3" s="187">
        <f>EOMONTH(C3,3)</f>
        <v>45412</v>
      </c>
      <c r="E3" s="187">
        <f t="shared" ref="E3:AK3" si="0">EOMONTH(D3,3)</f>
        <v>45504</v>
      </c>
      <c r="F3" s="217">
        <f t="shared" si="0"/>
        <v>45596</v>
      </c>
      <c r="G3" s="749">
        <f t="shared" si="0"/>
        <v>45688</v>
      </c>
      <c r="H3" s="187">
        <f t="shared" si="0"/>
        <v>45777</v>
      </c>
      <c r="I3" s="749">
        <f t="shared" si="0"/>
        <v>45869</v>
      </c>
      <c r="J3" s="749">
        <f t="shared" si="0"/>
        <v>45961</v>
      </c>
      <c r="K3" s="749">
        <f t="shared" si="0"/>
        <v>46053</v>
      </c>
      <c r="L3" s="749">
        <f t="shared" si="0"/>
        <v>46142</v>
      </c>
      <c r="M3" s="749">
        <f t="shared" si="0"/>
        <v>46234</v>
      </c>
      <c r="N3" s="749">
        <f t="shared" si="0"/>
        <v>46326</v>
      </c>
      <c r="O3" s="749">
        <f t="shared" si="0"/>
        <v>46418</v>
      </c>
      <c r="P3" s="749">
        <f t="shared" si="0"/>
        <v>46507</v>
      </c>
      <c r="Q3" s="187">
        <f t="shared" si="0"/>
        <v>46599</v>
      </c>
      <c r="R3" s="187">
        <f t="shared" si="0"/>
        <v>46691</v>
      </c>
      <c r="S3" s="749">
        <f t="shared" si="0"/>
        <v>46783</v>
      </c>
      <c r="T3" s="749">
        <f t="shared" si="0"/>
        <v>46873</v>
      </c>
      <c r="U3" s="752">
        <f t="shared" si="0"/>
        <v>46965</v>
      </c>
      <c r="V3" s="751">
        <f t="shared" si="0"/>
        <v>47057</v>
      </c>
      <c r="W3" s="267">
        <f t="shared" si="0"/>
        <v>47149</v>
      </c>
      <c r="X3" s="749">
        <f t="shared" si="0"/>
        <v>47238</v>
      </c>
      <c r="Y3" s="749">
        <f t="shared" si="0"/>
        <v>47330</v>
      </c>
      <c r="Z3" s="749">
        <f t="shared" si="0"/>
        <v>47422</v>
      </c>
      <c r="AA3" s="749">
        <f t="shared" si="0"/>
        <v>47514</v>
      </c>
      <c r="AB3" s="749">
        <f t="shared" si="0"/>
        <v>47603</v>
      </c>
      <c r="AC3" s="749">
        <f t="shared" si="0"/>
        <v>47695</v>
      </c>
      <c r="AD3" s="749">
        <f t="shared" si="0"/>
        <v>47787</v>
      </c>
      <c r="AE3" s="749">
        <f t="shared" si="0"/>
        <v>47879</v>
      </c>
      <c r="AF3" s="749">
        <f t="shared" si="0"/>
        <v>47968</v>
      </c>
      <c r="AG3" s="749">
        <f t="shared" si="0"/>
        <v>48060</v>
      </c>
      <c r="AH3" s="749">
        <f t="shared" si="0"/>
        <v>48152</v>
      </c>
      <c r="AI3" s="749">
        <f t="shared" si="0"/>
        <v>48244</v>
      </c>
      <c r="AJ3" s="749">
        <f t="shared" si="0"/>
        <v>48334</v>
      </c>
      <c r="AK3" s="749">
        <f t="shared" si="0"/>
        <v>48426</v>
      </c>
      <c r="AL3" s="187">
        <f>EOMONTH(AK3,3)</f>
        <v>48518</v>
      </c>
      <c r="AM3" s="187">
        <f t="shared" ref="AM3:AU3" si="1">EOMONTH(AL3,3)</f>
        <v>48610</v>
      </c>
      <c r="AN3" s="749">
        <f t="shared" si="1"/>
        <v>48699</v>
      </c>
      <c r="AO3" s="749">
        <f t="shared" si="1"/>
        <v>48791</v>
      </c>
      <c r="AP3" s="187">
        <f t="shared" si="1"/>
        <v>48883</v>
      </c>
      <c r="AQ3" s="749">
        <f t="shared" si="1"/>
        <v>48975</v>
      </c>
      <c r="AR3" s="749">
        <f t="shared" si="1"/>
        <v>49064</v>
      </c>
      <c r="AS3" s="749">
        <f>EOMONTH(AR3,3)</f>
        <v>49156</v>
      </c>
      <c r="AT3" s="749">
        <f t="shared" si="1"/>
        <v>49248</v>
      </c>
      <c r="AU3" s="749">
        <f t="shared" si="1"/>
        <v>49340</v>
      </c>
      <c r="AV3" s="754" t="s">
        <v>342</v>
      </c>
      <c r="AW3" s="755" t="s">
        <v>343</v>
      </c>
      <c r="AX3" s="754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</row>
    <row r="4" spans="1:74" ht="15" thickBot="1">
      <c r="A4" s="756" t="s">
        <v>344</v>
      </c>
      <c r="B4" s="757">
        <v>1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2"/>
      <c r="T4" s="212"/>
      <c r="U4" s="212"/>
      <c r="V4" s="212"/>
      <c r="W4" s="212">
        <v>6.25E-2</v>
      </c>
      <c r="X4" s="212">
        <v>6.25E-2</v>
      </c>
      <c r="Y4" s="212">
        <v>6.25E-2</v>
      </c>
      <c r="Z4" s="212">
        <v>6.25E-2</v>
      </c>
      <c r="AA4" s="212">
        <v>6.25E-2</v>
      </c>
      <c r="AB4" s="212">
        <v>6.25E-2</v>
      </c>
      <c r="AC4" s="212">
        <v>6.25E-2</v>
      </c>
      <c r="AD4" s="212">
        <v>6.25E-2</v>
      </c>
      <c r="AE4" s="212">
        <v>6.25E-2</v>
      </c>
      <c r="AF4" s="212">
        <v>6.25E-2</v>
      </c>
      <c r="AG4" s="212">
        <v>6.25E-2</v>
      </c>
      <c r="AH4" s="212">
        <v>6.25E-2</v>
      </c>
      <c r="AI4" s="212">
        <v>6.25E-2</v>
      </c>
      <c r="AJ4" s="212">
        <v>6.25E-2</v>
      </c>
      <c r="AK4" s="212">
        <v>6.25E-2</v>
      </c>
      <c r="AL4" s="212">
        <v>6.25E-2</v>
      </c>
      <c r="AM4" s="213"/>
      <c r="AN4" s="213"/>
      <c r="AO4" s="213"/>
      <c r="AP4" s="213"/>
      <c r="AQ4" s="213"/>
      <c r="AR4" s="213"/>
      <c r="AS4" s="213"/>
      <c r="AT4" s="213"/>
      <c r="AU4" s="213"/>
      <c r="AV4" s="758">
        <f>SUM(C4:AU4)</f>
        <v>1</v>
      </c>
      <c r="AW4" s="759"/>
      <c r="AX4" s="760" t="s">
        <v>345</v>
      </c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</row>
    <row r="5" spans="1:74">
      <c r="A5" s="761" t="str">
        <f>'MN Financial'!A35</f>
        <v>Hard Costs for Construction</v>
      </c>
      <c r="B5" s="762">
        <f>'MN Financial'!C35</f>
        <v>15444000</v>
      </c>
      <c r="C5" s="763"/>
      <c r="D5" s="763"/>
      <c r="E5" s="763"/>
      <c r="F5" s="763"/>
      <c r="G5" s="763"/>
      <c r="H5" s="763"/>
      <c r="I5" s="763"/>
      <c r="J5" s="763"/>
      <c r="K5" s="763"/>
      <c r="L5" s="763"/>
      <c r="M5" s="763"/>
      <c r="N5" s="763"/>
      <c r="O5" s="763"/>
      <c r="P5" s="763"/>
      <c r="Q5" s="763"/>
      <c r="R5" s="763"/>
      <c r="S5" s="763"/>
      <c r="T5" s="763"/>
      <c r="U5" s="763"/>
      <c r="V5" s="763"/>
      <c r="W5" s="763">
        <f>$B5*W$4</f>
        <v>965250</v>
      </c>
      <c r="X5" s="763">
        <f t="shared" ref="X5:AL5" si="2">$B5*X$4</f>
        <v>965250</v>
      </c>
      <c r="Y5" s="763">
        <f t="shared" si="2"/>
        <v>965250</v>
      </c>
      <c r="Z5" s="763">
        <f t="shared" si="2"/>
        <v>965250</v>
      </c>
      <c r="AA5" s="763">
        <f t="shared" si="2"/>
        <v>965250</v>
      </c>
      <c r="AB5" s="763">
        <f t="shared" si="2"/>
        <v>965250</v>
      </c>
      <c r="AC5" s="763">
        <f t="shared" si="2"/>
        <v>965250</v>
      </c>
      <c r="AD5" s="763">
        <f t="shared" si="2"/>
        <v>965250</v>
      </c>
      <c r="AE5" s="763">
        <f t="shared" si="2"/>
        <v>965250</v>
      </c>
      <c r="AF5" s="763">
        <f t="shared" si="2"/>
        <v>965250</v>
      </c>
      <c r="AG5" s="763">
        <f t="shared" si="2"/>
        <v>965250</v>
      </c>
      <c r="AH5" s="763">
        <f t="shared" si="2"/>
        <v>965250</v>
      </c>
      <c r="AI5" s="763">
        <f t="shared" si="2"/>
        <v>965250</v>
      </c>
      <c r="AJ5" s="763">
        <f t="shared" si="2"/>
        <v>965250</v>
      </c>
      <c r="AK5" s="763">
        <f t="shared" si="2"/>
        <v>965250</v>
      </c>
      <c r="AL5" s="763">
        <f t="shared" si="2"/>
        <v>965250</v>
      </c>
      <c r="AM5" s="764"/>
      <c r="AN5" s="764"/>
      <c r="AO5" s="764"/>
      <c r="AP5" s="764"/>
      <c r="AQ5" s="764"/>
      <c r="AR5" s="764"/>
      <c r="AS5" s="764"/>
      <c r="AT5" s="764"/>
      <c r="AU5" s="764"/>
      <c r="AV5" s="764">
        <f>SUM(C5:AU5)</f>
        <v>15444000</v>
      </c>
      <c r="AW5" s="764">
        <f t="shared" ref="AW5:AW25" si="3">B5</f>
        <v>15444000</v>
      </c>
      <c r="AX5" s="764">
        <f>AW5-AV5</f>
        <v>0</v>
      </c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</row>
    <row r="6" spans="1:74">
      <c r="A6" s="761" t="str">
        <f>'MN Financial'!A36</f>
        <v>Surface Parking</v>
      </c>
      <c r="B6" s="762">
        <f>'MN Financial'!C36</f>
        <v>45882.720000000001</v>
      </c>
      <c r="C6" s="763"/>
      <c r="D6" s="763"/>
      <c r="E6" s="763"/>
      <c r="F6" s="763"/>
      <c r="G6" s="763"/>
      <c r="H6" s="763"/>
      <c r="I6" s="763"/>
      <c r="J6" s="763"/>
      <c r="K6" s="763"/>
      <c r="L6" s="763"/>
      <c r="M6" s="763"/>
      <c r="N6" s="763"/>
      <c r="O6" s="763"/>
      <c r="P6" s="763"/>
      <c r="Q6" s="763"/>
      <c r="R6" s="763"/>
      <c r="S6" s="763"/>
      <c r="T6" s="763"/>
      <c r="U6" s="763"/>
      <c r="V6" s="763"/>
      <c r="W6" s="763">
        <f t="shared" ref="W6:AL24" si="4">$B6*W$4</f>
        <v>2867.67</v>
      </c>
      <c r="X6" s="763">
        <f t="shared" si="4"/>
        <v>2867.67</v>
      </c>
      <c r="Y6" s="763">
        <f t="shared" si="4"/>
        <v>2867.67</v>
      </c>
      <c r="Z6" s="763">
        <f t="shared" si="4"/>
        <v>2867.67</v>
      </c>
      <c r="AA6" s="763">
        <f t="shared" si="4"/>
        <v>2867.67</v>
      </c>
      <c r="AB6" s="763">
        <f t="shared" si="4"/>
        <v>2867.67</v>
      </c>
      <c r="AC6" s="763">
        <f t="shared" si="4"/>
        <v>2867.67</v>
      </c>
      <c r="AD6" s="763">
        <f t="shared" si="4"/>
        <v>2867.67</v>
      </c>
      <c r="AE6" s="763">
        <f t="shared" si="4"/>
        <v>2867.67</v>
      </c>
      <c r="AF6" s="763">
        <f t="shared" si="4"/>
        <v>2867.67</v>
      </c>
      <c r="AG6" s="763">
        <f t="shared" si="4"/>
        <v>2867.67</v>
      </c>
      <c r="AH6" s="763">
        <f t="shared" si="4"/>
        <v>2867.67</v>
      </c>
      <c r="AI6" s="763">
        <f t="shared" si="4"/>
        <v>2867.67</v>
      </c>
      <c r="AJ6" s="763">
        <f t="shared" si="4"/>
        <v>2867.67</v>
      </c>
      <c r="AK6" s="763">
        <f t="shared" si="4"/>
        <v>2867.67</v>
      </c>
      <c r="AL6" s="763">
        <f t="shared" si="4"/>
        <v>2867.67</v>
      </c>
      <c r="AM6" s="764"/>
      <c r="AN6" s="764"/>
      <c r="AO6" s="764"/>
      <c r="AP6" s="764"/>
      <c r="AQ6" s="764"/>
      <c r="AR6" s="764"/>
      <c r="AS6" s="764"/>
      <c r="AT6" s="764"/>
      <c r="AU6" s="764"/>
      <c r="AV6" s="764">
        <f>SUM(C6:AU6)</f>
        <v>45882.719999999987</v>
      </c>
      <c r="AW6" s="764">
        <f t="shared" si="3"/>
        <v>45882.720000000001</v>
      </c>
      <c r="AX6" s="764">
        <f t="shared" ref="AX6:AX25" si="5">AW6-AV6</f>
        <v>0</v>
      </c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</row>
    <row r="7" spans="1:74">
      <c r="A7" s="761" t="str">
        <f>'MN Financial'!A37</f>
        <v>Hard Cost Contingency</v>
      </c>
      <c r="B7" s="762">
        <f>'MN Financial'!C37</f>
        <v>1235520</v>
      </c>
      <c r="C7" s="763"/>
      <c r="D7" s="763"/>
      <c r="E7" s="763"/>
      <c r="F7" s="763"/>
      <c r="G7" s="763"/>
      <c r="H7" s="763"/>
      <c r="I7" s="763"/>
      <c r="J7" s="763"/>
      <c r="K7" s="763"/>
      <c r="L7" s="763"/>
      <c r="M7" s="763"/>
      <c r="N7" s="763"/>
      <c r="O7" s="763"/>
      <c r="P7" s="763"/>
      <c r="Q7" s="763"/>
      <c r="R7" s="763"/>
      <c r="S7" s="763"/>
      <c r="T7" s="763"/>
      <c r="U7" s="763"/>
      <c r="V7" s="763"/>
      <c r="W7" s="763">
        <f t="shared" si="4"/>
        <v>77220</v>
      </c>
      <c r="X7" s="763">
        <f t="shared" si="4"/>
        <v>77220</v>
      </c>
      <c r="Y7" s="763">
        <f t="shared" si="4"/>
        <v>77220</v>
      </c>
      <c r="Z7" s="763">
        <f t="shared" si="4"/>
        <v>77220</v>
      </c>
      <c r="AA7" s="763">
        <f t="shared" si="4"/>
        <v>77220</v>
      </c>
      <c r="AB7" s="763">
        <f t="shared" si="4"/>
        <v>77220</v>
      </c>
      <c r="AC7" s="763">
        <f t="shared" si="4"/>
        <v>77220</v>
      </c>
      <c r="AD7" s="763">
        <f t="shared" si="4"/>
        <v>77220</v>
      </c>
      <c r="AE7" s="763">
        <f t="shared" si="4"/>
        <v>77220</v>
      </c>
      <c r="AF7" s="763">
        <f t="shared" si="4"/>
        <v>77220</v>
      </c>
      <c r="AG7" s="763">
        <f t="shared" si="4"/>
        <v>77220</v>
      </c>
      <c r="AH7" s="763">
        <f t="shared" si="4"/>
        <v>77220</v>
      </c>
      <c r="AI7" s="763">
        <f t="shared" si="4"/>
        <v>77220</v>
      </c>
      <c r="AJ7" s="763">
        <f t="shared" si="4"/>
        <v>77220</v>
      </c>
      <c r="AK7" s="763">
        <f t="shared" si="4"/>
        <v>77220</v>
      </c>
      <c r="AL7" s="763">
        <f t="shared" si="4"/>
        <v>77220</v>
      </c>
      <c r="AM7" s="764"/>
      <c r="AN7" s="764"/>
      <c r="AO7" s="764"/>
      <c r="AP7" s="764"/>
      <c r="AQ7" s="764"/>
      <c r="AR7" s="764"/>
      <c r="AS7" s="764"/>
      <c r="AT7" s="764"/>
      <c r="AU7" s="764"/>
      <c r="AV7" s="764">
        <f>SUM(C7:AU7)</f>
        <v>1235520</v>
      </c>
      <c r="AW7" s="764">
        <f t="shared" si="3"/>
        <v>1235520</v>
      </c>
      <c r="AX7" s="764">
        <f t="shared" si="5"/>
        <v>0</v>
      </c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</row>
    <row r="8" spans="1:74">
      <c r="A8" s="761" t="str">
        <f>'MN Financial'!A38</f>
        <v>Demolition</v>
      </c>
      <c r="B8" s="762">
        <f>'MN Financial'!C38</f>
        <v>131000</v>
      </c>
      <c r="C8" s="763"/>
      <c r="D8" s="763"/>
      <c r="E8" s="763"/>
      <c r="F8" s="763"/>
      <c r="G8" s="763"/>
      <c r="H8" s="763"/>
      <c r="I8" s="763"/>
      <c r="J8" s="763"/>
      <c r="K8" s="763"/>
      <c r="L8" s="763"/>
      <c r="M8" s="763"/>
      <c r="N8" s="763"/>
      <c r="O8" s="763"/>
      <c r="P8" s="763"/>
      <c r="Q8" s="763"/>
      <c r="R8" s="763">
        <f>B8</f>
        <v>131000</v>
      </c>
      <c r="S8" s="763"/>
      <c r="T8" s="763"/>
      <c r="U8" s="763"/>
      <c r="V8" s="763"/>
      <c r="W8" s="763"/>
      <c r="X8" s="763"/>
      <c r="Y8" s="763"/>
      <c r="Z8" s="763"/>
      <c r="AA8" s="763"/>
      <c r="AB8" s="763"/>
      <c r="AC8" s="763"/>
      <c r="AD8" s="763"/>
      <c r="AE8" s="763"/>
      <c r="AF8" s="763"/>
      <c r="AG8" s="763"/>
      <c r="AH8" s="763"/>
      <c r="AI8" s="763"/>
      <c r="AJ8" s="763"/>
      <c r="AK8" s="763"/>
      <c r="AL8" s="763"/>
      <c r="AM8" s="764"/>
      <c r="AN8" s="764"/>
      <c r="AO8" s="764"/>
      <c r="AP8" s="764"/>
      <c r="AQ8" s="764"/>
      <c r="AR8" s="764"/>
      <c r="AS8" s="764"/>
      <c r="AT8" s="764"/>
      <c r="AU8" s="764"/>
      <c r="AV8" s="764">
        <f>SUM(C8:AU8)</f>
        <v>131000</v>
      </c>
      <c r="AW8" s="764">
        <f t="shared" si="3"/>
        <v>131000</v>
      </c>
      <c r="AX8" s="764">
        <f t="shared" si="5"/>
        <v>0</v>
      </c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</row>
    <row r="9" spans="1:74">
      <c r="A9" s="761" t="str">
        <f>'MN Financial'!A39</f>
        <v>LAND</v>
      </c>
      <c r="B9" s="762">
        <f>'MN Financial'!C39</f>
        <v>749218.09200000006</v>
      </c>
      <c r="C9" s="214"/>
      <c r="D9" s="765"/>
      <c r="E9" s="763"/>
      <c r="F9" s="763"/>
      <c r="G9" s="766"/>
      <c r="H9" s="767">
        <f>B9</f>
        <v>749218.09200000006</v>
      </c>
      <c r="I9" s="763"/>
      <c r="J9" s="767"/>
      <c r="K9" s="765"/>
      <c r="L9" s="765"/>
      <c r="M9" s="768"/>
      <c r="N9" s="765"/>
      <c r="O9" s="765"/>
      <c r="P9" s="765"/>
      <c r="Q9" s="765"/>
      <c r="R9" s="765"/>
      <c r="S9" s="763"/>
      <c r="T9" s="765"/>
      <c r="U9" s="765"/>
      <c r="V9" s="765"/>
      <c r="W9" s="763"/>
      <c r="X9" s="763"/>
      <c r="Y9" s="763"/>
      <c r="Z9" s="763"/>
      <c r="AA9" s="763"/>
      <c r="AB9" s="763"/>
      <c r="AC9" s="763"/>
      <c r="AD9" s="763"/>
      <c r="AE9" s="763"/>
      <c r="AF9" s="763"/>
      <c r="AG9" s="763"/>
      <c r="AH9" s="763"/>
      <c r="AI9" s="763"/>
      <c r="AJ9" s="763"/>
      <c r="AK9" s="763"/>
      <c r="AL9" s="763"/>
      <c r="AM9" s="769"/>
      <c r="AN9" s="769"/>
      <c r="AO9" s="769"/>
      <c r="AP9" s="769"/>
      <c r="AQ9" s="769"/>
      <c r="AR9" s="769"/>
      <c r="AS9" s="769"/>
      <c r="AT9" s="769"/>
      <c r="AU9" s="769"/>
      <c r="AV9" s="764">
        <f>SUM(D9:AU9)</f>
        <v>749218.09200000006</v>
      </c>
      <c r="AW9" s="764">
        <f t="shared" si="3"/>
        <v>749218.09200000006</v>
      </c>
      <c r="AX9" s="764">
        <f t="shared" si="5"/>
        <v>0</v>
      </c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</row>
    <row r="10" spans="1:74">
      <c r="A10" s="761" t="str">
        <f>'MN Financial'!A40</f>
        <v>Stormwater Utility Fee</v>
      </c>
      <c r="B10" s="762">
        <f>'MN Financial'!C40</f>
        <v>0</v>
      </c>
      <c r="C10" s="214"/>
      <c r="D10" s="765"/>
      <c r="E10" s="763"/>
      <c r="F10" s="763"/>
      <c r="G10" s="766"/>
      <c r="H10" s="766"/>
      <c r="I10" s="763"/>
      <c r="J10" s="767"/>
      <c r="K10" s="765"/>
      <c r="L10" s="765"/>
      <c r="M10" s="768"/>
      <c r="N10" s="765"/>
      <c r="O10" s="765"/>
      <c r="P10" s="765"/>
      <c r="Q10" s="765"/>
      <c r="R10" s="765"/>
      <c r="S10" s="763"/>
      <c r="T10" s="765"/>
      <c r="U10" s="765"/>
      <c r="V10" s="765"/>
      <c r="W10" s="763">
        <f t="shared" si="4"/>
        <v>0</v>
      </c>
      <c r="X10" s="763">
        <f t="shared" si="4"/>
        <v>0</v>
      </c>
      <c r="Y10" s="763">
        <f t="shared" si="4"/>
        <v>0</v>
      </c>
      <c r="Z10" s="763">
        <f t="shared" si="4"/>
        <v>0</v>
      </c>
      <c r="AA10" s="763">
        <f t="shared" si="4"/>
        <v>0</v>
      </c>
      <c r="AB10" s="763">
        <f t="shared" si="4"/>
        <v>0</v>
      </c>
      <c r="AC10" s="763">
        <f t="shared" si="4"/>
        <v>0</v>
      </c>
      <c r="AD10" s="763">
        <f t="shared" si="4"/>
        <v>0</v>
      </c>
      <c r="AE10" s="763">
        <f t="shared" si="4"/>
        <v>0</v>
      </c>
      <c r="AF10" s="763">
        <f t="shared" si="4"/>
        <v>0</v>
      </c>
      <c r="AG10" s="763">
        <f t="shared" si="4"/>
        <v>0</v>
      </c>
      <c r="AH10" s="763">
        <f t="shared" si="4"/>
        <v>0</v>
      </c>
      <c r="AI10" s="763">
        <f t="shared" si="4"/>
        <v>0</v>
      </c>
      <c r="AJ10" s="763">
        <f t="shared" si="4"/>
        <v>0</v>
      </c>
      <c r="AK10" s="763">
        <f t="shared" si="4"/>
        <v>0</v>
      </c>
      <c r="AL10" s="763">
        <f t="shared" si="4"/>
        <v>0</v>
      </c>
      <c r="AM10" s="769"/>
      <c r="AN10" s="769"/>
      <c r="AO10" s="769"/>
      <c r="AP10" s="769"/>
      <c r="AQ10" s="769"/>
      <c r="AR10" s="769"/>
      <c r="AS10" s="769"/>
      <c r="AT10" s="769"/>
      <c r="AU10" s="769"/>
      <c r="AV10" s="764">
        <f>SUM(D10:AU10)</f>
        <v>0</v>
      </c>
      <c r="AW10" s="764">
        <f t="shared" ref="AW10" si="6">B10</f>
        <v>0</v>
      </c>
      <c r="AX10" s="764">
        <f t="shared" ref="AX10" si="7">AW10-AV10</f>
        <v>0</v>
      </c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</row>
    <row r="11" spans="1:74">
      <c r="A11" s="761" t="str">
        <f>'MN Financial'!A41</f>
        <v>Municipal Fees and Allowances</v>
      </c>
      <c r="B11" s="762">
        <f>'MN Financial'!C41</f>
        <v>46631.5</v>
      </c>
      <c r="C11" s="768"/>
      <c r="D11" s="765"/>
      <c r="E11" s="763"/>
      <c r="F11" s="763"/>
      <c r="G11" s="763"/>
      <c r="H11" s="766"/>
      <c r="I11" s="763"/>
      <c r="J11" s="763"/>
      <c r="K11" s="765"/>
      <c r="L11" s="765"/>
      <c r="M11" s="765"/>
      <c r="N11" s="765"/>
      <c r="O11" s="765"/>
      <c r="P11" s="765"/>
      <c r="Q11" s="765"/>
      <c r="R11" s="765"/>
      <c r="S11" s="763"/>
      <c r="T11" s="765"/>
      <c r="U11" s="765"/>
      <c r="V11" s="765"/>
      <c r="W11" s="763">
        <f t="shared" si="4"/>
        <v>2914.46875</v>
      </c>
      <c r="X11" s="763">
        <f t="shared" si="4"/>
        <v>2914.46875</v>
      </c>
      <c r="Y11" s="763">
        <f t="shared" si="4"/>
        <v>2914.46875</v>
      </c>
      <c r="Z11" s="763">
        <f t="shared" si="4"/>
        <v>2914.46875</v>
      </c>
      <c r="AA11" s="763">
        <f t="shared" si="4"/>
        <v>2914.46875</v>
      </c>
      <c r="AB11" s="763">
        <f t="shared" si="4"/>
        <v>2914.46875</v>
      </c>
      <c r="AC11" s="763">
        <f t="shared" si="4"/>
        <v>2914.46875</v>
      </c>
      <c r="AD11" s="763">
        <f t="shared" si="4"/>
        <v>2914.46875</v>
      </c>
      <c r="AE11" s="763">
        <f t="shared" si="4"/>
        <v>2914.46875</v>
      </c>
      <c r="AF11" s="763">
        <f t="shared" si="4"/>
        <v>2914.46875</v>
      </c>
      <c r="AG11" s="763">
        <f t="shared" si="4"/>
        <v>2914.46875</v>
      </c>
      <c r="AH11" s="763">
        <f t="shared" si="4"/>
        <v>2914.46875</v>
      </c>
      <c r="AI11" s="763">
        <f t="shared" si="4"/>
        <v>2914.46875</v>
      </c>
      <c r="AJ11" s="763">
        <f t="shared" si="4"/>
        <v>2914.46875</v>
      </c>
      <c r="AK11" s="763">
        <f t="shared" si="4"/>
        <v>2914.46875</v>
      </c>
      <c r="AL11" s="763">
        <f t="shared" si="4"/>
        <v>2914.46875</v>
      </c>
      <c r="AM11" s="769"/>
      <c r="AN11" s="769"/>
      <c r="AO11" s="769"/>
      <c r="AP11" s="769"/>
      <c r="AQ11" s="769"/>
      <c r="AR11" s="769"/>
      <c r="AS11" s="769"/>
      <c r="AT11" s="769"/>
      <c r="AU11" s="769"/>
      <c r="AV11" s="764">
        <f t="shared" ref="AV11:AV25" si="8">SUM(C11:AU11)</f>
        <v>46631.5</v>
      </c>
      <c r="AW11" s="764">
        <f t="shared" si="3"/>
        <v>46631.5</v>
      </c>
      <c r="AX11" s="764">
        <f t="shared" si="5"/>
        <v>0</v>
      </c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</row>
    <row r="12" spans="1:74">
      <c r="A12" s="761" t="str">
        <f>'MN Financial'!A42</f>
        <v>Infrastructure allocation</v>
      </c>
      <c r="B12" s="762">
        <f>'MN Financial'!C42</f>
        <v>293070.5</v>
      </c>
      <c r="C12" s="770"/>
      <c r="D12" s="769"/>
      <c r="E12" s="771"/>
      <c r="F12" s="771"/>
      <c r="G12" s="771"/>
      <c r="H12" s="771"/>
      <c r="I12" s="771"/>
      <c r="J12" s="771"/>
      <c r="K12" s="769"/>
      <c r="L12" s="769"/>
      <c r="M12" s="769"/>
      <c r="N12" s="769"/>
      <c r="O12" s="769"/>
      <c r="P12" s="769"/>
      <c r="Q12" s="769"/>
      <c r="R12" s="763"/>
      <c r="S12" s="763"/>
      <c r="T12" s="769"/>
      <c r="U12" s="766"/>
      <c r="V12" s="766"/>
      <c r="W12" s="763">
        <f t="shared" si="4"/>
        <v>18316.90625</v>
      </c>
      <c r="X12" s="763">
        <f t="shared" si="4"/>
        <v>18316.90625</v>
      </c>
      <c r="Y12" s="763">
        <f t="shared" si="4"/>
        <v>18316.90625</v>
      </c>
      <c r="Z12" s="763">
        <f t="shared" si="4"/>
        <v>18316.90625</v>
      </c>
      <c r="AA12" s="763">
        <f t="shared" si="4"/>
        <v>18316.90625</v>
      </c>
      <c r="AB12" s="763">
        <f t="shared" si="4"/>
        <v>18316.90625</v>
      </c>
      <c r="AC12" s="763">
        <f t="shared" si="4"/>
        <v>18316.90625</v>
      </c>
      <c r="AD12" s="763">
        <f t="shared" si="4"/>
        <v>18316.90625</v>
      </c>
      <c r="AE12" s="763">
        <f t="shared" si="4"/>
        <v>18316.90625</v>
      </c>
      <c r="AF12" s="763">
        <f t="shared" si="4"/>
        <v>18316.90625</v>
      </c>
      <c r="AG12" s="763">
        <f t="shared" si="4"/>
        <v>18316.90625</v>
      </c>
      <c r="AH12" s="763">
        <f t="shared" si="4"/>
        <v>18316.90625</v>
      </c>
      <c r="AI12" s="763">
        <f t="shared" si="4"/>
        <v>18316.90625</v>
      </c>
      <c r="AJ12" s="763">
        <f t="shared" si="4"/>
        <v>18316.90625</v>
      </c>
      <c r="AK12" s="763">
        <f t="shared" si="4"/>
        <v>18316.90625</v>
      </c>
      <c r="AL12" s="763">
        <f t="shared" si="4"/>
        <v>18316.90625</v>
      </c>
      <c r="AM12" s="772"/>
      <c r="AN12" s="772"/>
      <c r="AO12" s="772"/>
      <c r="AP12" s="772"/>
      <c r="AQ12" s="769"/>
      <c r="AR12" s="769"/>
      <c r="AS12" s="769"/>
      <c r="AT12" s="769"/>
      <c r="AU12" s="769"/>
      <c r="AV12" s="764">
        <f t="shared" si="8"/>
        <v>293070.5</v>
      </c>
      <c r="AW12" s="764">
        <f t="shared" si="3"/>
        <v>293070.5</v>
      </c>
      <c r="AX12" s="764">
        <f t="shared" si="5"/>
        <v>0</v>
      </c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</row>
    <row r="13" spans="1:74">
      <c r="A13" s="761" t="str">
        <f>'MN Financial'!A43</f>
        <v>Legal</v>
      </c>
      <c r="B13" s="762">
        <f>'MN Financial'!C43</f>
        <v>115830</v>
      </c>
      <c r="C13" s="770"/>
      <c r="D13" s="770"/>
      <c r="E13" s="763"/>
      <c r="F13" s="763"/>
      <c r="G13" s="763"/>
      <c r="H13" s="763"/>
      <c r="I13" s="763"/>
      <c r="J13" s="763"/>
      <c r="K13" s="769"/>
      <c r="L13" s="769"/>
      <c r="M13" s="769"/>
      <c r="N13" s="769"/>
      <c r="O13" s="769"/>
      <c r="P13" s="769"/>
      <c r="Q13" s="769"/>
      <c r="R13" s="769"/>
      <c r="S13" s="763"/>
      <c r="T13" s="769"/>
      <c r="U13" s="769"/>
      <c r="V13" s="769"/>
      <c r="W13" s="763">
        <f t="shared" si="4"/>
        <v>7239.375</v>
      </c>
      <c r="X13" s="763">
        <f t="shared" si="4"/>
        <v>7239.375</v>
      </c>
      <c r="Y13" s="763">
        <f t="shared" si="4"/>
        <v>7239.375</v>
      </c>
      <c r="Z13" s="763">
        <f t="shared" si="4"/>
        <v>7239.375</v>
      </c>
      <c r="AA13" s="763">
        <f t="shared" si="4"/>
        <v>7239.375</v>
      </c>
      <c r="AB13" s="763">
        <f t="shared" si="4"/>
        <v>7239.375</v>
      </c>
      <c r="AC13" s="763">
        <f t="shared" si="4"/>
        <v>7239.375</v>
      </c>
      <c r="AD13" s="763">
        <f t="shared" si="4"/>
        <v>7239.375</v>
      </c>
      <c r="AE13" s="763">
        <f t="shared" si="4"/>
        <v>7239.375</v>
      </c>
      <c r="AF13" s="763">
        <f t="shared" si="4"/>
        <v>7239.375</v>
      </c>
      <c r="AG13" s="763">
        <f t="shared" si="4"/>
        <v>7239.375</v>
      </c>
      <c r="AH13" s="763">
        <f t="shared" si="4"/>
        <v>7239.375</v>
      </c>
      <c r="AI13" s="763">
        <f t="shared" si="4"/>
        <v>7239.375</v>
      </c>
      <c r="AJ13" s="763">
        <f t="shared" si="4"/>
        <v>7239.375</v>
      </c>
      <c r="AK13" s="763">
        <f t="shared" si="4"/>
        <v>7239.375</v>
      </c>
      <c r="AL13" s="763">
        <f t="shared" si="4"/>
        <v>7239.375</v>
      </c>
      <c r="AM13" s="769"/>
      <c r="AN13" s="769"/>
      <c r="AO13" s="769"/>
      <c r="AP13" s="769"/>
      <c r="AQ13" s="769"/>
      <c r="AR13" s="769"/>
      <c r="AS13" s="769"/>
      <c r="AT13" s="769"/>
      <c r="AU13" s="769"/>
      <c r="AV13" s="764">
        <f t="shared" si="8"/>
        <v>115830</v>
      </c>
      <c r="AW13" s="764">
        <f t="shared" si="3"/>
        <v>115830</v>
      </c>
      <c r="AX13" s="764">
        <f t="shared" si="5"/>
        <v>0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</row>
    <row r="14" spans="1:74">
      <c r="A14" s="761" t="str">
        <f>'MN Financial'!A44</f>
        <v>Land Closing Costs/commissions</v>
      </c>
      <c r="B14" s="762">
        <f>'MN Financial'!C44</f>
        <v>11238.27138</v>
      </c>
      <c r="C14" s="767"/>
      <c r="D14" s="763"/>
      <c r="E14" s="763"/>
      <c r="F14" s="763"/>
      <c r="G14" s="214"/>
      <c r="H14" s="763">
        <f>B14</f>
        <v>11238.27138</v>
      </c>
      <c r="I14" s="763"/>
      <c r="J14" s="763"/>
      <c r="K14" s="763"/>
      <c r="L14" s="763"/>
      <c r="M14" s="763"/>
      <c r="N14" s="763"/>
      <c r="O14" s="763"/>
      <c r="P14" s="763"/>
      <c r="Q14" s="763"/>
      <c r="R14" s="763"/>
      <c r="S14" s="763"/>
      <c r="T14" s="763"/>
      <c r="U14" s="763"/>
      <c r="V14" s="763"/>
      <c r="W14" s="763"/>
      <c r="X14" s="763"/>
      <c r="Y14" s="763"/>
      <c r="Z14" s="763"/>
      <c r="AA14" s="763"/>
      <c r="AB14" s="763"/>
      <c r="AC14" s="763"/>
      <c r="AD14" s="763"/>
      <c r="AE14" s="763"/>
      <c r="AF14" s="763"/>
      <c r="AG14" s="763"/>
      <c r="AH14" s="763"/>
      <c r="AI14" s="763"/>
      <c r="AJ14" s="763"/>
      <c r="AK14" s="763"/>
      <c r="AL14" s="763"/>
      <c r="AM14" s="764"/>
      <c r="AN14" s="764"/>
      <c r="AO14" s="764"/>
      <c r="AP14" s="764"/>
      <c r="AQ14" s="764"/>
      <c r="AR14" s="764"/>
      <c r="AS14" s="764"/>
      <c r="AT14" s="764"/>
      <c r="AU14" s="764"/>
      <c r="AV14" s="764">
        <f t="shared" si="8"/>
        <v>11238.27138</v>
      </c>
      <c r="AW14" s="764">
        <f t="shared" si="3"/>
        <v>11238.27138</v>
      </c>
      <c r="AX14" s="764">
        <f t="shared" si="5"/>
        <v>0</v>
      </c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</row>
    <row r="15" spans="1:74">
      <c r="A15" s="761" t="str">
        <f>'MN Financial'!A45</f>
        <v xml:space="preserve">Design </v>
      </c>
      <c r="B15" s="762">
        <f>'MN Financial'!C45</f>
        <v>1167566.4000000001</v>
      </c>
      <c r="C15" s="763"/>
      <c r="D15" s="763"/>
      <c r="E15" s="763"/>
      <c r="F15" s="763"/>
      <c r="G15" s="763"/>
      <c r="H15" s="763">
        <f>$B$15*0.1</f>
        <v>116756.64000000001</v>
      </c>
      <c r="I15" s="763">
        <f t="shared" ref="I15:Q15" si="9">$B$15*0.1</f>
        <v>116756.64000000001</v>
      </c>
      <c r="J15" s="763">
        <f t="shared" si="9"/>
        <v>116756.64000000001</v>
      </c>
      <c r="K15" s="763">
        <f t="shared" si="9"/>
        <v>116756.64000000001</v>
      </c>
      <c r="L15" s="763">
        <f t="shared" si="9"/>
        <v>116756.64000000001</v>
      </c>
      <c r="M15" s="763">
        <f t="shared" si="9"/>
        <v>116756.64000000001</v>
      </c>
      <c r="N15" s="763">
        <f t="shared" si="9"/>
        <v>116756.64000000001</v>
      </c>
      <c r="O15" s="763">
        <f t="shared" si="9"/>
        <v>116756.64000000001</v>
      </c>
      <c r="P15" s="763">
        <f t="shared" si="9"/>
        <v>116756.64000000001</v>
      </c>
      <c r="Q15" s="763">
        <f t="shared" si="9"/>
        <v>116756.64000000001</v>
      </c>
      <c r="R15" s="763"/>
      <c r="S15" s="763"/>
      <c r="T15" s="763"/>
      <c r="U15" s="763"/>
      <c r="V15" s="763"/>
      <c r="W15" s="763"/>
      <c r="X15" s="763"/>
      <c r="Y15" s="763"/>
      <c r="Z15" s="763"/>
      <c r="AA15" s="763"/>
      <c r="AB15" s="763"/>
      <c r="AC15" s="763"/>
      <c r="AD15" s="763"/>
      <c r="AE15" s="763"/>
      <c r="AF15" s="763"/>
      <c r="AG15" s="763"/>
      <c r="AH15" s="763"/>
      <c r="AI15" s="763"/>
      <c r="AJ15" s="763"/>
      <c r="AK15" s="763"/>
      <c r="AL15" s="763"/>
      <c r="AM15" s="764"/>
      <c r="AN15" s="764"/>
      <c r="AO15" s="764"/>
      <c r="AP15" s="764"/>
      <c r="AQ15" s="764"/>
      <c r="AR15" s="764"/>
      <c r="AS15" s="764"/>
      <c r="AT15" s="764"/>
      <c r="AU15" s="764"/>
      <c r="AV15" s="764">
        <f t="shared" si="8"/>
        <v>1167566.4000000004</v>
      </c>
      <c r="AW15" s="764">
        <f t="shared" si="3"/>
        <v>1167566.4000000001</v>
      </c>
      <c r="AX15" s="764">
        <f t="shared" si="5"/>
        <v>0</v>
      </c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</row>
    <row r="16" spans="1:74">
      <c r="A16" s="761" t="str">
        <f>'MN Financial'!A46</f>
        <v>Developer Fee</v>
      </c>
      <c r="B16" s="762">
        <f>'MN Financial'!C46</f>
        <v>577198.72450139991</v>
      </c>
      <c r="C16" s="763"/>
      <c r="D16" s="763"/>
      <c r="E16" s="763"/>
      <c r="F16" s="763"/>
      <c r="G16" s="763"/>
      <c r="H16" s="763"/>
      <c r="I16" s="763"/>
      <c r="J16" s="763"/>
      <c r="K16" s="763"/>
      <c r="L16" s="763"/>
      <c r="M16" s="763"/>
      <c r="N16" s="763"/>
      <c r="O16" s="763"/>
      <c r="P16" s="763"/>
      <c r="Q16" s="763"/>
      <c r="R16" s="763"/>
      <c r="S16" s="763"/>
      <c r="T16" s="763"/>
      <c r="U16" s="763"/>
      <c r="V16" s="763"/>
      <c r="W16" s="763">
        <f t="shared" si="4"/>
        <v>36074.920281337494</v>
      </c>
      <c r="X16" s="763">
        <f t="shared" si="4"/>
        <v>36074.920281337494</v>
      </c>
      <c r="Y16" s="763">
        <f t="shared" si="4"/>
        <v>36074.920281337494</v>
      </c>
      <c r="Z16" s="763">
        <f t="shared" si="4"/>
        <v>36074.920281337494</v>
      </c>
      <c r="AA16" s="763">
        <f t="shared" si="4"/>
        <v>36074.920281337494</v>
      </c>
      <c r="AB16" s="763">
        <f t="shared" si="4"/>
        <v>36074.920281337494</v>
      </c>
      <c r="AC16" s="763">
        <f t="shared" si="4"/>
        <v>36074.920281337494</v>
      </c>
      <c r="AD16" s="763">
        <f t="shared" si="4"/>
        <v>36074.920281337494</v>
      </c>
      <c r="AE16" s="763">
        <f t="shared" si="4"/>
        <v>36074.920281337494</v>
      </c>
      <c r="AF16" s="763">
        <f t="shared" si="4"/>
        <v>36074.920281337494</v>
      </c>
      <c r="AG16" s="763">
        <f t="shared" si="4"/>
        <v>36074.920281337494</v>
      </c>
      <c r="AH16" s="763">
        <f t="shared" si="4"/>
        <v>36074.920281337494</v>
      </c>
      <c r="AI16" s="763">
        <f t="shared" si="4"/>
        <v>36074.920281337494</v>
      </c>
      <c r="AJ16" s="763">
        <f t="shared" si="4"/>
        <v>36074.920281337494</v>
      </c>
      <c r="AK16" s="763">
        <f t="shared" si="4"/>
        <v>36074.920281337494</v>
      </c>
      <c r="AL16" s="763">
        <f t="shared" si="4"/>
        <v>36074.920281337494</v>
      </c>
      <c r="AM16" s="764"/>
      <c r="AN16" s="764"/>
      <c r="AO16" s="764"/>
      <c r="AP16" s="764"/>
      <c r="AQ16" s="764"/>
      <c r="AR16" s="764"/>
      <c r="AS16" s="764"/>
      <c r="AT16" s="764"/>
      <c r="AU16" s="764"/>
      <c r="AV16" s="764">
        <f t="shared" si="8"/>
        <v>577198.72450140002</v>
      </c>
      <c r="AW16" s="764">
        <f t="shared" si="3"/>
        <v>577198.72450139991</v>
      </c>
      <c r="AX16" s="764">
        <f t="shared" si="5"/>
        <v>0</v>
      </c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</row>
    <row r="17" spans="1:74">
      <c r="A17" s="761" t="str">
        <f>'MN Financial'!A47</f>
        <v>Construction Management Fee</v>
      </c>
      <c r="B17" s="762">
        <f>'MN Financial'!C47</f>
        <v>333590.40000000002</v>
      </c>
      <c r="C17" s="763"/>
      <c r="D17" s="763"/>
      <c r="E17" s="763"/>
      <c r="F17" s="763"/>
      <c r="G17" s="763"/>
      <c r="H17" s="763"/>
      <c r="I17" s="763"/>
      <c r="J17" s="763"/>
      <c r="K17" s="763"/>
      <c r="L17" s="763"/>
      <c r="M17" s="763"/>
      <c r="N17" s="763"/>
      <c r="O17" s="763"/>
      <c r="P17" s="763"/>
      <c r="Q17" s="763"/>
      <c r="R17" s="763"/>
      <c r="S17" s="763"/>
      <c r="T17" s="763"/>
      <c r="U17" s="763"/>
      <c r="V17" s="763"/>
      <c r="W17" s="763">
        <f t="shared" si="4"/>
        <v>20849.400000000001</v>
      </c>
      <c r="X17" s="763">
        <f t="shared" si="4"/>
        <v>20849.400000000001</v>
      </c>
      <c r="Y17" s="763">
        <f t="shared" si="4"/>
        <v>20849.400000000001</v>
      </c>
      <c r="Z17" s="763">
        <f t="shared" si="4"/>
        <v>20849.400000000001</v>
      </c>
      <c r="AA17" s="763">
        <f t="shared" si="4"/>
        <v>20849.400000000001</v>
      </c>
      <c r="AB17" s="763">
        <f t="shared" si="4"/>
        <v>20849.400000000001</v>
      </c>
      <c r="AC17" s="763">
        <f t="shared" si="4"/>
        <v>20849.400000000001</v>
      </c>
      <c r="AD17" s="763">
        <f t="shared" si="4"/>
        <v>20849.400000000001</v>
      </c>
      <c r="AE17" s="763">
        <f t="shared" si="4"/>
        <v>20849.400000000001</v>
      </c>
      <c r="AF17" s="763">
        <f t="shared" si="4"/>
        <v>20849.400000000001</v>
      </c>
      <c r="AG17" s="763">
        <f t="shared" si="4"/>
        <v>20849.400000000001</v>
      </c>
      <c r="AH17" s="763">
        <f t="shared" si="4"/>
        <v>20849.400000000001</v>
      </c>
      <c r="AI17" s="763">
        <f t="shared" si="4"/>
        <v>20849.400000000001</v>
      </c>
      <c r="AJ17" s="763">
        <f t="shared" si="4"/>
        <v>20849.400000000001</v>
      </c>
      <c r="AK17" s="763">
        <f t="shared" si="4"/>
        <v>20849.400000000001</v>
      </c>
      <c r="AL17" s="763">
        <f t="shared" si="4"/>
        <v>20849.400000000001</v>
      </c>
      <c r="AM17" s="764"/>
      <c r="AN17" s="764"/>
      <c r="AO17" s="764"/>
      <c r="AP17" s="764"/>
      <c r="AQ17" s="764"/>
      <c r="AR17" s="764"/>
      <c r="AS17" s="764"/>
      <c r="AT17" s="764"/>
      <c r="AU17" s="764"/>
      <c r="AV17" s="764">
        <f t="shared" si="8"/>
        <v>333590.40000000002</v>
      </c>
      <c r="AW17" s="764">
        <f t="shared" si="3"/>
        <v>333590.40000000002</v>
      </c>
      <c r="AX17" s="764">
        <f t="shared" si="5"/>
        <v>0</v>
      </c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</row>
    <row r="18" spans="1:74">
      <c r="A18" s="761" t="str">
        <f>'MN Financial'!A48</f>
        <v>Taxes</v>
      </c>
      <c r="B18" s="762">
        <f>'MN Financial'!C48</f>
        <v>29968.723680000003</v>
      </c>
      <c r="C18" s="767"/>
      <c r="D18" s="763"/>
      <c r="E18" s="763"/>
      <c r="F18" s="763"/>
      <c r="G18" s="766"/>
      <c r="H18" s="763"/>
      <c r="I18" s="763"/>
      <c r="J18" s="763"/>
      <c r="K18" s="763"/>
      <c r="L18" s="763"/>
      <c r="M18" s="763"/>
      <c r="N18" s="763"/>
      <c r="O18" s="763"/>
      <c r="P18" s="763"/>
      <c r="Q18" s="214"/>
      <c r="R18" s="763"/>
      <c r="S18" s="763"/>
      <c r="T18" s="763"/>
      <c r="U18" s="763"/>
      <c r="V18" s="763"/>
      <c r="W18" s="763">
        <f t="shared" si="4"/>
        <v>1873.0452300000002</v>
      </c>
      <c r="X18" s="763">
        <f t="shared" si="4"/>
        <v>1873.0452300000002</v>
      </c>
      <c r="Y18" s="763">
        <f t="shared" si="4"/>
        <v>1873.0452300000002</v>
      </c>
      <c r="Z18" s="763">
        <f t="shared" si="4"/>
        <v>1873.0452300000002</v>
      </c>
      <c r="AA18" s="763">
        <f t="shared" si="4"/>
        <v>1873.0452300000002</v>
      </c>
      <c r="AB18" s="763">
        <f t="shared" si="4"/>
        <v>1873.0452300000002</v>
      </c>
      <c r="AC18" s="763">
        <f t="shared" si="4"/>
        <v>1873.0452300000002</v>
      </c>
      <c r="AD18" s="763">
        <f t="shared" si="4"/>
        <v>1873.0452300000002</v>
      </c>
      <c r="AE18" s="763">
        <f t="shared" si="4"/>
        <v>1873.0452300000002</v>
      </c>
      <c r="AF18" s="763">
        <f t="shared" si="4"/>
        <v>1873.0452300000002</v>
      </c>
      <c r="AG18" s="763">
        <f t="shared" si="4"/>
        <v>1873.0452300000002</v>
      </c>
      <c r="AH18" s="763">
        <f t="shared" si="4"/>
        <v>1873.0452300000002</v>
      </c>
      <c r="AI18" s="763">
        <f t="shared" si="4"/>
        <v>1873.0452300000002</v>
      </c>
      <c r="AJ18" s="763">
        <f t="shared" si="4"/>
        <v>1873.0452300000002</v>
      </c>
      <c r="AK18" s="763">
        <f t="shared" si="4"/>
        <v>1873.0452300000002</v>
      </c>
      <c r="AL18" s="763">
        <f t="shared" si="4"/>
        <v>1873.0452300000002</v>
      </c>
      <c r="AM18" s="764"/>
      <c r="AN18" s="764"/>
      <c r="AO18" s="764"/>
      <c r="AP18" s="764"/>
      <c r="AQ18" s="764"/>
      <c r="AR18" s="764"/>
      <c r="AT18" s="764"/>
      <c r="AU18" s="764"/>
      <c r="AV18" s="764">
        <f t="shared" si="8"/>
        <v>29968.723679999999</v>
      </c>
      <c r="AW18" s="764">
        <f t="shared" si="3"/>
        <v>29968.723680000003</v>
      </c>
      <c r="AX18" s="764">
        <f t="shared" si="5"/>
        <v>0</v>
      </c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</row>
    <row r="19" spans="1:74">
      <c r="A19" s="761" t="str">
        <f>'MN Financial'!A49</f>
        <v>Insurance</v>
      </c>
      <c r="B19" s="762">
        <f>'MN Financial'!C49</f>
        <v>123628.65333073918</v>
      </c>
      <c r="C19" s="767"/>
      <c r="D19" s="766"/>
      <c r="E19" s="766"/>
      <c r="F19" s="763"/>
      <c r="G19" s="763"/>
      <c r="H19" s="763"/>
      <c r="I19" s="763"/>
      <c r="J19" s="763"/>
      <c r="K19" s="763"/>
      <c r="L19" s="767"/>
      <c r="M19" s="763"/>
      <c r="N19" s="763"/>
      <c r="O19" s="763"/>
      <c r="P19" s="763"/>
      <c r="Q19" s="763"/>
      <c r="R19" s="763"/>
      <c r="S19" s="763"/>
      <c r="T19" s="214"/>
      <c r="U19" s="763"/>
      <c r="V19" s="763"/>
      <c r="W19" s="763">
        <f t="shared" si="4"/>
        <v>7726.7908331711988</v>
      </c>
      <c r="X19" s="763">
        <f t="shared" si="4"/>
        <v>7726.7908331711988</v>
      </c>
      <c r="Y19" s="763">
        <f t="shared" si="4"/>
        <v>7726.7908331711988</v>
      </c>
      <c r="Z19" s="763">
        <f t="shared" si="4"/>
        <v>7726.7908331711988</v>
      </c>
      <c r="AA19" s="763">
        <f t="shared" si="4"/>
        <v>7726.7908331711988</v>
      </c>
      <c r="AB19" s="763">
        <f t="shared" si="4"/>
        <v>7726.7908331711988</v>
      </c>
      <c r="AC19" s="763">
        <f t="shared" si="4"/>
        <v>7726.7908331711988</v>
      </c>
      <c r="AD19" s="763">
        <f t="shared" si="4"/>
        <v>7726.7908331711988</v>
      </c>
      <c r="AE19" s="763">
        <f t="shared" si="4"/>
        <v>7726.7908331711988</v>
      </c>
      <c r="AF19" s="763">
        <f t="shared" si="4"/>
        <v>7726.7908331711988</v>
      </c>
      <c r="AG19" s="763">
        <f t="shared" si="4"/>
        <v>7726.7908331711988</v>
      </c>
      <c r="AH19" s="763">
        <f t="shared" si="4"/>
        <v>7726.7908331711988</v>
      </c>
      <c r="AI19" s="763">
        <f t="shared" si="4"/>
        <v>7726.7908331711988</v>
      </c>
      <c r="AJ19" s="763">
        <f t="shared" si="4"/>
        <v>7726.7908331711988</v>
      </c>
      <c r="AK19" s="763">
        <f t="shared" si="4"/>
        <v>7726.7908331711988</v>
      </c>
      <c r="AL19" s="763">
        <f t="shared" si="4"/>
        <v>7726.7908331711988</v>
      </c>
      <c r="AM19" s="764"/>
      <c r="AN19" s="764"/>
      <c r="AO19" s="764"/>
      <c r="AP19" s="764"/>
      <c r="AQ19" s="764"/>
      <c r="AR19" s="764"/>
      <c r="AS19" s="764"/>
      <c r="AT19" s="764"/>
      <c r="AU19" s="764"/>
      <c r="AV19" s="764">
        <f t="shared" si="8"/>
        <v>123628.65333073914</v>
      </c>
      <c r="AW19" s="764">
        <f t="shared" si="3"/>
        <v>123628.65333073918</v>
      </c>
      <c r="AX19" s="764">
        <f t="shared" si="5"/>
        <v>0</v>
      </c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</row>
    <row r="20" spans="1:74">
      <c r="A20" s="761" t="str">
        <f>'MN Financial'!A50</f>
        <v>Marketing, FFE and Preleasing</v>
      </c>
      <c r="B20" s="762">
        <f>'MN Financial'!C50</f>
        <v>10000</v>
      </c>
      <c r="C20" s="767"/>
      <c r="D20" s="763"/>
      <c r="E20" s="763"/>
      <c r="F20" s="763"/>
      <c r="G20" s="763"/>
      <c r="H20" s="763"/>
      <c r="I20" s="763"/>
      <c r="J20" s="763"/>
      <c r="K20" s="763"/>
      <c r="L20" s="763"/>
      <c r="M20" s="763"/>
      <c r="N20" s="763"/>
      <c r="O20" s="763"/>
      <c r="P20" s="763"/>
      <c r="Q20" s="763"/>
      <c r="R20" s="763"/>
      <c r="S20" s="763"/>
      <c r="T20" s="763"/>
      <c r="U20" s="763"/>
      <c r="V20" s="763"/>
      <c r="W20" s="763"/>
      <c r="X20" s="763"/>
      <c r="Y20" s="763"/>
      <c r="Z20" s="763"/>
      <c r="AA20" s="763"/>
      <c r="AB20" s="763"/>
      <c r="AC20" s="763"/>
      <c r="AD20" s="763"/>
      <c r="AE20" s="763"/>
      <c r="AF20" s="763"/>
      <c r="AG20" s="763"/>
      <c r="AH20" s="763"/>
      <c r="AI20" s="763"/>
      <c r="AJ20" s="763"/>
      <c r="AK20" s="763"/>
      <c r="AL20" s="763"/>
      <c r="AM20" s="764">
        <f>$B$20*0.25</f>
        <v>2500</v>
      </c>
      <c r="AN20" s="764">
        <f t="shared" ref="AN20:AP20" si="10">$B$20*0.25</f>
        <v>2500</v>
      </c>
      <c r="AO20" s="764">
        <f t="shared" si="10"/>
        <v>2500</v>
      </c>
      <c r="AP20" s="764">
        <f t="shared" si="10"/>
        <v>2500</v>
      </c>
      <c r="AQ20" s="764"/>
      <c r="AR20" s="764"/>
      <c r="AS20" s="509"/>
      <c r="AT20" s="509"/>
      <c r="AU20" s="509"/>
      <c r="AV20" s="764">
        <f t="shared" si="8"/>
        <v>10000</v>
      </c>
      <c r="AW20" s="764">
        <f t="shared" si="3"/>
        <v>10000</v>
      </c>
      <c r="AX20" s="764">
        <f t="shared" si="5"/>
        <v>0</v>
      </c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</row>
    <row r="21" spans="1:74">
      <c r="A21" s="761" t="str">
        <f>'MN Financial'!A52</f>
        <v>Retail Tenant Improvements</v>
      </c>
      <c r="B21" s="762">
        <f>'MN Financial'!C52</f>
        <v>0</v>
      </c>
      <c r="C21" s="767"/>
      <c r="D21" s="763"/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4"/>
      <c r="AN21" s="764"/>
      <c r="AO21" s="764"/>
      <c r="AP21" s="764"/>
      <c r="AQ21" s="764"/>
      <c r="AR21" s="764"/>
      <c r="AS21" s="764"/>
      <c r="AT21" s="764"/>
      <c r="AU21" s="764"/>
      <c r="AV21" s="764">
        <f t="shared" si="8"/>
        <v>0</v>
      </c>
      <c r="AW21" s="764">
        <f t="shared" si="3"/>
        <v>0</v>
      </c>
      <c r="AX21" s="764">
        <f t="shared" si="5"/>
        <v>0</v>
      </c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</row>
    <row r="22" spans="1:74">
      <c r="A22" s="761" t="str">
        <f>'MN Financial'!A53</f>
        <v>Retail brokerage</v>
      </c>
      <c r="B22" s="762">
        <f>'MN Financial'!C53</f>
        <v>0</v>
      </c>
      <c r="C22" s="767"/>
      <c r="D22" s="763"/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4"/>
      <c r="AN22" s="764"/>
      <c r="AO22" s="764"/>
      <c r="AP22" s="764"/>
      <c r="AQ22" s="764"/>
      <c r="AR22" s="764"/>
      <c r="AS22" s="764"/>
      <c r="AT22" s="764"/>
      <c r="AU22" s="764"/>
      <c r="AV22" s="764">
        <f t="shared" si="8"/>
        <v>0</v>
      </c>
      <c r="AW22" s="764">
        <f t="shared" si="3"/>
        <v>0</v>
      </c>
      <c r="AX22" s="764">
        <f t="shared" si="5"/>
        <v>0</v>
      </c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</row>
    <row r="23" spans="1:74">
      <c r="A23" s="761" t="str">
        <f>'MN Financial'!A54</f>
        <v>Construction Loan Origination</v>
      </c>
      <c r="B23" s="762">
        <f>'MN Financial'!C54</f>
        <v>182829.09586402922</v>
      </c>
      <c r="C23" s="763"/>
      <c r="D23" s="763"/>
      <c r="E23" s="763"/>
      <c r="F23" s="763"/>
      <c r="G23" s="763"/>
      <c r="H23" s="763"/>
      <c r="I23" s="763"/>
      <c r="J23" s="763"/>
      <c r="K23" s="763"/>
      <c r="L23" s="763"/>
      <c r="M23" s="214"/>
      <c r="N23" s="763"/>
      <c r="O23" s="763"/>
      <c r="P23" s="214"/>
      <c r="Q23" s="763"/>
      <c r="R23" s="763"/>
      <c r="S23" s="763"/>
      <c r="T23" s="763"/>
      <c r="U23" s="763"/>
      <c r="V23" s="763"/>
      <c r="W23" s="763">
        <f>$B23</f>
        <v>182829.09586402922</v>
      </c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4"/>
      <c r="AN23" s="764"/>
      <c r="AO23" s="764"/>
      <c r="AP23" s="764"/>
      <c r="AS23" s="764"/>
      <c r="AT23" s="764"/>
      <c r="AU23" s="764"/>
      <c r="AV23" s="764">
        <f t="shared" si="8"/>
        <v>182829.09586402922</v>
      </c>
      <c r="AW23" s="764">
        <f t="shared" si="3"/>
        <v>182829.09586402922</v>
      </c>
      <c r="AX23" s="764">
        <f t="shared" si="5"/>
        <v>0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</row>
    <row r="24" spans="1:74">
      <c r="A24" s="761" t="str">
        <f>'MN Financial'!A55</f>
        <v>Construction Interest</v>
      </c>
      <c r="B24" s="762">
        <f>'MN Financial'!C55</f>
        <v>853202.44736546976</v>
      </c>
      <c r="C24" s="773"/>
      <c r="D24" s="763"/>
      <c r="E24" s="763"/>
      <c r="F24" s="763"/>
      <c r="G24" s="763"/>
      <c r="H24" s="763"/>
      <c r="I24" s="763"/>
      <c r="J24" s="763"/>
      <c r="K24" s="763"/>
      <c r="L24" s="763"/>
      <c r="M24" s="763"/>
      <c r="N24" s="763"/>
      <c r="O24" s="763"/>
      <c r="P24" s="763"/>
      <c r="Q24" s="763"/>
      <c r="R24" s="763"/>
      <c r="S24" s="763"/>
      <c r="T24" s="763"/>
      <c r="U24" s="763"/>
      <c r="V24" s="763"/>
      <c r="W24" s="763">
        <f t="shared" si="4"/>
        <v>53325.15296034186</v>
      </c>
      <c r="X24" s="763">
        <f t="shared" ref="X24:AL24" si="11">$B24*X$4</f>
        <v>53325.15296034186</v>
      </c>
      <c r="Y24" s="763">
        <f t="shared" si="11"/>
        <v>53325.15296034186</v>
      </c>
      <c r="Z24" s="763">
        <f t="shared" si="11"/>
        <v>53325.15296034186</v>
      </c>
      <c r="AA24" s="763">
        <f t="shared" si="11"/>
        <v>53325.15296034186</v>
      </c>
      <c r="AB24" s="763">
        <f t="shared" si="11"/>
        <v>53325.15296034186</v>
      </c>
      <c r="AC24" s="763">
        <f t="shared" si="11"/>
        <v>53325.15296034186</v>
      </c>
      <c r="AD24" s="763">
        <f t="shared" si="11"/>
        <v>53325.15296034186</v>
      </c>
      <c r="AE24" s="763">
        <f t="shared" si="11"/>
        <v>53325.15296034186</v>
      </c>
      <c r="AF24" s="763">
        <f t="shared" si="11"/>
        <v>53325.15296034186</v>
      </c>
      <c r="AG24" s="763">
        <f t="shared" si="11"/>
        <v>53325.15296034186</v>
      </c>
      <c r="AH24" s="763">
        <f t="shared" si="11"/>
        <v>53325.15296034186</v>
      </c>
      <c r="AI24" s="763">
        <f t="shared" si="11"/>
        <v>53325.15296034186</v>
      </c>
      <c r="AJ24" s="763">
        <f t="shared" si="11"/>
        <v>53325.15296034186</v>
      </c>
      <c r="AK24" s="763">
        <f t="shared" si="11"/>
        <v>53325.15296034186</v>
      </c>
      <c r="AL24" s="763">
        <f t="shared" si="11"/>
        <v>53325.15296034186</v>
      </c>
      <c r="AM24" s="764"/>
      <c r="AN24" s="764"/>
      <c r="AO24" s="764"/>
      <c r="AP24" s="764"/>
      <c r="AQ24" s="764"/>
      <c r="AR24" s="764"/>
      <c r="AS24" s="764"/>
      <c r="AT24" s="764"/>
      <c r="AU24" s="764"/>
      <c r="AV24" s="764">
        <f t="shared" si="8"/>
        <v>853202.44736547011</v>
      </c>
      <c r="AW24" s="764">
        <f t="shared" si="3"/>
        <v>853202.44736546976</v>
      </c>
      <c r="AX24" s="764">
        <f t="shared" si="5"/>
        <v>0</v>
      </c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</row>
    <row r="25" spans="1:74" ht="15" thickBot="1">
      <c r="A25" s="761" t="str">
        <f>'MN Financial'!A56</f>
        <v>Additional Contingency</v>
      </c>
      <c r="B25" s="774">
        <f>'MN Financial'!C56</f>
        <v>0</v>
      </c>
      <c r="C25" s="775"/>
      <c r="D25" s="775"/>
      <c r="E25" s="775"/>
      <c r="F25" s="775"/>
      <c r="G25" s="775"/>
      <c r="H25" s="775"/>
      <c r="I25" s="775"/>
      <c r="J25" s="775"/>
      <c r="K25" s="775"/>
      <c r="L25" s="775"/>
      <c r="M25" s="775"/>
      <c r="N25" s="775"/>
      <c r="O25" s="775"/>
      <c r="P25" s="775"/>
      <c r="Q25" s="775"/>
      <c r="R25" s="775"/>
      <c r="S25" s="775"/>
      <c r="T25" s="775"/>
      <c r="U25" s="775"/>
      <c r="V25" s="775"/>
      <c r="W25" s="775"/>
      <c r="X25" s="775"/>
      <c r="Y25" s="775"/>
      <c r="Z25" s="775"/>
      <c r="AA25" s="775"/>
      <c r="AB25" s="775"/>
      <c r="AC25" s="775"/>
      <c r="AD25" s="775"/>
      <c r="AE25" s="775"/>
      <c r="AF25" s="775"/>
      <c r="AG25" s="775"/>
      <c r="AH25" s="775"/>
      <c r="AI25" s="775"/>
      <c r="AJ25" s="775"/>
      <c r="AK25" s="775"/>
      <c r="AL25" s="775"/>
      <c r="AM25" s="776"/>
      <c r="AN25" s="776"/>
      <c r="AO25" s="776"/>
      <c r="AP25" s="776"/>
      <c r="AQ25" s="776"/>
      <c r="AR25" s="776"/>
      <c r="AS25" s="776"/>
      <c r="AT25" s="776"/>
      <c r="AU25" s="776"/>
      <c r="AV25" s="776">
        <f t="shared" si="8"/>
        <v>0</v>
      </c>
      <c r="AW25" s="776">
        <f t="shared" si="3"/>
        <v>0</v>
      </c>
      <c r="AX25" s="764">
        <f t="shared" si="5"/>
        <v>0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</row>
    <row r="26" spans="1:74" ht="15.6" thickTop="1" thickBot="1">
      <c r="A26" s="761" t="str">
        <f>'MN Financial'!A57</f>
        <v>Total Project Cost</v>
      </c>
      <c r="B26" s="777">
        <f t="shared" ref="B26:T26" si="12">SUM(B5:B25)</f>
        <v>21350375.528121635</v>
      </c>
      <c r="C26" s="128">
        <f t="shared" si="12"/>
        <v>0</v>
      </c>
      <c r="D26" s="128">
        <f t="shared" si="12"/>
        <v>0</v>
      </c>
      <c r="E26" s="128">
        <f t="shared" si="12"/>
        <v>0</v>
      </c>
      <c r="F26" s="128">
        <f t="shared" si="12"/>
        <v>0</v>
      </c>
      <c r="G26" s="128">
        <f t="shared" si="12"/>
        <v>0</v>
      </c>
      <c r="H26" s="128">
        <f t="shared" si="12"/>
        <v>877213.00338000013</v>
      </c>
      <c r="I26" s="128">
        <f t="shared" si="12"/>
        <v>116756.64000000001</v>
      </c>
      <c r="J26" s="128">
        <f t="shared" si="12"/>
        <v>116756.64000000001</v>
      </c>
      <c r="K26" s="128">
        <f t="shared" si="12"/>
        <v>116756.64000000001</v>
      </c>
      <c r="L26" s="128">
        <f t="shared" si="12"/>
        <v>116756.64000000001</v>
      </c>
      <c r="M26" s="128">
        <f t="shared" si="12"/>
        <v>116756.64000000001</v>
      </c>
      <c r="N26" s="128">
        <f t="shared" si="12"/>
        <v>116756.64000000001</v>
      </c>
      <c r="O26" s="128">
        <f t="shared" si="12"/>
        <v>116756.64000000001</v>
      </c>
      <c r="P26" s="128">
        <f t="shared" si="12"/>
        <v>116756.64000000001</v>
      </c>
      <c r="Q26" s="128">
        <f t="shared" si="12"/>
        <v>116756.64000000001</v>
      </c>
      <c r="R26" s="128">
        <f t="shared" si="12"/>
        <v>131000</v>
      </c>
      <c r="S26" s="128">
        <f t="shared" si="12"/>
        <v>0</v>
      </c>
      <c r="T26" s="128">
        <f t="shared" si="12"/>
        <v>0</v>
      </c>
      <c r="U26" s="128">
        <f t="shared" ref="U26:AP26" si="13">SUM(U5:U25)</f>
        <v>0</v>
      </c>
      <c r="V26" s="128">
        <f t="shared" si="13"/>
        <v>0</v>
      </c>
      <c r="W26" s="128">
        <f t="shared" si="13"/>
        <v>1376486.8251688797</v>
      </c>
      <c r="X26" s="128">
        <f t="shared" si="13"/>
        <v>1193657.7293048506</v>
      </c>
      <c r="Y26" s="128">
        <f t="shared" si="13"/>
        <v>1193657.7293048506</v>
      </c>
      <c r="Z26" s="128">
        <f t="shared" si="13"/>
        <v>1193657.7293048506</v>
      </c>
      <c r="AA26" s="128">
        <f t="shared" si="13"/>
        <v>1193657.7293048506</v>
      </c>
      <c r="AB26" s="128">
        <f t="shared" si="13"/>
        <v>1193657.7293048506</v>
      </c>
      <c r="AC26" s="128">
        <f t="shared" si="13"/>
        <v>1193657.7293048506</v>
      </c>
      <c r="AD26" s="128">
        <f t="shared" si="13"/>
        <v>1193657.7293048506</v>
      </c>
      <c r="AE26" s="128">
        <f t="shared" si="13"/>
        <v>1193657.7293048506</v>
      </c>
      <c r="AF26" s="128">
        <f t="shared" si="13"/>
        <v>1193657.7293048506</v>
      </c>
      <c r="AG26" s="128">
        <f t="shared" si="13"/>
        <v>1193657.7293048506</v>
      </c>
      <c r="AH26" s="128">
        <f t="shared" si="13"/>
        <v>1193657.7293048506</v>
      </c>
      <c r="AI26" s="128">
        <f t="shared" si="13"/>
        <v>1193657.7293048506</v>
      </c>
      <c r="AJ26" s="128">
        <f t="shared" si="13"/>
        <v>1193657.7293048506</v>
      </c>
      <c r="AK26" s="128">
        <f t="shared" si="13"/>
        <v>1193657.7293048506</v>
      </c>
      <c r="AL26" s="128">
        <f t="shared" si="13"/>
        <v>1193657.7293048506</v>
      </c>
      <c r="AM26" s="128">
        <f t="shared" si="13"/>
        <v>2500</v>
      </c>
      <c r="AN26" s="128">
        <f t="shared" si="13"/>
        <v>2500</v>
      </c>
      <c r="AO26" s="128">
        <f t="shared" si="13"/>
        <v>2500</v>
      </c>
      <c r="AP26" s="128">
        <f t="shared" si="13"/>
        <v>2500</v>
      </c>
      <c r="AQ26" s="128"/>
      <c r="AR26" s="128"/>
      <c r="AS26" s="128"/>
      <c r="AT26" s="128"/>
      <c r="AU26" s="128"/>
      <c r="AV26" s="125">
        <f>SUM(AV5:AV25)</f>
        <v>21350375.528121635</v>
      </c>
      <c r="AW26" s="124">
        <f>SUM(AW5:AW25)</f>
        <v>21350375.528121635</v>
      </c>
      <c r="AX26" s="124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</row>
    <row r="27" spans="1:74" ht="15" thickTop="1">
      <c r="A27" s="126" t="s">
        <v>346</v>
      </c>
      <c r="B27" s="127">
        <f>'MN Financial'!B65</f>
        <v>-13026000</v>
      </c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5"/>
      <c r="AW27" s="124"/>
      <c r="AX27" s="124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</row>
    <row r="28" spans="1:74" ht="15" thickBot="1">
      <c r="A28" s="778" t="s">
        <v>347</v>
      </c>
      <c r="B28" s="779">
        <f>B26+B27</f>
        <v>8324375.5281216353</v>
      </c>
      <c r="C28" s="772"/>
      <c r="D28" s="772"/>
      <c r="E28" s="772"/>
      <c r="F28" s="772"/>
      <c r="G28" s="772"/>
      <c r="H28" s="772"/>
      <c r="I28" s="772"/>
      <c r="J28" s="772"/>
      <c r="K28" s="772"/>
      <c r="L28" s="772"/>
      <c r="M28" s="772"/>
      <c r="N28" s="772"/>
      <c r="O28" s="772"/>
      <c r="P28" s="772"/>
      <c r="Q28" s="772"/>
      <c r="R28" s="772"/>
      <c r="S28" s="772"/>
      <c r="T28" s="772"/>
      <c r="U28" s="772"/>
      <c r="V28" s="772"/>
      <c r="W28" s="772"/>
      <c r="X28" s="772"/>
      <c r="Y28" s="772"/>
      <c r="Z28" s="772"/>
      <c r="AA28" s="772"/>
      <c r="AB28" s="772"/>
      <c r="AC28" s="772"/>
      <c r="AD28" s="772"/>
      <c r="AE28" s="772"/>
      <c r="AF28" s="772"/>
      <c r="AG28" s="772"/>
      <c r="AH28" s="772"/>
      <c r="AI28" s="772"/>
      <c r="AJ28" s="772"/>
      <c r="AK28" s="772"/>
      <c r="AL28" s="772"/>
      <c r="AM28" s="772"/>
      <c r="AN28" s="772"/>
      <c r="AO28" s="772"/>
      <c r="AP28" s="772"/>
      <c r="AQ28" s="772"/>
      <c r="AR28" s="772"/>
      <c r="AS28" s="772"/>
      <c r="AT28" s="772"/>
      <c r="AU28" s="509"/>
      <c r="AV28" s="780"/>
      <c r="AW28" s="780"/>
      <c r="AX28" s="780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</row>
    <row r="29" spans="1:74">
      <c r="A29" s="781" t="s">
        <v>348</v>
      </c>
      <c r="B29" s="782">
        <f>SUM(C29:AU29)</f>
        <v>3329750.2112486544</v>
      </c>
      <c r="C29" s="764">
        <f>C26</f>
        <v>0</v>
      </c>
      <c r="D29" s="764">
        <f t="shared" ref="D29:AJ29" si="14">IF(C30+D26&lt;=$B$30,D26,($B$30-C30))</f>
        <v>0</v>
      </c>
      <c r="E29" s="764">
        <f t="shared" si="14"/>
        <v>0</v>
      </c>
      <c r="F29" s="764">
        <f t="shared" si="14"/>
        <v>0</v>
      </c>
      <c r="G29" s="764">
        <f t="shared" si="14"/>
        <v>0</v>
      </c>
      <c r="H29" s="764">
        <f t="shared" si="14"/>
        <v>877213.00338000013</v>
      </c>
      <c r="I29" s="764">
        <f t="shared" si="14"/>
        <v>116756.64000000001</v>
      </c>
      <c r="J29" s="764">
        <f t="shared" si="14"/>
        <v>116756.64000000001</v>
      </c>
      <c r="K29" s="764">
        <f t="shared" si="14"/>
        <v>116756.64000000001</v>
      </c>
      <c r="L29" s="764">
        <f t="shared" si="14"/>
        <v>116756.64000000001</v>
      </c>
      <c r="M29" s="764">
        <f t="shared" si="14"/>
        <v>116756.64000000001</v>
      </c>
      <c r="N29" s="764">
        <f t="shared" si="14"/>
        <v>116756.64000000001</v>
      </c>
      <c r="O29" s="764">
        <f t="shared" si="14"/>
        <v>116756.64000000001</v>
      </c>
      <c r="P29" s="764">
        <f t="shared" si="14"/>
        <v>116756.64000000001</v>
      </c>
      <c r="Q29" s="764">
        <f t="shared" si="14"/>
        <v>116756.64000000001</v>
      </c>
      <c r="R29" s="764">
        <f t="shared" si="14"/>
        <v>131000</v>
      </c>
      <c r="S29" s="764">
        <f t="shared" si="14"/>
        <v>0</v>
      </c>
      <c r="T29" s="764">
        <f t="shared" si="14"/>
        <v>0</v>
      </c>
      <c r="U29" s="764">
        <f t="shared" si="14"/>
        <v>0</v>
      </c>
      <c r="V29" s="764">
        <f t="shared" si="14"/>
        <v>0</v>
      </c>
      <c r="W29" s="764">
        <f t="shared" si="14"/>
        <v>1270727.4478686536</v>
      </c>
      <c r="X29" s="764">
        <f t="shared" si="14"/>
        <v>0</v>
      </c>
      <c r="Y29" s="764">
        <f t="shared" si="14"/>
        <v>0</v>
      </c>
      <c r="Z29" s="764">
        <f t="shared" si="14"/>
        <v>0</v>
      </c>
      <c r="AA29" s="764">
        <f t="shared" si="14"/>
        <v>0</v>
      </c>
      <c r="AB29" s="764">
        <f t="shared" si="14"/>
        <v>0</v>
      </c>
      <c r="AC29" s="764">
        <f t="shared" si="14"/>
        <v>0</v>
      </c>
      <c r="AD29" s="764">
        <f t="shared" si="14"/>
        <v>0</v>
      </c>
      <c r="AE29" s="764">
        <f t="shared" si="14"/>
        <v>0</v>
      </c>
      <c r="AF29" s="764">
        <f t="shared" si="14"/>
        <v>0</v>
      </c>
      <c r="AG29" s="764">
        <f t="shared" si="14"/>
        <v>0</v>
      </c>
      <c r="AH29" s="764">
        <f t="shared" si="14"/>
        <v>0</v>
      </c>
      <c r="AI29" s="764">
        <f t="shared" si="14"/>
        <v>0</v>
      </c>
      <c r="AJ29" s="764">
        <f t="shared" si="14"/>
        <v>0</v>
      </c>
      <c r="AK29" s="764">
        <f t="shared" ref="AK29" si="15">IF(AJ30+AK26&lt;=$B$30,AK26,($B$30-AJ30))</f>
        <v>0</v>
      </c>
      <c r="AL29" s="764">
        <f t="shared" ref="AL29" si="16">IF(AK30+AL26&lt;=$B$30,AL26,($B$30-AK30))</f>
        <v>0</v>
      </c>
      <c r="AM29" s="764">
        <f t="shared" ref="AM29" si="17">IF(AL30+AM26&lt;=$B$30,AM26,($B$30-AL30))</f>
        <v>0</v>
      </c>
      <c r="AN29" s="764">
        <f t="shared" ref="AN29" si="18">IF(AM30+AN26&lt;=$B$30,AN26,($B$30-AM30))</f>
        <v>0</v>
      </c>
      <c r="AO29" s="764">
        <f t="shared" ref="AO29" si="19">IF(AN30+AO26&lt;=$B$30,AO26,($B$30-AN30))</f>
        <v>0</v>
      </c>
      <c r="AP29" s="764">
        <f t="shared" ref="AP29" si="20">IF(AO30+AP26&lt;=$B$30,AP26,($B$30-AO30))</f>
        <v>0</v>
      </c>
      <c r="AQ29" s="764"/>
      <c r="AR29" s="764"/>
      <c r="AS29" s="764"/>
      <c r="AT29" s="764"/>
      <c r="AU29" s="764"/>
      <c r="AV29" s="783"/>
      <c r="AW29" s="783"/>
      <c r="AX29" s="783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</row>
    <row r="30" spans="1:74" ht="15" thickBot="1">
      <c r="A30" s="761" t="s">
        <v>349</v>
      </c>
      <c r="B30" s="784">
        <f>'MN Financial'!B68</f>
        <v>3329750.2112486544</v>
      </c>
      <c r="C30" s="764">
        <f>C29</f>
        <v>0</v>
      </c>
      <c r="D30" s="764">
        <f>IF(SUM($C$29:D$29)&lt;=$B30,SUM($C$29:D$29),0)</f>
        <v>0</v>
      </c>
      <c r="E30" s="764">
        <f>IF(SUM($C$29:E29)&lt;=$B30,SUM($C$29:E29),0)</f>
        <v>0</v>
      </c>
      <c r="F30" s="764">
        <f>IF(SUM($C$29:F29)&lt;=$B30,SUM($C$29:F29),0)</f>
        <v>0</v>
      </c>
      <c r="G30" s="764">
        <f>IF(SUM($C$29:G29)&lt;=$B30,SUM($C$29:G29),0)</f>
        <v>0</v>
      </c>
      <c r="H30" s="764">
        <f>IF(SUM($C$29:H29)&lt;=$B30,SUM($C$29:H29),0)</f>
        <v>877213.00338000013</v>
      </c>
      <c r="I30" s="764">
        <f>IF(SUM($C$29:I29)&lt;=$B30,SUM($C$29:I29),0)</f>
        <v>993969.64338000014</v>
      </c>
      <c r="J30" s="764">
        <f>IF(SUM($C$29:J29)&lt;=$B30,SUM($C$29:J29),0)</f>
        <v>1110726.2833800002</v>
      </c>
      <c r="K30" s="764">
        <f>IF(SUM($C$29:K29)&lt;=$B30,SUM($C$29:K29),0)</f>
        <v>1227482.9233800001</v>
      </c>
      <c r="L30" s="764">
        <f>IF(SUM($C$29:L29)&lt;=$B30,SUM($C$29:L29),0)</f>
        <v>1344239.5633800002</v>
      </c>
      <c r="M30" s="764">
        <f>IF(SUM($C$29:M29)&lt;=$B30,SUM($C$29:M29),0)</f>
        <v>1460996.2033800003</v>
      </c>
      <c r="N30" s="764">
        <f>IF(SUM($C$29:N29)&lt;=$B30,SUM($C$29:N29),0)</f>
        <v>1577752.8433800004</v>
      </c>
      <c r="O30" s="764">
        <f>IF(SUM($C$29:O29)&lt;=$B30,SUM($C$29:O29),0)</f>
        <v>1694509.4833800006</v>
      </c>
      <c r="P30" s="764">
        <f>IF(SUM($C$29:P29)&lt;=$B30,SUM($C$29:P29),0)</f>
        <v>1811266.1233800007</v>
      </c>
      <c r="Q30" s="764">
        <f>IF(SUM($C$29:Q29)&lt;=$B30,SUM($C$29:Q29),0)</f>
        <v>1928022.7633800008</v>
      </c>
      <c r="R30" s="764">
        <f>IF(SUM($C$29:R29)&lt;=$B30,SUM($C$29:R29),0)</f>
        <v>2059022.7633800008</v>
      </c>
      <c r="S30" s="764">
        <f>IF(SUM($C$29:S29)&lt;=$B30,SUM($C$29:S29),0)</f>
        <v>2059022.7633800008</v>
      </c>
      <c r="T30" s="764">
        <f>IF(SUM($C$29:T29)&lt;=$B30,SUM($C$29:T29),0)</f>
        <v>2059022.7633800008</v>
      </c>
      <c r="U30" s="764">
        <f>IF(SUM($C$29:U29)&lt;=$B30,SUM($C$29:U29),0)</f>
        <v>2059022.7633800008</v>
      </c>
      <c r="V30" s="764">
        <f>IF(SUM($C$29:V29)&lt;=$B30,SUM($C$29:V29),0)</f>
        <v>2059022.7633800008</v>
      </c>
      <c r="W30" s="764">
        <f>IF(SUM($C$29:W29)&lt;=$B30,SUM($C$29:W29),0)</f>
        <v>3329750.2112486544</v>
      </c>
      <c r="X30" s="764">
        <f>IF(SUM($C$29:X29)&lt;=$B30,SUM($C$29:X29),0)</f>
        <v>3329750.2112486544</v>
      </c>
      <c r="Y30" s="764">
        <f>IF(SUM($C$29:Y29)&lt;=$B30,SUM($C$29:Y29),0)</f>
        <v>3329750.2112486544</v>
      </c>
      <c r="Z30" s="764">
        <f>IF(SUM($C$29:Z29)&lt;=$B30,SUM($C$29:Z29),0)</f>
        <v>3329750.2112486544</v>
      </c>
      <c r="AA30" s="764">
        <f>IF(SUM($C$29:AA29)&lt;=$B30,SUM($C$29:AA29),0)</f>
        <v>3329750.2112486544</v>
      </c>
      <c r="AB30" s="764">
        <f>IF(SUM($C$29:AB29)&lt;=$B30,SUM($C$29:AB29),0)</f>
        <v>3329750.2112486544</v>
      </c>
      <c r="AC30" s="764">
        <f>IF(SUM($C$29:AC29)&lt;=$B30,SUM($C$29:AC29),0)</f>
        <v>3329750.2112486544</v>
      </c>
      <c r="AD30" s="764">
        <f>IF(SUM($C$29:AD29)&lt;=$B30,SUM($C$29:AD29),0)</f>
        <v>3329750.2112486544</v>
      </c>
      <c r="AE30" s="764">
        <f>IF(SUM($C$29:AE29)&lt;=$B30,SUM($C$29:AE29),0)</f>
        <v>3329750.2112486544</v>
      </c>
      <c r="AF30" s="764">
        <f>IF(SUM($C$29:AF29)&lt;=$B30,SUM($C$29:AF29),0)</f>
        <v>3329750.2112486544</v>
      </c>
      <c r="AG30" s="764">
        <f>IF(SUM($C$29:AG29)&lt;=$B30,SUM($C$29:AG29),0)</f>
        <v>3329750.2112486544</v>
      </c>
      <c r="AH30" s="764">
        <f>IF(SUM($C$29:AH29)&lt;=$B30,SUM($C$29:AH29),0)</f>
        <v>3329750.2112486544</v>
      </c>
      <c r="AI30" s="764">
        <f>IF(SUM($C$29:AI29)&lt;=$B30,SUM($C$29:AI29),0)</f>
        <v>3329750.2112486544</v>
      </c>
      <c r="AJ30" s="764">
        <f>IF(SUM($C$29:AJ29)&lt;=$B30,SUM($C$29:AJ29),0)</f>
        <v>3329750.2112486544</v>
      </c>
      <c r="AK30" s="764">
        <f>IF(SUM($C$29:AK29)&lt;=$B30,SUM($C$29:AK29),0)</f>
        <v>3329750.2112486544</v>
      </c>
      <c r="AL30" s="764">
        <f>IF(SUM($C$29:AL29)&lt;=$B30,SUM($C$29:AL29),0)</f>
        <v>3329750.2112486544</v>
      </c>
      <c r="AM30" s="764">
        <f>IF(SUM($C$29:AM29)&lt;=$B30,SUM($C$29:AM29),0)</f>
        <v>3329750.2112486544</v>
      </c>
      <c r="AN30" s="764">
        <f>IF(SUM($C$29:AN29)&lt;=$B30,SUM($C$29:AN29),0)</f>
        <v>3329750.2112486544</v>
      </c>
      <c r="AO30" s="764">
        <f>IF(SUM($C$29:AO29)&lt;=$B30,SUM($C$29:AO29),0)</f>
        <v>3329750.2112486544</v>
      </c>
      <c r="AP30" s="764">
        <f>IF(SUM($C$29:AP29)&lt;=$B30,SUM($C$29:AP29),0)</f>
        <v>3329750.2112486544</v>
      </c>
      <c r="AQ30" s="764"/>
      <c r="AR30" s="764"/>
      <c r="AS30" s="764"/>
      <c r="AT30" s="764"/>
      <c r="AU30" s="764"/>
      <c r="AV30" s="783"/>
      <c r="AW30" s="783"/>
      <c r="AX30" s="783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</row>
    <row r="31" spans="1:74">
      <c r="A31" s="130" t="s">
        <v>350</v>
      </c>
      <c r="B31" s="131">
        <f>'MN Financial'!B67</f>
        <v>4994625.3168729814</v>
      </c>
      <c r="C31" s="785"/>
      <c r="D31" s="786"/>
      <c r="E31" s="786"/>
      <c r="F31" s="786"/>
      <c r="G31" s="786"/>
      <c r="H31" s="786"/>
      <c r="I31" s="786"/>
      <c r="J31" s="786"/>
      <c r="K31" s="786"/>
      <c r="L31" s="786"/>
      <c r="M31" s="786"/>
      <c r="N31" s="786"/>
      <c r="O31" s="786"/>
      <c r="P31" s="786"/>
      <c r="Q31" s="786"/>
      <c r="R31" s="786"/>
      <c r="S31" s="786"/>
      <c r="T31" s="786"/>
      <c r="U31" s="786"/>
      <c r="V31" s="786"/>
      <c r="W31" s="786"/>
      <c r="X31" s="786"/>
      <c r="Y31" s="786"/>
      <c r="Z31" s="786"/>
      <c r="AA31" s="786"/>
      <c r="AB31" s="786"/>
      <c r="AC31" s="786"/>
      <c r="AD31" s="786"/>
      <c r="AE31" s="786"/>
      <c r="AF31" s="786"/>
      <c r="AG31" s="786"/>
      <c r="AH31" s="786"/>
      <c r="AI31" s="786"/>
      <c r="AJ31" s="786"/>
      <c r="AK31" s="786"/>
      <c r="AL31" s="786"/>
      <c r="AM31" s="786"/>
      <c r="AN31" s="786"/>
      <c r="AO31" s="786"/>
      <c r="AP31" s="786"/>
      <c r="AQ31" s="786"/>
      <c r="AR31" s="786"/>
      <c r="AS31" s="786"/>
      <c r="AT31" s="786"/>
      <c r="AU31" s="786"/>
      <c r="AV31" s="785"/>
      <c r="AW31" s="785"/>
      <c r="AX31" s="783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</row>
    <row r="32" spans="1:74" ht="15" thickBot="1">
      <c r="A32" s="787" t="s">
        <v>351</v>
      </c>
      <c r="B32" s="788">
        <f>PMT(0.045,30,(B31))</f>
        <v>-306627.75445315329</v>
      </c>
      <c r="C32" s="785"/>
      <c r="D32" s="786"/>
      <c r="E32" s="786"/>
      <c r="F32" s="786"/>
      <c r="G32" s="786"/>
      <c r="H32" s="786"/>
      <c r="I32" s="786"/>
      <c r="J32" s="786"/>
      <c r="K32" s="786"/>
      <c r="L32" s="786"/>
      <c r="M32" s="786"/>
      <c r="N32" s="786"/>
      <c r="O32" s="786"/>
      <c r="P32" s="786"/>
      <c r="Q32" s="786"/>
      <c r="R32" s="786"/>
      <c r="S32" s="786"/>
      <c r="T32" s="786"/>
      <c r="U32" s="786"/>
      <c r="V32" s="786"/>
      <c r="W32" s="786"/>
      <c r="X32" s="786"/>
      <c r="Y32" s="786"/>
      <c r="Z32" s="786"/>
      <c r="AA32" s="786"/>
      <c r="AB32" s="786"/>
      <c r="AC32" s="786"/>
      <c r="AD32" s="786"/>
      <c r="AE32" s="786"/>
      <c r="AF32" s="786"/>
      <c r="AG32" s="786"/>
      <c r="AH32" s="786"/>
      <c r="AI32" s="786"/>
      <c r="AJ32" s="786"/>
      <c r="AK32" s="786"/>
      <c r="AL32" s="786"/>
      <c r="AM32" s="786"/>
      <c r="AN32" s="786"/>
      <c r="AO32" s="786"/>
      <c r="AP32" s="786"/>
      <c r="AQ32" s="786"/>
      <c r="AR32" s="786"/>
      <c r="AS32" s="786"/>
      <c r="AT32" s="786"/>
      <c r="AU32" s="786"/>
      <c r="AV32" s="785"/>
      <c r="AW32" s="785"/>
      <c r="AX32" s="783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</row>
    <row r="33" spans="1:74">
      <c r="A33" s="132" t="s">
        <v>352</v>
      </c>
      <c r="B33" s="133">
        <f>SUM(C33:AV33)</f>
        <v>0</v>
      </c>
      <c r="C33" s="764"/>
      <c r="D33" s="764"/>
      <c r="E33" s="764"/>
      <c r="F33" s="764"/>
      <c r="G33" s="764"/>
      <c r="H33" s="764"/>
      <c r="I33" s="764"/>
      <c r="J33" s="764"/>
      <c r="K33" s="764"/>
      <c r="L33" s="764"/>
      <c r="M33" s="764"/>
      <c r="N33" s="764"/>
      <c r="O33" s="764"/>
      <c r="P33" s="764"/>
      <c r="Q33" s="764"/>
      <c r="R33" s="764"/>
      <c r="S33" s="764"/>
      <c r="T33" s="764"/>
      <c r="U33" s="764"/>
      <c r="V33" s="764"/>
      <c r="W33" s="764"/>
      <c r="X33" s="764"/>
      <c r="Y33" s="764"/>
      <c r="Z33" s="764"/>
      <c r="AA33" s="764"/>
      <c r="AB33" s="764"/>
      <c r="AC33" s="764"/>
      <c r="AD33" s="764"/>
      <c r="AE33" s="764"/>
      <c r="AF33" s="764"/>
      <c r="AG33" s="764"/>
      <c r="AH33" s="764"/>
      <c r="AI33" s="764"/>
      <c r="AJ33" s="764"/>
      <c r="AK33" s="764"/>
      <c r="AL33" s="764"/>
      <c r="AM33" s="764"/>
      <c r="AN33" s="764"/>
      <c r="AO33" s="764"/>
      <c r="AP33" s="764"/>
      <c r="AQ33" s="764"/>
      <c r="AR33" s="764"/>
      <c r="AS33" s="764"/>
      <c r="AT33" s="764"/>
      <c r="AU33" s="764"/>
      <c r="AV33" s="509"/>
      <c r="AW33" s="786"/>
      <c r="AX33" s="78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</row>
    <row r="34" spans="1:74">
      <c r="A34" s="789" t="s">
        <v>353</v>
      </c>
      <c r="B34" s="790"/>
      <c r="C34" s="786"/>
      <c r="D34" s="786"/>
      <c r="E34" s="786"/>
      <c r="F34" s="786"/>
      <c r="G34" s="786"/>
      <c r="H34" s="786"/>
      <c r="I34" s="786"/>
      <c r="J34" s="786"/>
      <c r="K34" s="786"/>
      <c r="L34" s="786"/>
      <c r="M34" s="786"/>
      <c r="N34" s="786"/>
      <c r="O34" s="786"/>
      <c r="P34" s="786"/>
      <c r="Q34" s="786"/>
      <c r="R34" s="786"/>
      <c r="S34" s="786"/>
      <c r="T34" s="786"/>
      <c r="U34" s="786"/>
      <c r="V34" s="786"/>
      <c r="W34" s="786"/>
      <c r="X34" s="786"/>
      <c r="Y34" s="786"/>
      <c r="Z34" s="786"/>
      <c r="AA34" s="786"/>
      <c r="AB34" s="786"/>
      <c r="AC34" s="786"/>
      <c r="AD34" s="786"/>
      <c r="AE34" s="786"/>
      <c r="AF34" s="786"/>
      <c r="AG34" s="786"/>
      <c r="AH34" s="786"/>
      <c r="AI34" s="786"/>
      <c r="AJ34" s="786"/>
      <c r="AK34" s="786"/>
      <c r="AL34" s="786"/>
      <c r="AM34" s="786"/>
      <c r="AN34" s="786"/>
      <c r="AO34" s="786"/>
      <c r="AP34" s="786"/>
      <c r="AQ34" s="786"/>
      <c r="AR34" s="786"/>
      <c r="AS34" s="786"/>
      <c r="AT34" s="786"/>
      <c r="AU34" s="786"/>
      <c r="AV34" s="791"/>
      <c r="AW34" s="786"/>
      <c r="AX34" s="783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</row>
    <row r="35" spans="1:74">
      <c r="A35" s="781" t="s">
        <v>354</v>
      </c>
      <c r="B35" s="782">
        <f>'MN Financial'!B75-'MN Financial'!B67</f>
        <v>4694704.6831270186</v>
      </c>
      <c r="C35" s="791"/>
      <c r="D35" s="792"/>
      <c r="E35" s="792"/>
      <c r="F35" s="792"/>
      <c r="G35" s="792"/>
      <c r="H35" s="792"/>
      <c r="I35" s="792"/>
      <c r="J35" s="792"/>
      <c r="K35" s="792"/>
      <c r="L35" s="792"/>
      <c r="M35" s="792"/>
      <c r="N35" s="792"/>
      <c r="O35" s="792"/>
      <c r="P35" s="792"/>
      <c r="Q35" s="792"/>
      <c r="R35" s="792"/>
      <c r="S35" s="792"/>
      <c r="T35" s="792"/>
      <c r="U35" s="792"/>
      <c r="V35" s="792"/>
      <c r="W35" s="792"/>
      <c r="X35" s="792"/>
      <c r="Y35" s="792"/>
      <c r="Z35" s="792"/>
      <c r="AA35" s="792"/>
      <c r="AB35" s="792"/>
      <c r="AC35" s="792"/>
      <c r="AD35" s="792"/>
      <c r="AE35" s="792"/>
      <c r="AF35" s="792"/>
      <c r="AG35" s="792"/>
      <c r="AH35" s="792"/>
      <c r="AI35" s="792"/>
      <c r="AJ35" s="792"/>
      <c r="AK35" s="792"/>
      <c r="AL35" s="792"/>
      <c r="AM35" s="792"/>
      <c r="AN35" s="792"/>
      <c r="AO35" s="792"/>
      <c r="AP35" s="792"/>
      <c r="AQ35" s="792"/>
      <c r="AR35" s="792"/>
      <c r="AS35" s="792"/>
      <c r="AT35" s="792"/>
      <c r="AU35" s="792"/>
      <c r="AV35" s="793"/>
      <c r="AW35" s="794"/>
      <c r="AX35" s="79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</row>
    <row r="36" spans="1:74">
      <c r="A36" s="781" t="s">
        <v>355</v>
      </c>
      <c r="B36" s="796">
        <f>SUM(C36:AU36)</f>
        <v>1364954.4718783642</v>
      </c>
      <c r="C36" s="797">
        <f t="shared" ref="C36:AO36" si="21">-C29</f>
        <v>0</v>
      </c>
      <c r="D36" s="797">
        <f t="shared" si="21"/>
        <v>0</v>
      </c>
      <c r="E36" s="797">
        <f t="shared" si="21"/>
        <v>0</v>
      </c>
      <c r="F36" s="797">
        <f t="shared" si="21"/>
        <v>0</v>
      </c>
      <c r="G36" s="797">
        <f t="shared" si="21"/>
        <v>0</v>
      </c>
      <c r="H36" s="797">
        <f t="shared" si="21"/>
        <v>-877213.00338000013</v>
      </c>
      <c r="I36" s="797">
        <f t="shared" si="21"/>
        <v>-116756.64000000001</v>
      </c>
      <c r="J36" s="797">
        <f t="shared" si="21"/>
        <v>-116756.64000000001</v>
      </c>
      <c r="K36" s="797">
        <f t="shared" si="21"/>
        <v>-116756.64000000001</v>
      </c>
      <c r="L36" s="797">
        <f t="shared" si="21"/>
        <v>-116756.64000000001</v>
      </c>
      <c r="M36" s="797">
        <f t="shared" si="21"/>
        <v>-116756.64000000001</v>
      </c>
      <c r="N36" s="797">
        <f t="shared" si="21"/>
        <v>-116756.64000000001</v>
      </c>
      <c r="O36" s="797">
        <f t="shared" si="21"/>
        <v>-116756.64000000001</v>
      </c>
      <c r="P36" s="797">
        <f t="shared" si="21"/>
        <v>-116756.64000000001</v>
      </c>
      <c r="Q36" s="797">
        <f t="shared" si="21"/>
        <v>-116756.64000000001</v>
      </c>
      <c r="R36" s="797">
        <f t="shared" si="21"/>
        <v>-131000</v>
      </c>
      <c r="S36" s="797">
        <f t="shared" si="21"/>
        <v>0</v>
      </c>
      <c r="T36" s="797">
        <f t="shared" si="21"/>
        <v>0</v>
      </c>
      <c r="U36" s="797">
        <f t="shared" si="21"/>
        <v>0</v>
      </c>
      <c r="V36" s="797">
        <f t="shared" si="21"/>
        <v>0</v>
      </c>
      <c r="W36" s="797">
        <f t="shared" si="21"/>
        <v>-1270727.4478686536</v>
      </c>
      <c r="X36" s="797">
        <f t="shared" si="21"/>
        <v>0</v>
      </c>
      <c r="Y36" s="797">
        <f t="shared" si="21"/>
        <v>0</v>
      </c>
      <c r="Z36" s="797">
        <f t="shared" si="21"/>
        <v>0</v>
      </c>
      <c r="AA36" s="797">
        <f t="shared" si="21"/>
        <v>0</v>
      </c>
      <c r="AB36" s="797">
        <f t="shared" si="21"/>
        <v>0</v>
      </c>
      <c r="AC36" s="797">
        <f t="shared" si="21"/>
        <v>0</v>
      </c>
      <c r="AD36" s="797">
        <f t="shared" si="21"/>
        <v>0</v>
      </c>
      <c r="AE36" s="797">
        <f t="shared" si="21"/>
        <v>0</v>
      </c>
      <c r="AF36" s="797">
        <f t="shared" si="21"/>
        <v>0</v>
      </c>
      <c r="AG36" s="797">
        <f t="shared" si="21"/>
        <v>0</v>
      </c>
      <c r="AH36" s="797">
        <f t="shared" si="21"/>
        <v>0</v>
      </c>
      <c r="AI36" s="797">
        <f t="shared" si="21"/>
        <v>0</v>
      </c>
      <c r="AJ36" s="797">
        <f t="shared" si="21"/>
        <v>0</v>
      </c>
      <c r="AK36" s="797">
        <f t="shared" si="21"/>
        <v>0</v>
      </c>
      <c r="AL36" s="797">
        <f t="shared" si="21"/>
        <v>0</v>
      </c>
      <c r="AM36" s="797">
        <f t="shared" si="21"/>
        <v>0</v>
      </c>
      <c r="AN36" s="797">
        <f t="shared" si="21"/>
        <v>0</v>
      </c>
      <c r="AO36" s="797">
        <f t="shared" si="21"/>
        <v>0</v>
      </c>
      <c r="AP36" s="797">
        <f>B35</f>
        <v>4694704.6831270186</v>
      </c>
      <c r="AQ36" s="797"/>
      <c r="AR36" s="797"/>
      <c r="AS36" s="797"/>
      <c r="AT36" s="797"/>
      <c r="AU36" s="797"/>
      <c r="AV36" s="798"/>
      <c r="AW36" s="764"/>
      <c r="AX36" s="764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</row>
    <row r="37" spans="1:74">
      <c r="A37" s="781" t="s">
        <v>356</v>
      </c>
      <c r="B37" s="799">
        <f>IF(B36&lt;0,0,IRR(C36:AJU36))</f>
        <v>1.3015396045571226E-2</v>
      </c>
      <c r="C37" s="800"/>
      <c r="D37" s="800"/>
      <c r="E37" s="800"/>
      <c r="F37" s="800"/>
      <c r="G37" s="800"/>
      <c r="H37" s="800"/>
      <c r="I37" s="800"/>
      <c r="J37" s="800"/>
      <c r="K37" s="800"/>
      <c r="L37" s="800"/>
      <c r="M37" s="800"/>
      <c r="N37" s="800"/>
      <c r="O37" s="800"/>
      <c r="P37" s="800"/>
      <c r="Q37" s="800"/>
      <c r="R37" s="800"/>
      <c r="S37" s="800"/>
      <c r="T37" s="800"/>
      <c r="U37" s="800"/>
      <c r="V37" s="800"/>
      <c r="W37" s="800"/>
      <c r="X37" s="800"/>
      <c r="Y37" s="800"/>
      <c r="Z37" s="800"/>
      <c r="AA37" s="800"/>
      <c r="AB37" s="800"/>
      <c r="AC37" s="800"/>
      <c r="AD37" s="800"/>
      <c r="AE37" s="800"/>
      <c r="AF37" s="800"/>
      <c r="AG37" s="800"/>
      <c r="AH37" s="800"/>
      <c r="AI37" s="800"/>
      <c r="AJ37" s="800"/>
      <c r="AK37" s="800"/>
      <c r="AL37" s="800"/>
      <c r="AM37" s="800"/>
      <c r="AN37" s="800"/>
      <c r="AO37" s="800"/>
      <c r="AP37" s="800"/>
      <c r="AQ37" s="800"/>
      <c r="AR37" s="800"/>
      <c r="AS37" s="800"/>
      <c r="AT37" s="800"/>
      <c r="AU37" s="800"/>
      <c r="AV37" s="793"/>
      <c r="AW37" s="800"/>
      <c r="AX37" s="801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</row>
    <row r="38" spans="1:74">
      <c r="A38" s="772" t="s">
        <v>357</v>
      </c>
      <c r="B38" s="802">
        <f>POWER((1+B37),4)-1</f>
        <v>5.3086835344337224E-2</v>
      </c>
      <c r="C38" s="793"/>
      <c r="D38" s="793"/>
      <c r="E38" s="803"/>
      <c r="F38" s="803"/>
      <c r="G38" s="803"/>
      <c r="H38" s="803"/>
      <c r="I38" s="803"/>
      <c r="J38" s="803"/>
      <c r="K38" s="803"/>
      <c r="L38" s="803"/>
      <c r="M38" s="803"/>
      <c r="N38" s="803"/>
      <c r="O38" s="803"/>
      <c r="P38" s="804"/>
      <c r="Q38" s="803"/>
      <c r="R38" s="803"/>
      <c r="S38" s="803"/>
      <c r="T38" s="803"/>
      <c r="U38" s="803"/>
      <c r="V38" s="804"/>
      <c r="W38" s="803"/>
      <c r="X38" s="803"/>
      <c r="Y38" s="803"/>
      <c r="Z38" s="803"/>
      <c r="AA38" s="803"/>
      <c r="AB38" s="803"/>
      <c r="AC38" s="803"/>
      <c r="AD38" s="803"/>
      <c r="AE38" s="803"/>
      <c r="AF38" s="803"/>
      <c r="AG38" s="803"/>
      <c r="AH38" s="803"/>
      <c r="AI38" s="803"/>
      <c r="AJ38" s="803"/>
      <c r="AK38" s="803"/>
      <c r="AL38" s="803"/>
      <c r="AM38" s="803"/>
      <c r="AN38" s="803"/>
      <c r="AO38" s="803"/>
      <c r="AP38" s="803"/>
      <c r="AQ38" s="803"/>
      <c r="AR38" s="803"/>
      <c r="AS38" s="803"/>
      <c r="AT38" s="803"/>
      <c r="AU38" s="803"/>
      <c r="AV38" s="803"/>
      <c r="AW38" s="803"/>
      <c r="AX38" s="805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</row>
    <row r="39" spans="1:74">
      <c r="A39" s="806" t="s">
        <v>358</v>
      </c>
      <c r="B39" s="807"/>
      <c r="C39" s="793"/>
      <c r="D39" s="793"/>
      <c r="E39" s="803"/>
      <c r="F39" s="803"/>
      <c r="G39" s="803"/>
      <c r="H39" s="803"/>
      <c r="I39" s="803"/>
      <c r="J39" s="803"/>
      <c r="K39" s="803"/>
      <c r="L39" s="803"/>
      <c r="M39" s="803"/>
      <c r="N39" s="803"/>
      <c r="O39" s="803"/>
      <c r="P39" s="804"/>
      <c r="Q39" s="803"/>
      <c r="R39" s="803"/>
      <c r="S39" s="803"/>
      <c r="T39" s="803"/>
      <c r="U39" s="803"/>
      <c r="V39" s="804"/>
      <c r="W39" s="803"/>
      <c r="X39" s="803"/>
      <c r="Y39" s="803"/>
      <c r="Z39" s="803"/>
      <c r="AA39" s="803"/>
      <c r="AB39" s="803"/>
      <c r="AC39" s="803"/>
      <c r="AD39" s="803"/>
      <c r="AE39" s="803"/>
      <c r="AF39" s="803"/>
      <c r="AG39" s="803"/>
      <c r="AH39" s="803"/>
      <c r="AI39" s="803"/>
      <c r="AJ39" s="803"/>
      <c r="AK39" s="803"/>
      <c r="AL39" s="803"/>
      <c r="AM39" s="803"/>
      <c r="AN39" s="803"/>
      <c r="AO39" s="803"/>
      <c r="AP39" s="803"/>
      <c r="AQ39" s="803"/>
      <c r="AR39" s="803"/>
      <c r="AS39" s="803"/>
      <c r="AT39" s="803"/>
      <c r="AU39" s="803"/>
      <c r="AV39" s="803"/>
      <c r="AW39" s="803"/>
      <c r="AX39" s="805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</row>
    <row r="40" spans="1:74">
      <c r="A40" s="781" t="s">
        <v>359</v>
      </c>
      <c r="B40" s="55">
        <f>'MN Financial'!B75-B27</f>
        <v>22715330</v>
      </c>
      <c r="C40" s="793"/>
      <c r="D40" s="793"/>
      <c r="E40" s="803"/>
      <c r="F40" s="803"/>
      <c r="G40" s="803"/>
      <c r="H40" s="803"/>
      <c r="I40" s="803"/>
      <c r="J40" s="803"/>
      <c r="K40" s="803"/>
      <c r="L40" s="803"/>
      <c r="M40" s="803"/>
      <c r="N40" s="803"/>
      <c r="O40" s="803"/>
      <c r="P40" s="804"/>
      <c r="Q40" s="803"/>
      <c r="R40" s="803"/>
      <c r="S40" s="803"/>
      <c r="T40" s="803"/>
      <c r="U40" s="803"/>
      <c r="V40" s="804"/>
      <c r="W40" s="803"/>
      <c r="X40" s="803"/>
      <c r="Y40" s="803"/>
      <c r="Z40" s="803"/>
      <c r="AA40" s="803"/>
      <c r="AB40" s="803"/>
      <c r="AC40" s="803"/>
      <c r="AD40" s="803"/>
      <c r="AE40" s="803"/>
      <c r="AF40" s="803"/>
      <c r="AG40" s="803"/>
      <c r="AH40" s="803"/>
      <c r="AI40" s="803"/>
      <c r="AJ40" s="803"/>
      <c r="AK40" s="803"/>
      <c r="AL40" s="803"/>
      <c r="AM40" s="803"/>
      <c r="AN40" s="803"/>
      <c r="AO40" s="803"/>
      <c r="AP40" s="803"/>
      <c r="AQ40" s="803"/>
      <c r="AR40" s="803"/>
      <c r="AS40" s="803"/>
      <c r="AT40" s="803"/>
      <c r="AU40" s="803"/>
      <c r="AV40" s="803"/>
      <c r="AW40" s="803"/>
      <c r="AX40" s="805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</row>
    <row r="41" spans="1:74">
      <c r="A41" s="781" t="s">
        <v>360</v>
      </c>
      <c r="B41" s="796">
        <f>SUM(C41:AU41)</f>
        <v>1367454.4718783647</v>
      </c>
      <c r="C41" s="764">
        <f>-C26</f>
        <v>0</v>
      </c>
      <c r="D41" s="764">
        <f>-D26</f>
        <v>0</v>
      </c>
      <c r="E41" s="764">
        <f>-E26</f>
        <v>0</v>
      </c>
      <c r="F41" s="764">
        <f t="shared" ref="F41:AO41" si="22">-F26</f>
        <v>0</v>
      </c>
      <c r="G41" s="764">
        <f t="shared" si="22"/>
        <v>0</v>
      </c>
      <c r="H41" s="764">
        <f t="shared" si="22"/>
        <v>-877213.00338000013</v>
      </c>
      <c r="I41" s="764">
        <f t="shared" si="22"/>
        <v>-116756.64000000001</v>
      </c>
      <c r="J41" s="764">
        <f t="shared" si="22"/>
        <v>-116756.64000000001</v>
      </c>
      <c r="K41" s="764">
        <f t="shared" si="22"/>
        <v>-116756.64000000001</v>
      </c>
      <c r="L41" s="764">
        <f t="shared" si="22"/>
        <v>-116756.64000000001</v>
      </c>
      <c r="M41" s="764">
        <f t="shared" si="22"/>
        <v>-116756.64000000001</v>
      </c>
      <c r="N41" s="764">
        <f t="shared" si="22"/>
        <v>-116756.64000000001</v>
      </c>
      <c r="O41" s="764">
        <f t="shared" si="22"/>
        <v>-116756.64000000001</v>
      </c>
      <c r="P41" s="764">
        <f t="shared" si="22"/>
        <v>-116756.64000000001</v>
      </c>
      <c r="Q41" s="764">
        <f t="shared" si="22"/>
        <v>-116756.64000000001</v>
      </c>
      <c r="R41" s="764">
        <f t="shared" si="22"/>
        <v>-131000</v>
      </c>
      <c r="S41" s="764">
        <f t="shared" si="22"/>
        <v>0</v>
      </c>
      <c r="T41" s="764">
        <f t="shared" si="22"/>
        <v>0</v>
      </c>
      <c r="U41" s="764">
        <f t="shared" si="22"/>
        <v>0</v>
      </c>
      <c r="V41" s="764">
        <f t="shared" si="22"/>
        <v>0</v>
      </c>
      <c r="W41" s="764">
        <f t="shared" si="22"/>
        <v>-1376486.8251688797</v>
      </c>
      <c r="X41" s="764">
        <f t="shared" si="22"/>
        <v>-1193657.7293048506</v>
      </c>
      <c r="Y41" s="764">
        <f t="shared" si="22"/>
        <v>-1193657.7293048506</v>
      </c>
      <c r="Z41" s="764">
        <f t="shared" si="22"/>
        <v>-1193657.7293048506</v>
      </c>
      <c r="AA41" s="764">
        <f t="shared" si="22"/>
        <v>-1193657.7293048506</v>
      </c>
      <c r="AB41" s="764">
        <f t="shared" si="22"/>
        <v>-1193657.7293048506</v>
      </c>
      <c r="AC41" s="764">
        <f t="shared" si="22"/>
        <v>-1193657.7293048506</v>
      </c>
      <c r="AD41" s="764">
        <f t="shared" si="22"/>
        <v>-1193657.7293048506</v>
      </c>
      <c r="AE41" s="764">
        <f t="shared" si="22"/>
        <v>-1193657.7293048506</v>
      </c>
      <c r="AF41" s="764">
        <f t="shared" si="22"/>
        <v>-1193657.7293048506</v>
      </c>
      <c r="AG41" s="764">
        <f t="shared" si="22"/>
        <v>-1193657.7293048506</v>
      </c>
      <c r="AH41" s="764">
        <f t="shared" si="22"/>
        <v>-1193657.7293048506</v>
      </c>
      <c r="AI41" s="764">
        <f t="shared" si="22"/>
        <v>-1193657.7293048506</v>
      </c>
      <c r="AJ41" s="764">
        <f t="shared" si="22"/>
        <v>-1193657.7293048506</v>
      </c>
      <c r="AK41" s="764">
        <f t="shared" si="22"/>
        <v>-1193657.7293048506</v>
      </c>
      <c r="AL41" s="764">
        <f t="shared" si="22"/>
        <v>-1193657.7293048506</v>
      </c>
      <c r="AM41" s="764">
        <f t="shared" si="22"/>
        <v>-2500</v>
      </c>
      <c r="AN41" s="764">
        <f t="shared" si="22"/>
        <v>-2500</v>
      </c>
      <c r="AO41" s="764">
        <f t="shared" si="22"/>
        <v>-2500</v>
      </c>
      <c r="AP41" s="764">
        <f>B40</f>
        <v>22715330</v>
      </c>
      <c r="AQ41" s="764"/>
      <c r="AR41" s="764"/>
      <c r="AS41" s="764"/>
      <c r="AT41" s="764"/>
      <c r="AU41" s="764"/>
      <c r="AV41" s="801"/>
      <c r="AW41" s="772"/>
      <c r="AX41" s="772"/>
    </row>
    <row r="42" spans="1:74">
      <c r="A42" s="781" t="s">
        <v>361</v>
      </c>
      <c r="B42" s="799">
        <f>IF(B41&lt;0,0,IRR(C41:AU41))</f>
        <v>4.593799384803976E-3</v>
      </c>
      <c r="C42" s="793"/>
      <c r="D42" s="793"/>
      <c r="E42" s="793"/>
      <c r="F42" s="793"/>
      <c r="G42" s="793"/>
      <c r="H42" s="793"/>
      <c r="I42" s="793"/>
      <c r="J42" s="793"/>
      <c r="K42" s="793"/>
      <c r="L42" s="793"/>
      <c r="M42" s="786"/>
      <c r="N42" s="793"/>
      <c r="O42" s="793"/>
      <c r="P42" s="793"/>
      <c r="Q42" s="793"/>
      <c r="R42" s="793"/>
      <c r="S42" s="786"/>
      <c r="T42" s="793"/>
      <c r="U42" s="793"/>
      <c r="V42" s="793"/>
      <c r="W42" s="793"/>
      <c r="X42" s="793"/>
      <c r="Y42" s="793"/>
      <c r="Z42" s="793"/>
      <c r="AA42" s="793"/>
      <c r="AB42" s="793"/>
      <c r="AC42" s="793"/>
      <c r="AD42" s="793"/>
      <c r="AE42" s="793"/>
      <c r="AF42" s="793"/>
      <c r="AG42" s="793"/>
      <c r="AH42" s="793"/>
      <c r="AI42" s="793"/>
      <c r="AJ42" s="793"/>
      <c r="AK42" s="793"/>
      <c r="AL42" s="793"/>
      <c r="AM42" s="793"/>
      <c r="AN42" s="793"/>
      <c r="AO42" s="793"/>
      <c r="AP42" s="793"/>
      <c r="AQ42" s="793"/>
      <c r="AR42" s="793"/>
      <c r="AS42" s="793"/>
      <c r="AT42" s="793"/>
      <c r="AU42" s="793"/>
      <c r="AV42" s="793"/>
      <c r="AW42" s="793"/>
      <c r="AX42" s="772"/>
    </row>
    <row r="43" spans="1:74">
      <c r="A43" s="772" t="s">
        <v>362</v>
      </c>
      <c r="B43" s="802">
        <f>POWER((1+B42),4)-1</f>
        <v>1.8502203712940535E-2</v>
      </c>
      <c r="C43" s="793"/>
      <c r="D43" s="793"/>
      <c r="E43" s="793"/>
      <c r="F43" s="793"/>
      <c r="G43" s="793"/>
      <c r="H43" s="793"/>
      <c r="I43" s="793"/>
      <c r="J43" s="793"/>
      <c r="K43" s="793"/>
      <c r="L43" s="793"/>
      <c r="M43" s="786"/>
      <c r="N43" s="793"/>
      <c r="O43" s="793"/>
      <c r="P43" s="793"/>
      <c r="Q43" s="793"/>
      <c r="R43" s="793"/>
      <c r="S43" s="786"/>
      <c r="T43" s="793"/>
      <c r="U43" s="793"/>
      <c r="V43" s="793"/>
      <c r="W43" s="793"/>
      <c r="X43" s="793"/>
      <c r="Y43" s="793"/>
      <c r="Z43" s="793"/>
      <c r="AA43" s="793"/>
      <c r="AB43" s="793"/>
      <c r="AC43" s="793"/>
      <c r="AD43" s="793"/>
      <c r="AE43" s="793"/>
      <c r="AF43" s="793"/>
      <c r="AG43" s="793"/>
      <c r="AH43" s="793"/>
      <c r="AI43" s="793"/>
      <c r="AJ43" s="793"/>
      <c r="AK43" s="793"/>
      <c r="AL43" s="793"/>
      <c r="AM43" s="793"/>
      <c r="AN43" s="793"/>
      <c r="AO43" s="793"/>
      <c r="AP43" s="793"/>
      <c r="AQ43" s="793"/>
      <c r="AR43" s="793"/>
      <c r="AS43" s="793"/>
      <c r="AT43" s="793"/>
      <c r="AU43" s="793"/>
      <c r="AV43" s="793"/>
      <c r="AW43" s="772"/>
      <c r="AX43" s="772"/>
    </row>
    <row r="44" spans="1:74">
      <c r="G44" s="6"/>
    </row>
    <row r="45" spans="1:74">
      <c r="G45" s="6"/>
    </row>
    <row r="46" spans="1:74">
      <c r="G46" s="6"/>
    </row>
    <row r="47" spans="1:74">
      <c r="G47" s="6"/>
    </row>
    <row r="48" spans="1:74">
      <c r="G48" s="6"/>
    </row>
    <row r="49" spans="7:7">
      <c r="G49" s="6"/>
    </row>
    <row r="50" spans="7:7">
      <c r="G50" s="6"/>
    </row>
    <row r="51" spans="7:7">
      <c r="G51" s="6"/>
    </row>
    <row r="52" spans="7:7">
      <c r="G52" s="6"/>
    </row>
    <row r="53" spans="7:7">
      <c r="G53" s="6"/>
    </row>
    <row r="54" spans="7:7">
      <c r="G54" s="6"/>
    </row>
    <row r="55" spans="7:7">
      <c r="G55" s="6"/>
    </row>
    <row r="56" spans="7:7">
      <c r="G56" s="6"/>
    </row>
    <row r="57" spans="7:7">
      <c r="G57" s="6"/>
    </row>
    <row r="58" spans="7:7">
      <c r="G58" s="6"/>
    </row>
    <row r="59" spans="7:7">
      <c r="G59" s="6"/>
    </row>
    <row r="60" spans="7:7">
      <c r="G60" s="6"/>
    </row>
    <row r="61" spans="7:7">
      <c r="G61" s="6"/>
    </row>
    <row r="62" spans="7:7">
      <c r="G62" s="6"/>
    </row>
    <row r="63" spans="7:7">
      <c r="G63" s="6"/>
    </row>
    <row r="64" spans="7:7">
      <c r="G64" s="6"/>
    </row>
    <row r="65" spans="7:7">
      <c r="G65" s="6"/>
    </row>
    <row r="66" spans="7:7">
      <c r="G66" s="6"/>
    </row>
    <row r="67" spans="7:7">
      <c r="G67" s="6"/>
    </row>
    <row r="68" spans="7:7">
      <c r="G68" s="6"/>
    </row>
    <row r="69" spans="7:7">
      <c r="G69" s="6"/>
    </row>
    <row r="70" spans="7:7">
      <c r="G70" s="6"/>
    </row>
    <row r="71" spans="7:7">
      <c r="G71" s="6"/>
    </row>
    <row r="72" spans="7:7">
      <c r="G72" s="6"/>
    </row>
    <row r="73" spans="7:7">
      <c r="G73" s="6"/>
    </row>
    <row r="74" spans="7:7">
      <c r="G74" s="6"/>
    </row>
    <row r="75" spans="7:7">
      <c r="G75" s="6"/>
    </row>
    <row r="76" spans="7:7">
      <c r="G76" s="6"/>
    </row>
    <row r="77" spans="7:7">
      <c r="G77" s="6"/>
    </row>
    <row r="78" spans="7:7">
      <c r="G78" s="6"/>
    </row>
    <row r="79" spans="7:7">
      <c r="G79" s="6"/>
    </row>
    <row r="80" spans="7:7">
      <c r="G80" s="6"/>
    </row>
    <row r="81" spans="7:7">
      <c r="G81" s="6"/>
    </row>
    <row r="82" spans="7:7">
      <c r="G82" s="6"/>
    </row>
    <row r="83" spans="7:7">
      <c r="G83" s="6"/>
    </row>
    <row r="84" spans="7:7">
      <c r="G84" s="6"/>
    </row>
    <row r="85" spans="7:7">
      <c r="G85" s="6"/>
    </row>
    <row r="86" spans="7:7">
      <c r="G86" s="6"/>
    </row>
    <row r="87" spans="7:7">
      <c r="G87" s="6"/>
    </row>
    <row r="88" spans="7:7">
      <c r="G88" s="6"/>
    </row>
    <row r="89" spans="7:7">
      <c r="G89" s="6"/>
    </row>
    <row r="90" spans="7:7">
      <c r="G90" s="6"/>
    </row>
    <row r="91" spans="7:7">
      <c r="G91" s="6"/>
    </row>
    <row r="92" spans="7:7">
      <c r="G92" s="6"/>
    </row>
    <row r="93" spans="7:7">
      <c r="G93" s="6"/>
    </row>
    <row r="94" spans="7:7">
      <c r="G94" s="6"/>
    </row>
    <row r="95" spans="7:7">
      <c r="G95" s="6"/>
    </row>
    <row r="96" spans="7:7">
      <c r="G96" s="6"/>
    </row>
    <row r="97" spans="7:7">
      <c r="G97" s="6"/>
    </row>
    <row r="98" spans="7:7">
      <c r="G98" s="6"/>
    </row>
    <row r="99" spans="7:7">
      <c r="G99" s="6"/>
    </row>
    <row r="100" spans="7:7">
      <c r="G100" s="6"/>
    </row>
    <row r="101" spans="7:7">
      <c r="G101" s="6"/>
    </row>
    <row r="102" spans="7:7">
      <c r="G102" s="6"/>
    </row>
    <row r="103" spans="7:7">
      <c r="G103" s="6"/>
    </row>
    <row r="104" spans="7:7">
      <c r="G104" s="6"/>
    </row>
    <row r="105" spans="7:7">
      <c r="G105" s="6"/>
    </row>
    <row r="106" spans="7:7">
      <c r="G106" s="6"/>
    </row>
    <row r="107" spans="7:7">
      <c r="G107" s="6"/>
    </row>
    <row r="108" spans="7:7">
      <c r="G108" s="6"/>
    </row>
    <row r="109" spans="7:7">
      <c r="G109" s="6"/>
    </row>
    <row r="110" spans="7:7">
      <c r="G110" s="6"/>
    </row>
    <row r="111" spans="7:7">
      <c r="G111" s="6"/>
    </row>
    <row r="112" spans="7:7">
      <c r="G112" s="6"/>
    </row>
    <row r="113" spans="7:7">
      <c r="G113" s="6"/>
    </row>
    <row r="114" spans="7:7">
      <c r="G114" s="6"/>
    </row>
    <row r="115" spans="7:7">
      <c r="G115" s="6"/>
    </row>
    <row r="116" spans="7:7">
      <c r="G116" s="6"/>
    </row>
    <row r="117" spans="7:7">
      <c r="G117" s="6"/>
    </row>
    <row r="118" spans="7:7">
      <c r="G118" s="6"/>
    </row>
    <row r="119" spans="7:7">
      <c r="G119" s="6"/>
    </row>
    <row r="120" spans="7:7">
      <c r="G120" s="6"/>
    </row>
    <row r="121" spans="7:7">
      <c r="G121" s="6"/>
    </row>
    <row r="122" spans="7:7">
      <c r="G122" s="6"/>
    </row>
    <row r="123" spans="7:7">
      <c r="G123" s="6"/>
    </row>
    <row r="124" spans="7:7">
      <c r="G124" s="6"/>
    </row>
    <row r="125" spans="7:7">
      <c r="G125" s="6"/>
    </row>
    <row r="126" spans="7:7">
      <c r="G126" s="6"/>
    </row>
    <row r="127" spans="7:7">
      <c r="G127" s="6"/>
    </row>
    <row r="128" spans="7:7">
      <c r="G128" s="6"/>
    </row>
    <row r="129" spans="7:7">
      <c r="G129" s="6"/>
    </row>
    <row r="130" spans="7:7">
      <c r="G130" s="6"/>
    </row>
    <row r="131" spans="7:7">
      <c r="G131" s="6"/>
    </row>
    <row r="132" spans="7:7">
      <c r="G132" s="6"/>
    </row>
    <row r="133" spans="7:7">
      <c r="G133" s="6"/>
    </row>
    <row r="134" spans="7:7">
      <c r="G134" s="6"/>
    </row>
    <row r="135" spans="7:7">
      <c r="G135" s="6"/>
    </row>
    <row r="136" spans="7:7">
      <c r="G136" s="6"/>
    </row>
    <row r="137" spans="7:7">
      <c r="G137" s="6"/>
    </row>
    <row r="138" spans="7:7">
      <c r="G138" s="6"/>
    </row>
    <row r="139" spans="7:7">
      <c r="G139" s="6"/>
    </row>
    <row r="140" spans="7:7">
      <c r="G140" s="6"/>
    </row>
    <row r="141" spans="7:7">
      <c r="G141" s="6"/>
    </row>
    <row r="142" spans="7:7">
      <c r="G142" s="6"/>
    </row>
    <row r="143" spans="7:7">
      <c r="G143" s="6"/>
    </row>
    <row r="144" spans="7:7">
      <c r="G144" s="6"/>
    </row>
    <row r="145" spans="7:7">
      <c r="G145" s="6"/>
    </row>
    <row r="146" spans="7:7">
      <c r="G146" s="6"/>
    </row>
    <row r="147" spans="7:7">
      <c r="G147" s="6"/>
    </row>
    <row r="148" spans="7:7">
      <c r="G148" s="6"/>
    </row>
    <row r="149" spans="7:7">
      <c r="G149" s="6"/>
    </row>
    <row r="150" spans="7:7">
      <c r="G150" s="6"/>
    </row>
    <row r="151" spans="7:7">
      <c r="G151" s="6"/>
    </row>
    <row r="152" spans="7:7">
      <c r="G152" s="6"/>
    </row>
    <row r="153" spans="7:7">
      <c r="G153" s="6"/>
    </row>
    <row r="154" spans="7:7">
      <c r="G154" s="6"/>
    </row>
    <row r="155" spans="7:7">
      <c r="G155" s="6"/>
    </row>
    <row r="156" spans="7:7">
      <c r="G156" s="6"/>
    </row>
    <row r="157" spans="7:7">
      <c r="G157" s="6"/>
    </row>
    <row r="158" spans="7:7">
      <c r="G158" s="6"/>
    </row>
    <row r="159" spans="7:7">
      <c r="G159" s="6"/>
    </row>
    <row r="160" spans="7:7">
      <c r="G160" s="6"/>
    </row>
    <row r="161" spans="7:7">
      <c r="G161" s="6"/>
    </row>
    <row r="162" spans="7:7">
      <c r="G162" s="6"/>
    </row>
    <row r="163" spans="7:7">
      <c r="G163" s="6"/>
    </row>
    <row r="164" spans="7:7">
      <c r="G164" s="6"/>
    </row>
    <row r="165" spans="7:7">
      <c r="G165" s="6"/>
    </row>
    <row r="166" spans="7:7">
      <c r="G166" s="6"/>
    </row>
    <row r="167" spans="7:7">
      <c r="G167" s="6"/>
    </row>
    <row r="168" spans="7:7">
      <c r="G168" s="6"/>
    </row>
    <row r="169" spans="7:7">
      <c r="G169" s="6"/>
    </row>
    <row r="170" spans="7:7">
      <c r="G170" s="6"/>
    </row>
    <row r="171" spans="7:7">
      <c r="G171" s="6"/>
    </row>
    <row r="172" spans="7:7">
      <c r="G172" s="6"/>
    </row>
    <row r="173" spans="7:7">
      <c r="G173" s="6"/>
    </row>
    <row r="174" spans="7:7">
      <c r="G174" s="6"/>
    </row>
    <row r="175" spans="7:7">
      <c r="G175" s="6"/>
    </row>
    <row r="176" spans="7:7">
      <c r="G176" s="6"/>
    </row>
    <row r="177" spans="7:7">
      <c r="G177" s="6"/>
    </row>
    <row r="178" spans="7:7">
      <c r="G178" s="6"/>
    </row>
    <row r="179" spans="7:7">
      <c r="G179" s="6"/>
    </row>
    <row r="180" spans="7:7">
      <c r="G180" s="6"/>
    </row>
    <row r="181" spans="7:7">
      <c r="G181" s="6"/>
    </row>
    <row r="182" spans="7:7">
      <c r="G182" s="6"/>
    </row>
    <row r="183" spans="7:7">
      <c r="G183" s="6"/>
    </row>
    <row r="184" spans="7:7">
      <c r="G184" s="6"/>
    </row>
    <row r="185" spans="7:7">
      <c r="G185" s="6"/>
    </row>
    <row r="186" spans="7:7">
      <c r="G186" s="6"/>
    </row>
    <row r="187" spans="7:7">
      <c r="G187" s="6"/>
    </row>
    <row r="188" spans="7:7">
      <c r="G188" s="6"/>
    </row>
    <row r="189" spans="7:7">
      <c r="G189" s="6"/>
    </row>
    <row r="190" spans="7:7">
      <c r="G190" s="6"/>
    </row>
    <row r="191" spans="7:7">
      <c r="G191" s="6"/>
    </row>
    <row r="192" spans="7:7">
      <c r="G192" s="6"/>
    </row>
    <row r="193" spans="7:7">
      <c r="G193" s="6"/>
    </row>
    <row r="194" spans="7:7">
      <c r="G194" s="6"/>
    </row>
    <row r="195" spans="7:7">
      <c r="G195" s="6"/>
    </row>
    <row r="196" spans="7:7">
      <c r="G196" s="6"/>
    </row>
    <row r="197" spans="7:7">
      <c r="G197" s="6"/>
    </row>
    <row r="198" spans="7:7">
      <c r="G198" s="6"/>
    </row>
    <row r="199" spans="7:7">
      <c r="G199" s="6"/>
    </row>
    <row r="200" spans="7:7">
      <c r="G200" s="6"/>
    </row>
    <row r="201" spans="7:7">
      <c r="G201" s="6"/>
    </row>
    <row r="202" spans="7:7">
      <c r="G202" s="6"/>
    </row>
    <row r="203" spans="7:7">
      <c r="G203" s="6"/>
    </row>
    <row r="204" spans="7:7">
      <c r="G204" s="6"/>
    </row>
    <row r="205" spans="7:7">
      <c r="G205" s="6"/>
    </row>
    <row r="206" spans="7:7">
      <c r="G206" s="6"/>
    </row>
    <row r="207" spans="7:7">
      <c r="G207" s="6"/>
    </row>
    <row r="208" spans="7:7">
      <c r="G208" s="6"/>
    </row>
    <row r="209" spans="7:7">
      <c r="G209" s="6"/>
    </row>
    <row r="210" spans="7:7">
      <c r="G210" s="6"/>
    </row>
    <row r="211" spans="7:7">
      <c r="G211" s="6"/>
    </row>
    <row r="212" spans="7:7">
      <c r="G212" s="6"/>
    </row>
    <row r="213" spans="7:7">
      <c r="G213" s="6"/>
    </row>
    <row r="214" spans="7:7">
      <c r="G214" s="6"/>
    </row>
    <row r="215" spans="7:7">
      <c r="G215" s="6"/>
    </row>
    <row r="216" spans="7:7">
      <c r="G216" s="6"/>
    </row>
    <row r="217" spans="7:7">
      <c r="G217" s="6"/>
    </row>
    <row r="218" spans="7:7">
      <c r="G218" s="6"/>
    </row>
    <row r="219" spans="7:7">
      <c r="G219" s="6"/>
    </row>
    <row r="220" spans="7:7">
      <c r="G220" s="6"/>
    </row>
    <row r="221" spans="7:7">
      <c r="G221" s="6"/>
    </row>
    <row r="222" spans="7:7">
      <c r="G222" s="6"/>
    </row>
    <row r="223" spans="7:7">
      <c r="G223" s="6"/>
    </row>
    <row r="224" spans="7:7">
      <c r="G224" s="6"/>
    </row>
    <row r="225" spans="7:7">
      <c r="G225" s="6"/>
    </row>
    <row r="226" spans="7:7">
      <c r="G226" s="6"/>
    </row>
    <row r="227" spans="7:7">
      <c r="G227" s="6"/>
    </row>
    <row r="228" spans="7:7">
      <c r="G228" s="6"/>
    </row>
    <row r="229" spans="7:7">
      <c r="G229" s="6"/>
    </row>
    <row r="230" spans="7:7">
      <c r="G230" s="6"/>
    </row>
    <row r="231" spans="7:7">
      <c r="G231" s="6"/>
    </row>
    <row r="232" spans="7:7">
      <c r="G232" s="6"/>
    </row>
    <row r="233" spans="7:7">
      <c r="G233" s="6"/>
    </row>
    <row r="234" spans="7:7">
      <c r="G234" s="6"/>
    </row>
    <row r="235" spans="7:7">
      <c r="G235" s="6"/>
    </row>
    <row r="236" spans="7:7">
      <c r="G236" s="6"/>
    </row>
    <row r="237" spans="7:7">
      <c r="G237" s="6"/>
    </row>
    <row r="238" spans="7:7">
      <c r="G238" s="6"/>
    </row>
    <row r="239" spans="7:7">
      <c r="G239" s="6"/>
    </row>
    <row r="240" spans="7:7">
      <c r="G240" s="6"/>
    </row>
    <row r="241" spans="7:7">
      <c r="G241" s="6"/>
    </row>
    <row r="242" spans="7:7">
      <c r="G242" s="6"/>
    </row>
    <row r="243" spans="7:7">
      <c r="G243" s="6"/>
    </row>
    <row r="244" spans="7:7">
      <c r="G244" s="6"/>
    </row>
    <row r="245" spans="7:7">
      <c r="G245" s="6"/>
    </row>
    <row r="246" spans="7:7">
      <c r="G246" s="6"/>
    </row>
    <row r="247" spans="7:7">
      <c r="G247" s="6"/>
    </row>
    <row r="248" spans="7:7">
      <c r="G248" s="6"/>
    </row>
    <row r="249" spans="7:7">
      <c r="G249" s="6"/>
    </row>
    <row r="250" spans="7:7">
      <c r="G250" s="6"/>
    </row>
    <row r="251" spans="7:7">
      <c r="G251" s="6"/>
    </row>
    <row r="252" spans="7:7">
      <c r="G252" s="6"/>
    </row>
    <row r="253" spans="7:7">
      <c r="G253" s="6"/>
    </row>
    <row r="254" spans="7:7">
      <c r="G254" s="6"/>
    </row>
    <row r="255" spans="7:7">
      <c r="G255" s="6"/>
    </row>
    <row r="256" spans="7:7">
      <c r="G256" s="6"/>
    </row>
    <row r="257" spans="7:7">
      <c r="G257" s="6"/>
    </row>
    <row r="258" spans="7:7">
      <c r="G258" s="6"/>
    </row>
    <row r="259" spans="7:7">
      <c r="G259" s="6"/>
    </row>
    <row r="260" spans="7:7">
      <c r="G260" s="6"/>
    </row>
    <row r="261" spans="7:7">
      <c r="G261" s="6"/>
    </row>
    <row r="262" spans="7:7">
      <c r="G262" s="6"/>
    </row>
    <row r="263" spans="7:7">
      <c r="G263" s="6"/>
    </row>
    <row r="264" spans="7:7">
      <c r="G264" s="6"/>
    </row>
    <row r="265" spans="7:7">
      <c r="G265" s="6"/>
    </row>
    <row r="266" spans="7:7">
      <c r="G266" s="6"/>
    </row>
    <row r="267" spans="7:7">
      <c r="G267" s="6"/>
    </row>
    <row r="268" spans="7:7">
      <c r="G268" s="6"/>
    </row>
    <row r="269" spans="7:7">
      <c r="G269" s="6"/>
    </row>
    <row r="270" spans="7:7">
      <c r="G270" s="6"/>
    </row>
    <row r="271" spans="7:7">
      <c r="G271" s="6"/>
    </row>
    <row r="272" spans="7:7">
      <c r="G272" s="6"/>
    </row>
    <row r="273" spans="7:7">
      <c r="G273" s="6"/>
    </row>
    <row r="274" spans="7:7">
      <c r="G274" s="6"/>
    </row>
    <row r="275" spans="7:7">
      <c r="G275" s="6"/>
    </row>
    <row r="276" spans="7:7">
      <c r="G276" s="6"/>
    </row>
    <row r="277" spans="7:7">
      <c r="G277" s="6"/>
    </row>
    <row r="278" spans="7:7">
      <c r="G278" s="6"/>
    </row>
    <row r="279" spans="7:7">
      <c r="G279" s="6"/>
    </row>
    <row r="280" spans="7:7">
      <c r="G280" s="6"/>
    </row>
    <row r="281" spans="7:7">
      <c r="G281" s="6"/>
    </row>
    <row r="282" spans="7:7">
      <c r="G282" s="6"/>
    </row>
    <row r="283" spans="7:7">
      <c r="G283" s="6"/>
    </row>
    <row r="284" spans="7:7">
      <c r="G284" s="6"/>
    </row>
    <row r="285" spans="7:7">
      <c r="G285" s="6"/>
    </row>
    <row r="286" spans="7:7">
      <c r="G286" s="6"/>
    </row>
    <row r="287" spans="7:7">
      <c r="G287" s="6"/>
    </row>
    <row r="288" spans="7:7">
      <c r="G288" s="6"/>
    </row>
    <row r="289" spans="7:7">
      <c r="G289" s="6"/>
    </row>
    <row r="290" spans="7:7">
      <c r="G290" s="6"/>
    </row>
    <row r="291" spans="7:7">
      <c r="G291" s="6"/>
    </row>
    <row r="292" spans="7:7">
      <c r="G292" s="6"/>
    </row>
    <row r="293" spans="7:7">
      <c r="G293" s="6"/>
    </row>
    <row r="294" spans="7:7">
      <c r="G294" s="6"/>
    </row>
    <row r="295" spans="7:7">
      <c r="G295" s="6"/>
    </row>
    <row r="296" spans="7:7">
      <c r="G296" s="6"/>
    </row>
    <row r="297" spans="7:7">
      <c r="G297" s="6"/>
    </row>
    <row r="298" spans="7:7">
      <c r="G298" s="6"/>
    </row>
    <row r="299" spans="7:7">
      <c r="G299" s="6"/>
    </row>
    <row r="300" spans="7:7">
      <c r="G300" s="6"/>
    </row>
    <row r="301" spans="7:7">
      <c r="G301" s="6"/>
    </row>
    <row r="302" spans="7:7">
      <c r="G302" s="6"/>
    </row>
    <row r="303" spans="7:7">
      <c r="G303" s="6"/>
    </row>
    <row r="304" spans="7:7">
      <c r="G304" s="6"/>
    </row>
    <row r="305" spans="7:7">
      <c r="G305" s="6"/>
    </row>
    <row r="306" spans="7:7">
      <c r="G306" s="6"/>
    </row>
    <row r="307" spans="7:7">
      <c r="G307" s="6"/>
    </row>
    <row r="308" spans="7:7">
      <c r="G308" s="6"/>
    </row>
    <row r="309" spans="7:7">
      <c r="G309" s="6"/>
    </row>
    <row r="310" spans="7:7">
      <c r="G310" s="6"/>
    </row>
    <row r="311" spans="7:7">
      <c r="G311" s="6"/>
    </row>
    <row r="312" spans="7:7">
      <c r="G312" s="6"/>
    </row>
    <row r="313" spans="7:7">
      <c r="G313" s="6"/>
    </row>
    <row r="314" spans="7:7">
      <c r="G314" s="6"/>
    </row>
    <row r="315" spans="7:7">
      <c r="G315" s="6"/>
    </row>
    <row r="316" spans="7:7">
      <c r="G316" s="6"/>
    </row>
    <row r="317" spans="7:7">
      <c r="G317" s="6"/>
    </row>
    <row r="318" spans="7:7">
      <c r="G318" s="6"/>
    </row>
    <row r="319" spans="7:7">
      <c r="G319" s="6"/>
    </row>
    <row r="320" spans="7:7">
      <c r="G320" s="6"/>
    </row>
    <row r="321" spans="7:7">
      <c r="G321" s="6"/>
    </row>
    <row r="322" spans="7:7">
      <c r="G322" s="6"/>
    </row>
    <row r="323" spans="7:7">
      <c r="G323" s="6"/>
    </row>
    <row r="324" spans="7:7">
      <c r="G324" s="6"/>
    </row>
    <row r="325" spans="7:7">
      <c r="G325" s="6"/>
    </row>
    <row r="326" spans="7:7">
      <c r="G326" s="6"/>
    </row>
    <row r="327" spans="7:7">
      <c r="G327" s="6"/>
    </row>
    <row r="328" spans="7:7">
      <c r="G328" s="6"/>
    </row>
    <row r="329" spans="7:7">
      <c r="G329" s="6"/>
    </row>
    <row r="330" spans="7:7">
      <c r="G330" s="6"/>
    </row>
    <row r="331" spans="7:7">
      <c r="G331" s="6"/>
    </row>
    <row r="332" spans="7:7">
      <c r="G332" s="6"/>
    </row>
    <row r="333" spans="7:7">
      <c r="G333" s="6"/>
    </row>
    <row r="334" spans="7:7">
      <c r="G334" s="6"/>
    </row>
    <row r="335" spans="7:7">
      <c r="G335" s="6"/>
    </row>
    <row r="336" spans="7:7">
      <c r="G336" s="6"/>
    </row>
    <row r="337" spans="7:7">
      <c r="G337" s="6"/>
    </row>
    <row r="338" spans="7:7">
      <c r="G338" s="6"/>
    </row>
    <row r="339" spans="7:7">
      <c r="G339" s="6"/>
    </row>
    <row r="340" spans="7:7">
      <c r="G340" s="6"/>
    </row>
    <row r="341" spans="7:7">
      <c r="G341" s="6"/>
    </row>
    <row r="342" spans="7:7">
      <c r="G342" s="6"/>
    </row>
    <row r="343" spans="7:7">
      <c r="G343" s="6"/>
    </row>
    <row r="344" spans="7:7">
      <c r="G344" s="6"/>
    </row>
    <row r="345" spans="7:7">
      <c r="G345" s="6"/>
    </row>
    <row r="346" spans="7:7">
      <c r="G346" s="6"/>
    </row>
    <row r="347" spans="7:7">
      <c r="G347" s="6"/>
    </row>
    <row r="348" spans="7:7">
      <c r="G348" s="6"/>
    </row>
    <row r="349" spans="7:7">
      <c r="G349" s="6"/>
    </row>
    <row r="350" spans="7:7">
      <c r="G350" s="6"/>
    </row>
    <row r="351" spans="7:7">
      <c r="G351" s="6"/>
    </row>
    <row r="352" spans="7:7">
      <c r="G352" s="6"/>
    </row>
    <row r="353" spans="7:7">
      <c r="G353" s="6"/>
    </row>
    <row r="354" spans="7:7">
      <c r="G354" s="6"/>
    </row>
    <row r="355" spans="7:7">
      <c r="G355" s="6"/>
    </row>
    <row r="356" spans="7:7">
      <c r="G356" s="6"/>
    </row>
    <row r="357" spans="7:7">
      <c r="G357" s="6"/>
    </row>
    <row r="358" spans="7:7">
      <c r="G358" s="6"/>
    </row>
    <row r="359" spans="7:7">
      <c r="G359" s="6"/>
    </row>
    <row r="360" spans="7:7">
      <c r="G360" s="6"/>
    </row>
    <row r="361" spans="7:7">
      <c r="G361" s="6"/>
    </row>
    <row r="362" spans="7:7">
      <c r="G362" s="6"/>
    </row>
    <row r="363" spans="7:7">
      <c r="G363" s="6"/>
    </row>
    <row r="364" spans="7:7">
      <c r="G364" s="6"/>
    </row>
    <row r="365" spans="7:7">
      <c r="G365" s="6"/>
    </row>
    <row r="366" spans="7:7">
      <c r="G366" s="6"/>
    </row>
    <row r="367" spans="7:7">
      <c r="G367" s="6"/>
    </row>
    <row r="368" spans="7:7">
      <c r="G368" s="6"/>
    </row>
    <row r="369" spans="7:7">
      <c r="G369" s="6"/>
    </row>
    <row r="370" spans="7:7">
      <c r="G370" s="6"/>
    </row>
    <row r="371" spans="7:7">
      <c r="G371" s="6"/>
    </row>
    <row r="372" spans="7:7">
      <c r="G372" s="6"/>
    </row>
    <row r="373" spans="7:7">
      <c r="G373" s="6"/>
    </row>
    <row r="374" spans="7:7">
      <c r="G374" s="6"/>
    </row>
    <row r="375" spans="7:7">
      <c r="G375" s="6"/>
    </row>
    <row r="376" spans="7:7">
      <c r="G376" s="6"/>
    </row>
    <row r="377" spans="7:7">
      <c r="G377" s="6"/>
    </row>
    <row r="378" spans="7:7">
      <c r="G378" s="6"/>
    </row>
    <row r="379" spans="7:7">
      <c r="G379" s="6"/>
    </row>
    <row r="380" spans="7:7">
      <c r="G380" s="6"/>
    </row>
    <row r="381" spans="7:7">
      <c r="G381" s="6"/>
    </row>
    <row r="382" spans="7:7">
      <c r="G382" s="6"/>
    </row>
    <row r="383" spans="7:7">
      <c r="G383" s="6"/>
    </row>
    <row r="384" spans="7:7">
      <c r="G384" s="6"/>
    </row>
    <row r="385" spans="7:7">
      <c r="G385" s="6"/>
    </row>
    <row r="386" spans="7:7">
      <c r="G386" s="6"/>
    </row>
    <row r="387" spans="7:7">
      <c r="G387" s="6"/>
    </row>
    <row r="388" spans="7:7">
      <c r="G388" s="6"/>
    </row>
    <row r="389" spans="7:7">
      <c r="G389" s="6"/>
    </row>
    <row r="390" spans="7:7">
      <c r="G390" s="6"/>
    </row>
    <row r="391" spans="7:7">
      <c r="G391" s="6"/>
    </row>
    <row r="392" spans="7:7">
      <c r="G392" s="6"/>
    </row>
    <row r="393" spans="7:7">
      <c r="G393" s="6"/>
    </row>
    <row r="394" spans="7:7">
      <c r="G394" s="6"/>
    </row>
    <row r="395" spans="7:7">
      <c r="G395" s="6"/>
    </row>
    <row r="396" spans="7:7">
      <c r="G396" s="6"/>
    </row>
    <row r="397" spans="7:7">
      <c r="G397" s="6"/>
    </row>
    <row r="398" spans="7:7">
      <c r="G398" s="6"/>
    </row>
    <row r="399" spans="7:7">
      <c r="G399" s="6"/>
    </row>
    <row r="400" spans="7:7">
      <c r="G400" s="6"/>
    </row>
    <row r="401" spans="7:7">
      <c r="G401" s="6"/>
    </row>
    <row r="402" spans="7:7">
      <c r="G402" s="6"/>
    </row>
    <row r="403" spans="7:7">
      <c r="G403" s="6"/>
    </row>
    <row r="404" spans="7:7">
      <c r="G404" s="6"/>
    </row>
    <row r="405" spans="7:7">
      <c r="G405" s="6"/>
    </row>
    <row r="406" spans="7:7">
      <c r="G406" s="6"/>
    </row>
    <row r="407" spans="7:7">
      <c r="G407" s="6"/>
    </row>
    <row r="408" spans="7:7">
      <c r="G408" s="6"/>
    </row>
    <row r="409" spans="7:7">
      <c r="G409" s="6"/>
    </row>
    <row r="410" spans="7:7">
      <c r="G410" s="6"/>
    </row>
    <row r="411" spans="7:7">
      <c r="G411" s="6"/>
    </row>
    <row r="412" spans="7:7">
      <c r="G412" s="6"/>
    </row>
    <row r="413" spans="7:7">
      <c r="G413" s="6"/>
    </row>
    <row r="414" spans="7:7">
      <c r="G414" s="6"/>
    </row>
    <row r="415" spans="7:7">
      <c r="G415" s="6"/>
    </row>
    <row r="416" spans="7:7">
      <c r="G416" s="6"/>
    </row>
    <row r="417" spans="7:7">
      <c r="G417" s="6"/>
    </row>
    <row r="418" spans="7:7">
      <c r="G418" s="6"/>
    </row>
    <row r="419" spans="7:7">
      <c r="G419" s="6"/>
    </row>
    <row r="420" spans="7:7">
      <c r="G420" s="6"/>
    </row>
    <row r="421" spans="7:7">
      <c r="G421" s="6"/>
    </row>
    <row r="422" spans="7:7">
      <c r="G422" s="6"/>
    </row>
    <row r="423" spans="7:7">
      <c r="G423" s="6"/>
    </row>
    <row r="424" spans="7:7">
      <c r="G424" s="6"/>
    </row>
    <row r="425" spans="7:7">
      <c r="G425" s="6"/>
    </row>
    <row r="426" spans="7:7">
      <c r="G426" s="6"/>
    </row>
    <row r="427" spans="7:7">
      <c r="G427" s="6"/>
    </row>
    <row r="428" spans="7:7">
      <c r="G428" s="6"/>
    </row>
    <row r="429" spans="7:7">
      <c r="G429" s="6"/>
    </row>
    <row r="430" spans="7:7">
      <c r="G430" s="6"/>
    </row>
    <row r="431" spans="7:7">
      <c r="G431" s="6"/>
    </row>
    <row r="432" spans="7:7">
      <c r="G432" s="6"/>
    </row>
    <row r="433" spans="7:7">
      <c r="G433" s="6"/>
    </row>
    <row r="434" spans="7:7">
      <c r="G434" s="6"/>
    </row>
    <row r="435" spans="7:7">
      <c r="G435" s="6"/>
    </row>
    <row r="436" spans="7:7">
      <c r="G436" s="6"/>
    </row>
    <row r="437" spans="7:7">
      <c r="G437" s="6"/>
    </row>
    <row r="438" spans="7:7">
      <c r="G438" s="6"/>
    </row>
    <row r="439" spans="7:7">
      <c r="G439" s="6"/>
    </row>
    <row r="440" spans="7:7">
      <c r="G440" s="6"/>
    </row>
    <row r="441" spans="7:7">
      <c r="G441" s="6"/>
    </row>
    <row r="442" spans="7:7">
      <c r="G442" s="6"/>
    </row>
    <row r="443" spans="7:7">
      <c r="G443" s="6"/>
    </row>
    <row r="444" spans="7:7">
      <c r="G444" s="6"/>
    </row>
    <row r="445" spans="7:7">
      <c r="G445" s="6"/>
    </row>
    <row r="446" spans="7:7">
      <c r="G446" s="6"/>
    </row>
    <row r="447" spans="7:7">
      <c r="G447" s="6"/>
    </row>
    <row r="448" spans="7:7">
      <c r="G448" s="6"/>
    </row>
    <row r="449" spans="7:7">
      <c r="G449" s="6"/>
    </row>
    <row r="450" spans="7:7">
      <c r="G450" s="6"/>
    </row>
    <row r="451" spans="7:7">
      <c r="G451" s="6"/>
    </row>
    <row r="452" spans="7:7">
      <c r="G452" s="6"/>
    </row>
    <row r="453" spans="7:7">
      <c r="G453" s="6"/>
    </row>
    <row r="454" spans="7:7">
      <c r="G454" s="6"/>
    </row>
    <row r="455" spans="7:7">
      <c r="G455" s="6"/>
    </row>
    <row r="456" spans="7:7">
      <c r="G456" s="6"/>
    </row>
    <row r="457" spans="7:7">
      <c r="G457" s="6"/>
    </row>
    <row r="458" spans="7:7">
      <c r="G458" s="6"/>
    </row>
    <row r="459" spans="7:7">
      <c r="G459" s="6"/>
    </row>
    <row r="460" spans="7:7">
      <c r="G460" s="6"/>
    </row>
    <row r="461" spans="7:7">
      <c r="G461" s="6"/>
    </row>
    <row r="462" spans="7:7">
      <c r="G462" s="6"/>
    </row>
    <row r="463" spans="7:7">
      <c r="G463" s="6"/>
    </row>
    <row r="464" spans="7:7">
      <c r="G464" s="6"/>
    </row>
    <row r="465" spans="7:7">
      <c r="G465" s="6"/>
    </row>
    <row r="466" spans="7:7">
      <c r="G466" s="6"/>
    </row>
    <row r="467" spans="7:7">
      <c r="G467" s="6"/>
    </row>
    <row r="468" spans="7:7">
      <c r="G468" s="6"/>
    </row>
    <row r="469" spans="7:7">
      <c r="G469" s="6"/>
    </row>
    <row r="470" spans="7:7">
      <c r="G470" s="6"/>
    </row>
    <row r="471" spans="7:7">
      <c r="G471" s="6"/>
    </row>
    <row r="472" spans="7:7">
      <c r="G472" s="6"/>
    </row>
    <row r="473" spans="7:7">
      <c r="G473" s="6"/>
    </row>
    <row r="474" spans="7:7">
      <c r="G474" s="6"/>
    </row>
    <row r="475" spans="7:7">
      <c r="G475" s="6"/>
    </row>
    <row r="476" spans="7:7">
      <c r="G476" s="6"/>
    </row>
    <row r="477" spans="7:7">
      <c r="G477" s="6"/>
    </row>
    <row r="478" spans="7:7">
      <c r="G478" s="6"/>
    </row>
    <row r="479" spans="7:7">
      <c r="G479" s="6"/>
    </row>
    <row r="480" spans="7:7">
      <c r="G480" s="6"/>
    </row>
    <row r="481" spans="7:7">
      <c r="G481" s="6"/>
    </row>
    <row r="482" spans="7:7">
      <c r="G482" s="6"/>
    </row>
    <row r="483" spans="7:7">
      <c r="G483" s="6"/>
    </row>
    <row r="484" spans="7:7">
      <c r="G484" s="6"/>
    </row>
    <row r="485" spans="7:7">
      <c r="G485" s="6"/>
    </row>
    <row r="486" spans="7:7">
      <c r="G486" s="6"/>
    </row>
    <row r="487" spans="7:7">
      <c r="G487" s="6"/>
    </row>
    <row r="488" spans="7:7">
      <c r="G488" s="6"/>
    </row>
    <row r="489" spans="7:7">
      <c r="G489" s="6"/>
    </row>
    <row r="490" spans="7:7">
      <c r="G490" s="6"/>
    </row>
    <row r="491" spans="7:7">
      <c r="G491" s="6"/>
    </row>
    <row r="492" spans="7:7">
      <c r="G492" s="6"/>
    </row>
    <row r="493" spans="7:7">
      <c r="G493" s="6"/>
    </row>
    <row r="494" spans="7:7">
      <c r="G494" s="6"/>
    </row>
    <row r="495" spans="7:7">
      <c r="G495" s="6"/>
    </row>
    <row r="496" spans="7:7">
      <c r="G496" s="6"/>
    </row>
    <row r="497" spans="7:7">
      <c r="G497" s="6"/>
    </row>
    <row r="498" spans="7:7">
      <c r="G498" s="6"/>
    </row>
    <row r="499" spans="7:7">
      <c r="G499" s="6"/>
    </row>
    <row r="500" spans="7:7">
      <c r="G500" s="6"/>
    </row>
    <row r="501" spans="7:7">
      <c r="G501" s="6"/>
    </row>
    <row r="502" spans="7:7">
      <c r="G502" s="6"/>
    </row>
    <row r="503" spans="7:7">
      <c r="G503" s="6"/>
    </row>
    <row r="504" spans="7:7">
      <c r="G504" s="6"/>
    </row>
    <row r="505" spans="7:7">
      <c r="G505" s="6"/>
    </row>
    <row r="506" spans="7:7">
      <c r="G506" s="6"/>
    </row>
    <row r="507" spans="7:7">
      <c r="G507" s="6"/>
    </row>
    <row r="508" spans="7:7">
      <c r="G508" s="6"/>
    </row>
    <row r="509" spans="7:7">
      <c r="G509" s="6"/>
    </row>
    <row r="510" spans="7:7">
      <c r="G510" s="6"/>
    </row>
    <row r="511" spans="7:7">
      <c r="G511" s="6"/>
    </row>
    <row r="512" spans="7:7">
      <c r="G512" s="6"/>
    </row>
    <row r="513" spans="7:7">
      <c r="G513" s="6"/>
    </row>
    <row r="514" spans="7:7">
      <c r="G514" s="6"/>
    </row>
    <row r="515" spans="7:7">
      <c r="G515" s="6"/>
    </row>
    <row r="516" spans="7:7">
      <c r="G516" s="6"/>
    </row>
    <row r="517" spans="7:7">
      <c r="G517" s="6"/>
    </row>
    <row r="518" spans="7:7">
      <c r="G518" s="6"/>
    </row>
    <row r="519" spans="7:7">
      <c r="G519" s="6"/>
    </row>
    <row r="520" spans="7:7">
      <c r="G520" s="6"/>
    </row>
    <row r="521" spans="7:7">
      <c r="G521" s="6"/>
    </row>
    <row r="522" spans="7:7">
      <c r="G522" s="6"/>
    </row>
    <row r="523" spans="7:7">
      <c r="G523" s="6"/>
    </row>
    <row r="524" spans="7:7">
      <c r="G524" s="6"/>
    </row>
    <row r="525" spans="7:7">
      <c r="G525" s="6"/>
    </row>
    <row r="526" spans="7:7">
      <c r="G526" s="6"/>
    </row>
    <row r="527" spans="7:7">
      <c r="G527" s="6"/>
    </row>
    <row r="528" spans="7:7">
      <c r="G528" s="6"/>
    </row>
    <row r="529" spans="7:7">
      <c r="G529" s="6"/>
    </row>
    <row r="530" spans="7:7">
      <c r="G530" s="6"/>
    </row>
    <row r="531" spans="7:7">
      <c r="G531" s="6"/>
    </row>
    <row r="532" spans="7:7">
      <c r="G532" s="6"/>
    </row>
    <row r="533" spans="7:7">
      <c r="G533" s="6"/>
    </row>
    <row r="534" spans="7:7">
      <c r="G534" s="6"/>
    </row>
    <row r="535" spans="7:7">
      <c r="G535" s="6"/>
    </row>
    <row r="536" spans="7:7">
      <c r="G536" s="6"/>
    </row>
    <row r="537" spans="7:7">
      <c r="G537" s="6"/>
    </row>
    <row r="538" spans="7:7">
      <c r="G538" s="6"/>
    </row>
    <row r="539" spans="7:7">
      <c r="G539" s="6"/>
    </row>
    <row r="540" spans="7:7">
      <c r="G540" s="6"/>
    </row>
    <row r="541" spans="7:7">
      <c r="G541" s="6"/>
    </row>
    <row r="542" spans="7:7">
      <c r="G542" s="6"/>
    </row>
    <row r="543" spans="7:7">
      <c r="G543" s="6"/>
    </row>
    <row r="544" spans="7:7">
      <c r="G544" s="6"/>
    </row>
    <row r="545" spans="7:7">
      <c r="G545" s="6"/>
    </row>
    <row r="546" spans="7:7">
      <c r="G546" s="6"/>
    </row>
    <row r="547" spans="7:7">
      <c r="G547" s="6"/>
    </row>
    <row r="548" spans="7:7">
      <c r="G548" s="6"/>
    </row>
    <row r="549" spans="7:7">
      <c r="G549" s="6"/>
    </row>
    <row r="550" spans="7:7">
      <c r="G550" s="6"/>
    </row>
    <row r="551" spans="7:7">
      <c r="G551" s="6"/>
    </row>
    <row r="552" spans="7:7">
      <c r="G552" s="6"/>
    </row>
    <row r="553" spans="7:7">
      <c r="G553" s="6"/>
    </row>
    <row r="554" spans="7:7">
      <c r="G554" s="6"/>
    </row>
    <row r="555" spans="7:7">
      <c r="G555" s="6"/>
    </row>
    <row r="556" spans="7:7">
      <c r="G556" s="6"/>
    </row>
    <row r="557" spans="7:7">
      <c r="G557" s="6"/>
    </row>
    <row r="558" spans="7:7">
      <c r="G558" s="6"/>
    </row>
    <row r="559" spans="7:7">
      <c r="G559" s="6"/>
    </row>
    <row r="560" spans="7:7">
      <c r="G560" s="6"/>
    </row>
    <row r="561" spans="7:7">
      <c r="G561" s="6"/>
    </row>
    <row r="562" spans="7:7">
      <c r="G562" s="6"/>
    </row>
    <row r="563" spans="7:7">
      <c r="G563" s="6"/>
    </row>
    <row r="564" spans="7:7">
      <c r="G564" s="6"/>
    </row>
    <row r="565" spans="7:7">
      <c r="G565" s="6"/>
    </row>
    <row r="566" spans="7:7">
      <c r="G566" s="6"/>
    </row>
    <row r="567" spans="7:7">
      <c r="G567" s="6"/>
    </row>
    <row r="568" spans="7:7">
      <c r="G568" s="6"/>
    </row>
    <row r="569" spans="7:7">
      <c r="G569" s="6"/>
    </row>
    <row r="570" spans="7:7">
      <c r="G570" s="6"/>
    </row>
    <row r="571" spans="7:7">
      <c r="G571" s="6"/>
    </row>
    <row r="572" spans="7:7">
      <c r="G572" s="6"/>
    </row>
    <row r="573" spans="7:7">
      <c r="G573" s="6"/>
    </row>
    <row r="574" spans="7:7">
      <c r="G574" s="6"/>
    </row>
    <row r="575" spans="7:7">
      <c r="G575" s="6"/>
    </row>
    <row r="576" spans="7:7">
      <c r="G576" s="6"/>
    </row>
    <row r="577" spans="7:7">
      <c r="G577" s="6"/>
    </row>
    <row r="578" spans="7:7">
      <c r="G578" s="6"/>
    </row>
    <row r="579" spans="7:7">
      <c r="G579" s="6"/>
    </row>
    <row r="580" spans="7:7">
      <c r="G580" s="6"/>
    </row>
    <row r="581" spans="7:7">
      <c r="G581" s="6"/>
    </row>
    <row r="582" spans="7:7">
      <c r="G582" s="6"/>
    </row>
    <row r="583" spans="7:7">
      <c r="G583" s="6"/>
    </row>
    <row r="584" spans="7:7">
      <c r="G584" s="6"/>
    </row>
    <row r="585" spans="7:7">
      <c r="G585" s="6"/>
    </row>
    <row r="586" spans="7:7">
      <c r="G586" s="6"/>
    </row>
    <row r="587" spans="7:7">
      <c r="G587" s="6"/>
    </row>
    <row r="588" spans="7:7">
      <c r="G588" s="6"/>
    </row>
    <row r="589" spans="7:7">
      <c r="G589" s="6"/>
    </row>
    <row r="590" spans="7:7">
      <c r="G590" s="6"/>
    </row>
    <row r="591" spans="7:7">
      <c r="G591" s="6"/>
    </row>
    <row r="592" spans="7:7">
      <c r="G592" s="6"/>
    </row>
    <row r="593" spans="7:7">
      <c r="G593" s="6"/>
    </row>
    <row r="594" spans="7:7">
      <c r="G594" s="6"/>
    </row>
    <row r="595" spans="7:7">
      <c r="G595" s="6"/>
    </row>
    <row r="596" spans="7:7">
      <c r="G596" s="6"/>
    </row>
    <row r="597" spans="7:7">
      <c r="G597" s="6"/>
    </row>
    <row r="598" spans="7:7">
      <c r="G598" s="6"/>
    </row>
    <row r="599" spans="7:7">
      <c r="G599" s="6"/>
    </row>
    <row r="600" spans="7:7">
      <c r="G600" s="6"/>
    </row>
  </sheetData>
  <mergeCells count="4">
    <mergeCell ref="A1:A3"/>
    <mergeCell ref="AV2:AX2"/>
    <mergeCell ref="A34:B34"/>
    <mergeCell ref="A39:B39"/>
  </mergeCells>
  <conditionalFormatting sqref="AV3:AX3">
    <cfRule type="cellIs" dxfId="27" priority="13" operator="equal">
      <formula>#REF!</formula>
    </cfRule>
    <cfRule type="cellIs" dxfId="26" priority="14" operator="equal">
      <formula>#REF!</formula>
    </cfRule>
  </conditionalFormatting>
  <conditionalFormatting sqref="AV3:AX3">
    <cfRule type="cellIs" dxfId="25" priority="15" operator="equal">
      <formula>#REF!</formula>
    </cfRule>
    <cfRule type="cellIs" dxfId="24" priority="16" operator="equal">
      <formula>#REF!</formula>
    </cfRule>
  </conditionalFormatting>
  <conditionalFormatting sqref="AT4:AU4">
    <cfRule type="cellIs" dxfId="23" priority="9" operator="equal">
      <formula>#REF!</formula>
    </cfRule>
    <cfRule type="cellIs" dxfId="22" priority="10" operator="equal">
      <formula>#REF!</formula>
    </cfRule>
  </conditionalFormatting>
  <conditionalFormatting sqref="AT4:AU4">
    <cfRule type="cellIs" dxfId="21" priority="11" operator="equal">
      <formula>#REF!</formula>
    </cfRule>
    <cfRule type="cellIs" dxfId="20" priority="12" operator="equal">
      <formula>#REF!</formula>
    </cfRule>
  </conditionalFormatting>
  <conditionalFormatting sqref="AT4:AU4">
    <cfRule type="cellIs" dxfId="19" priority="5" operator="equal">
      <formula>#REF!</formula>
    </cfRule>
    <cfRule type="cellIs" dxfId="18" priority="6" operator="equal">
      <formula>#REF!</formula>
    </cfRule>
  </conditionalFormatting>
  <conditionalFormatting sqref="AT4:AU4">
    <cfRule type="cellIs" dxfId="17" priority="7" operator="equal">
      <formula>#REF!</formula>
    </cfRule>
    <cfRule type="cellIs" dxfId="16" priority="8" operator="equal">
      <formula>#REF!</formula>
    </cfRule>
  </conditionalFormatting>
  <conditionalFormatting sqref="D3:AU3">
    <cfRule type="cellIs" dxfId="15" priority="1" operator="equal">
      <formula>#REF!</formula>
    </cfRule>
    <cfRule type="cellIs" dxfId="14" priority="2" operator="equal">
      <formula>#REF!</formula>
    </cfRule>
  </conditionalFormatting>
  <conditionalFormatting sqref="D3:AU3">
    <cfRule type="cellIs" dxfId="13" priority="3" operator="equal">
      <formula>#REF!</formula>
    </cfRule>
    <cfRule type="cellIs" dxfId="12" priority="4" operator="equal">
      <formula>#REF!</formula>
    </cfRule>
  </conditionalFormatting>
  <pageMargins left="0.7" right="0.7" top="0.75" bottom="0.75" header="0.3" footer="0.3"/>
  <pageSetup paperSize="3" orientation="landscape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8FE95-4ED2-40C2-A093-ADB7D34F28F5}">
  <sheetPr>
    <tabColor rgb="FF00B0F0"/>
    <pageSetUpPr fitToPage="1"/>
  </sheetPr>
  <dimension ref="A1:K92"/>
  <sheetViews>
    <sheetView tabSelected="1" showOutlineSymbols="0" showWhiteSpace="0" zoomScale="83" zoomScaleNormal="83" workbookViewId="0">
      <selection activeCell="H20" sqref="H20"/>
    </sheetView>
  </sheetViews>
  <sheetFormatPr defaultColWidth="12.140625" defaultRowHeight="12.6"/>
  <cols>
    <col min="1" max="1" width="27.85546875" style="75" customWidth="1"/>
    <col min="2" max="2" width="12.140625" style="75"/>
    <col min="3" max="3" width="22.140625" style="75" customWidth="1"/>
    <col min="4" max="4" width="21.85546875" style="75" customWidth="1"/>
    <col min="5" max="5" width="27.7109375" style="75" customWidth="1"/>
    <col min="6" max="6" width="33.140625" style="75" customWidth="1"/>
    <col min="7" max="7" width="26.42578125" style="75" customWidth="1"/>
    <col min="8" max="9" width="12.140625" style="75"/>
    <col min="10" max="10" width="25.5703125" style="75" customWidth="1"/>
    <col min="11" max="11" width="8.42578125" style="75" customWidth="1"/>
    <col min="12" max="16384" width="12.140625" style="75"/>
  </cols>
  <sheetData>
    <row r="1" spans="1:10" ht="12.95">
      <c r="C1" s="75" t="s">
        <v>26</v>
      </c>
    </row>
    <row r="2" spans="1:10" ht="12.95">
      <c r="C2" s="388"/>
      <c r="D2" s="388"/>
    </row>
    <row r="3" spans="1:10" ht="12.95" thickBot="1">
      <c r="B3" s="76"/>
      <c r="C3" s="77"/>
      <c r="D3" s="77"/>
      <c r="E3" s="77"/>
      <c r="F3" s="77"/>
    </row>
    <row r="4" spans="1:10" ht="13.5" thickBot="1">
      <c r="A4" s="392" t="s">
        <v>27</v>
      </c>
      <c r="B4" s="393"/>
      <c r="C4" s="393"/>
      <c r="D4" s="393"/>
      <c r="E4" s="461"/>
      <c r="F4" s="461"/>
      <c r="G4" s="461"/>
      <c r="H4" s="394"/>
      <c r="I4" s="77"/>
      <c r="J4" s="78"/>
    </row>
    <row r="5" spans="1:10" ht="13.5" thickBot="1">
      <c r="A5" s="251" t="s">
        <v>28</v>
      </c>
      <c r="B5" s="243"/>
      <c r="C5" s="252"/>
      <c r="D5" s="177"/>
      <c r="E5" s="240" t="s">
        <v>29</v>
      </c>
      <c r="F5" s="80" t="s">
        <v>30</v>
      </c>
      <c r="G5" s="271" t="s">
        <v>31</v>
      </c>
      <c r="H5" s="272"/>
    </row>
    <row r="6" spans="1:10" ht="12.95">
      <c r="A6" s="253" t="s">
        <v>32</v>
      </c>
      <c r="B6" s="246"/>
      <c r="C6" s="79" t="s">
        <v>33</v>
      </c>
      <c r="D6" s="254" t="s">
        <v>34</v>
      </c>
      <c r="E6" s="241" t="s">
        <v>35</v>
      </c>
      <c r="F6" s="339">
        <v>38</v>
      </c>
      <c r="G6" s="249"/>
      <c r="H6" s="274" t="s">
        <v>36</v>
      </c>
      <c r="I6" s="273" t="s">
        <v>37</v>
      </c>
    </row>
    <row r="7" spans="1:10" ht="12" customHeight="1">
      <c r="A7" s="93" t="s">
        <v>38</v>
      </c>
      <c r="B7" s="79"/>
      <c r="C7" s="247">
        <v>610</v>
      </c>
      <c r="D7" s="178">
        <v>650</v>
      </c>
      <c r="E7" s="462" t="s">
        <v>39</v>
      </c>
      <c r="F7" s="463" t="s">
        <v>40</v>
      </c>
      <c r="G7" s="83" t="s">
        <v>41</v>
      </c>
      <c r="H7" s="343">
        <v>5.8999999999999997E-2</v>
      </c>
      <c r="I7" s="276">
        <v>4.4999999999999998E-2</v>
      </c>
    </row>
    <row r="8" spans="1:10" ht="12.95">
      <c r="A8" s="93" t="s">
        <v>42</v>
      </c>
      <c r="B8" s="79"/>
      <c r="C8" s="238">
        <v>2.77</v>
      </c>
      <c r="D8" s="175">
        <v>170</v>
      </c>
      <c r="E8" s="241" t="s">
        <v>39</v>
      </c>
      <c r="F8" s="339">
        <v>175</v>
      </c>
      <c r="G8" s="83" t="s">
        <v>43</v>
      </c>
      <c r="H8" s="343">
        <v>5.3999999999999999E-2</v>
      </c>
      <c r="I8" s="276">
        <v>7.0000000000000007E-2</v>
      </c>
    </row>
    <row r="9" spans="1:10" ht="13.5" thickBot="1">
      <c r="A9" s="253" t="s">
        <v>44</v>
      </c>
      <c r="B9" s="246"/>
      <c r="C9" s="248"/>
      <c r="D9" s="255"/>
      <c r="E9" s="242" t="s">
        <v>45</v>
      </c>
      <c r="F9" s="340">
        <v>220</v>
      </c>
      <c r="G9" s="83" t="s">
        <v>29</v>
      </c>
      <c r="H9" s="343">
        <v>7.4999999999999997E-2</v>
      </c>
      <c r="I9" s="277">
        <v>0.13</v>
      </c>
    </row>
    <row r="10" spans="1:10" ht="13.5" thickBot="1">
      <c r="A10" s="93" t="s">
        <v>38</v>
      </c>
      <c r="B10" s="79"/>
      <c r="C10" s="247">
        <v>740</v>
      </c>
      <c r="D10" s="256">
        <v>800</v>
      </c>
      <c r="E10" s="243" t="s">
        <v>46</v>
      </c>
      <c r="F10" s="252" t="s">
        <v>30</v>
      </c>
      <c r="G10" s="83" t="s">
        <v>46</v>
      </c>
      <c r="H10" s="343">
        <v>0.06</v>
      </c>
      <c r="I10" s="277">
        <v>0.1</v>
      </c>
    </row>
    <row r="11" spans="1:10" ht="12.95">
      <c r="A11" s="93" t="s">
        <v>42</v>
      </c>
      <c r="B11" s="79"/>
      <c r="C11" s="238">
        <v>2.2999999999999998</v>
      </c>
      <c r="D11" s="175">
        <v>165</v>
      </c>
      <c r="E11" s="244" t="s">
        <v>47</v>
      </c>
      <c r="F11" s="341">
        <v>30</v>
      </c>
      <c r="G11" s="83" t="s">
        <v>48</v>
      </c>
      <c r="H11" s="343">
        <v>0.08</v>
      </c>
      <c r="I11" s="278">
        <v>0.2</v>
      </c>
    </row>
    <row r="12" spans="1:10" ht="13.5" thickBot="1">
      <c r="A12" s="81" t="s">
        <v>49</v>
      </c>
      <c r="B12" s="246"/>
      <c r="C12" s="248"/>
      <c r="D12" s="257"/>
      <c r="E12" s="245" t="s">
        <v>50</v>
      </c>
      <c r="F12" s="342">
        <v>20</v>
      </c>
      <c r="G12" s="83" t="s">
        <v>39</v>
      </c>
      <c r="H12" s="343">
        <v>6.2E-2</v>
      </c>
      <c r="I12" s="276">
        <v>0.3</v>
      </c>
    </row>
    <row r="13" spans="1:10" ht="13.5" thickBot="1">
      <c r="A13" s="93" t="s">
        <v>38</v>
      </c>
      <c r="B13" s="88"/>
      <c r="C13" s="247">
        <v>1000</v>
      </c>
      <c r="D13" s="258">
        <v>1100</v>
      </c>
      <c r="E13" s="84" t="s">
        <v>51</v>
      </c>
      <c r="F13" s="84"/>
      <c r="G13" s="344" t="s">
        <v>52</v>
      </c>
      <c r="H13" s="279">
        <v>7.0000000000000007E-2</v>
      </c>
      <c r="I13" s="280">
        <v>0.193</v>
      </c>
    </row>
    <row r="14" spans="1:10" ht="25.5" thickBot="1">
      <c r="A14" s="93" t="s">
        <v>42</v>
      </c>
      <c r="B14" s="88"/>
      <c r="C14" s="238">
        <v>1.92</v>
      </c>
      <c r="D14" s="260">
        <v>151</v>
      </c>
      <c r="E14" s="464" t="s">
        <v>53</v>
      </c>
      <c r="F14" s="465">
        <v>7.0000000000000007E-2</v>
      </c>
      <c r="G14" s="395" t="s">
        <v>54</v>
      </c>
      <c r="H14" s="396"/>
    </row>
    <row r="15" spans="1:10" ht="12.95">
      <c r="A15" s="81" t="s">
        <v>55</v>
      </c>
      <c r="B15" s="246"/>
      <c r="C15" s="248"/>
      <c r="D15" s="257"/>
      <c r="E15" s="304" t="s">
        <v>56</v>
      </c>
      <c r="F15" s="465">
        <v>3.5000000000000003E-2</v>
      </c>
      <c r="G15" s="249" t="s">
        <v>57</v>
      </c>
      <c r="H15" s="250"/>
    </row>
    <row r="16" spans="1:10" ht="12.95">
      <c r="A16" s="93" t="s">
        <v>38</v>
      </c>
      <c r="B16" s="88"/>
      <c r="C16" s="247">
        <v>1200</v>
      </c>
      <c r="D16" s="258">
        <v>1400</v>
      </c>
      <c r="E16" s="466" t="s">
        <v>58</v>
      </c>
      <c r="F16" s="465">
        <v>0.3</v>
      </c>
      <c r="G16" s="83" t="s">
        <v>59</v>
      </c>
      <c r="H16" s="86">
        <v>0.6</v>
      </c>
    </row>
    <row r="17" spans="1:11" ht="12.95">
      <c r="A17" s="93" t="s">
        <v>42</v>
      </c>
      <c r="B17" s="88"/>
      <c r="C17" s="238">
        <v>1.76</v>
      </c>
      <c r="D17" s="175">
        <v>237</v>
      </c>
      <c r="E17" s="77"/>
      <c r="F17" s="77"/>
      <c r="G17" s="83" t="s">
        <v>39</v>
      </c>
      <c r="H17" s="86">
        <v>0.6</v>
      </c>
    </row>
    <row r="18" spans="1:11">
      <c r="A18" s="81" t="s">
        <v>52</v>
      </c>
      <c r="B18" s="88"/>
      <c r="C18" s="248"/>
      <c r="D18" s="248"/>
      <c r="E18" s="77"/>
      <c r="F18" s="77"/>
      <c r="G18" s="83" t="s">
        <v>29</v>
      </c>
      <c r="H18" s="86">
        <v>0.6</v>
      </c>
    </row>
    <row r="19" spans="1:11" ht="13.5" thickBot="1">
      <c r="A19" s="95" t="s">
        <v>60</v>
      </c>
      <c r="B19" s="96"/>
      <c r="C19" s="259">
        <v>4200</v>
      </c>
      <c r="D19" s="176" t="s">
        <v>61</v>
      </c>
      <c r="E19" s="77"/>
      <c r="F19" s="77"/>
      <c r="G19" s="239" t="s">
        <v>46</v>
      </c>
      <c r="H19" s="90">
        <v>0.6</v>
      </c>
    </row>
    <row r="20" spans="1:11" ht="32.450000000000003" customHeight="1" thickBot="1">
      <c r="A20" s="87"/>
      <c r="B20" s="88"/>
      <c r="C20" s="88"/>
      <c r="D20" s="89"/>
      <c r="E20" s="467" t="s">
        <v>62</v>
      </c>
      <c r="F20" s="467"/>
      <c r="J20" s="397"/>
      <c r="K20" s="397"/>
    </row>
    <row r="21" spans="1:11" ht="13.5" thickBot="1">
      <c r="A21" s="389" t="s">
        <v>63</v>
      </c>
      <c r="B21" s="390"/>
      <c r="C21" s="391"/>
      <c r="D21" s="89"/>
      <c r="E21" s="468" t="s">
        <v>64</v>
      </c>
      <c r="F21" s="469" t="s">
        <v>65</v>
      </c>
      <c r="G21" s="332"/>
      <c r="H21" s="309"/>
      <c r="J21" s="285"/>
      <c r="K21" s="286"/>
    </row>
    <row r="22" spans="1:11" ht="25.5">
      <c r="A22" s="319" t="s">
        <v>66</v>
      </c>
      <c r="B22" s="91"/>
      <c r="C22" s="177"/>
      <c r="D22" s="89"/>
      <c r="E22" s="470" t="s">
        <v>67</v>
      </c>
      <c r="F22" s="471">
        <v>182</v>
      </c>
      <c r="G22" s="78"/>
      <c r="H22" s="92"/>
      <c r="J22" s="287"/>
      <c r="K22" s="288"/>
    </row>
    <row r="23" spans="1:11" ht="25.5">
      <c r="A23" s="81" t="s">
        <v>68</v>
      </c>
      <c r="B23" s="88"/>
      <c r="C23" s="178" t="s">
        <v>69</v>
      </c>
      <c r="D23" s="89"/>
      <c r="E23" s="470" t="s">
        <v>70</v>
      </c>
      <c r="F23" s="471">
        <v>195</v>
      </c>
      <c r="G23" s="78"/>
      <c r="H23" s="92"/>
      <c r="J23" s="287"/>
      <c r="K23" s="288"/>
    </row>
    <row r="24" spans="1:11" ht="25.5">
      <c r="A24" s="81" t="s">
        <v>71</v>
      </c>
      <c r="B24" s="88"/>
      <c r="C24" s="178" t="s">
        <v>72</v>
      </c>
      <c r="D24" s="89"/>
      <c r="E24" s="470" t="s">
        <v>73</v>
      </c>
      <c r="F24" s="471">
        <v>207</v>
      </c>
      <c r="G24" s="78"/>
      <c r="H24" s="92"/>
      <c r="J24" s="287"/>
      <c r="K24" s="288"/>
    </row>
    <row r="25" spans="1:11" ht="25.5">
      <c r="A25" s="81" t="s">
        <v>74</v>
      </c>
      <c r="B25" s="88"/>
      <c r="C25" s="178" t="s">
        <v>75</v>
      </c>
      <c r="D25" s="89"/>
      <c r="E25" s="470" t="s">
        <v>76</v>
      </c>
      <c r="F25" s="471">
        <v>130</v>
      </c>
      <c r="G25" s="78"/>
      <c r="H25" s="92"/>
      <c r="J25" s="287"/>
      <c r="K25" s="288"/>
    </row>
    <row r="26" spans="1:11" ht="25.5">
      <c r="A26" s="81" t="s">
        <v>77</v>
      </c>
      <c r="B26" s="88"/>
      <c r="C26" s="320">
        <v>2</v>
      </c>
      <c r="D26" s="89"/>
      <c r="E26" s="472" t="s">
        <v>78</v>
      </c>
      <c r="F26" s="471">
        <v>150</v>
      </c>
      <c r="G26" s="78"/>
      <c r="H26" s="92"/>
      <c r="J26" s="287"/>
      <c r="K26" s="288"/>
    </row>
    <row r="27" spans="1:11" ht="12.95">
      <c r="A27" s="81"/>
      <c r="B27" s="88"/>
      <c r="C27" s="320"/>
      <c r="D27" s="89"/>
      <c r="E27" s="472" t="s">
        <v>79</v>
      </c>
      <c r="F27" s="471" t="s">
        <v>80</v>
      </c>
      <c r="G27" s="78"/>
      <c r="H27" s="92"/>
      <c r="J27" s="287"/>
      <c r="K27" s="288"/>
    </row>
    <row r="28" spans="1:11" ht="18" customHeight="1">
      <c r="A28" s="81" t="s">
        <v>81</v>
      </c>
      <c r="B28" s="88"/>
      <c r="C28" s="178">
        <v>300</v>
      </c>
      <c r="D28" s="89"/>
      <c r="E28" s="472" t="s">
        <v>82</v>
      </c>
      <c r="F28" s="473" t="s">
        <v>83</v>
      </c>
      <c r="G28" s="78"/>
      <c r="H28" s="92"/>
      <c r="J28" s="287"/>
      <c r="K28" s="288"/>
    </row>
    <row r="29" spans="1:11" ht="12.95">
      <c r="A29" s="81" t="s">
        <v>39</v>
      </c>
      <c r="B29" s="88"/>
      <c r="C29" s="178" t="s">
        <v>84</v>
      </c>
      <c r="D29" s="89"/>
      <c r="E29" s="472" t="s">
        <v>85</v>
      </c>
      <c r="F29" s="474" t="s">
        <v>86</v>
      </c>
      <c r="G29" s="78"/>
      <c r="H29" s="85"/>
      <c r="J29" s="289"/>
      <c r="K29" s="290"/>
    </row>
    <row r="30" spans="1:11" ht="12.95">
      <c r="A30" s="81" t="s">
        <v>52</v>
      </c>
      <c r="B30" s="88"/>
      <c r="C30" s="178" t="s">
        <v>87</v>
      </c>
      <c r="D30" s="89"/>
      <c r="E30" s="472" t="s">
        <v>88</v>
      </c>
      <c r="F30" s="475">
        <v>7.4999999999999997E-3</v>
      </c>
      <c r="G30" s="78"/>
      <c r="H30" s="85"/>
      <c r="J30" s="289"/>
      <c r="K30" s="290"/>
    </row>
    <row r="31" spans="1:11" ht="12.95">
      <c r="A31" s="226" t="s">
        <v>89</v>
      </c>
      <c r="B31" s="79"/>
      <c r="C31" s="179"/>
      <c r="D31" s="89"/>
      <c r="E31" s="470" t="s">
        <v>90</v>
      </c>
      <c r="F31" s="476">
        <v>1.4999999999999999E-2</v>
      </c>
      <c r="G31" s="78"/>
      <c r="H31" s="85"/>
      <c r="J31" s="289"/>
      <c r="K31" s="290"/>
    </row>
    <row r="32" spans="1:11" ht="12.95">
      <c r="A32" s="93" t="s">
        <v>91</v>
      </c>
      <c r="B32" s="79"/>
      <c r="C32" s="321">
        <v>66</v>
      </c>
      <c r="D32" s="89"/>
      <c r="E32" s="470" t="s">
        <v>92</v>
      </c>
      <c r="F32" s="477">
        <v>7.0000000000000007E-2</v>
      </c>
      <c r="G32" s="78"/>
      <c r="H32" s="85"/>
      <c r="J32" s="287"/>
      <c r="K32" s="291"/>
    </row>
    <row r="33" spans="1:11" ht="12.95">
      <c r="A33" s="93" t="s">
        <v>93</v>
      </c>
      <c r="B33" s="79"/>
      <c r="C33" s="328">
        <v>534</v>
      </c>
      <c r="D33" s="89"/>
      <c r="E33" s="478" t="s">
        <v>94</v>
      </c>
      <c r="F33" s="479">
        <v>0.04</v>
      </c>
      <c r="G33" s="78"/>
      <c r="H33" s="85"/>
      <c r="J33" s="287"/>
      <c r="K33" s="292"/>
    </row>
    <row r="34" spans="1:11" ht="12.95">
      <c r="A34" s="323" t="s">
        <v>95</v>
      </c>
      <c r="B34" s="79"/>
      <c r="C34" s="181"/>
      <c r="D34" s="89"/>
      <c r="E34" s="480" t="s">
        <v>96</v>
      </c>
      <c r="F34" s="481">
        <v>0.02</v>
      </c>
      <c r="G34" s="78"/>
      <c r="H34" s="85"/>
      <c r="K34" s="292"/>
    </row>
    <row r="35" spans="1:11" ht="12.95">
      <c r="A35" s="82" t="s">
        <v>97</v>
      </c>
      <c r="B35" s="79"/>
      <c r="C35" s="182">
        <v>128</v>
      </c>
      <c r="D35" s="89"/>
      <c r="E35" s="480" t="s">
        <v>98</v>
      </c>
      <c r="F35" s="482">
        <v>0.04</v>
      </c>
      <c r="G35" s="78"/>
      <c r="H35" s="85"/>
      <c r="J35" s="293"/>
      <c r="K35" s="294"/>
    </row>
    <row r="36" spans="1:11" ht="12.95">
      <c r="A36" s="94" t="s">
        <v>99</v>
      </c>
      <c r="B36" s="227"/>
      <c r="C36" s="182">
        <v>150</v>
      </c>
      <c r="D36" s="89"/>
      <c r="E36" s="480" t="s">
        <v>100</v>
      </c>
      <c r="F36" s="477" t="s">
        <v>101</v>
      </c>
      <c r="G36" s="78"/>
      <c r="H36" s="85"/>
      <c r="J36" s="293"/>
      <c r="K36" s="294"/>
    </row>
    <row r="37" spans="1:11" ht="12.95">
      <c r="A37" s="81" t="s">
        <v>102</v>
      </c>
      <c r="B37" s="88"/>
      <c r="C37" s="180">
        <v>0</v>
      </c>
      <c r="D37" s="89"/>
      <c r="E37" s="480" t="s">
        <v>103</v>
      </c>
      <c r="F37" s="479" t="s">
        <v>101</v>
      </c>
      <c r="G37" s="78"/>
      <c r="H37" s="85"/>
      <c r="J37" s="293"/>
      <c r="K37" s="295"/>
    </row>
    <row r="38" spans="1:11" ht="13.5" thickBot="1">
      <c r="A38" s="322" t="s">
        <v>104</v>
      </c>
      <c r="B38" s="96"/>
      <c r="C38" s="183">
        <v>18</v>
      </c>
      <c r="D38" s="89"/>
      <c r="E38" s="480" t="s">
        <v>105</v>
      </c>
      <c r="F38" s="483">
        <v>6</v>
      </c>
      <c r="G38" s="78"/>
      <c r="H38" s="85"/>
      <c r="J38" s="293"/>
      <c r="K38" s="296"/>
    </row>
    <row r="39" spans="1:11" ht="12.95">
      <c r="D39" s="89"/>
      <c r="E39" s="480" t="s">
        <v>106</v>
      </c>
      <c r="F39" s="484">
        <v>45</v>
      </c>
      <c r="G39" s="78"/>
      <c r="H39" s="85"/>
      <c r="J39" s="293"/>
      <c r="K39" s="295"/>
    </row>
    <row r="40" spans="1:11" ht="12.95">
      <c r="D40" s="89"/>
      <c r="E40" s="480" t="s">
        <v>107</v>
      </c>
      <c r="F40" s="485">
        <v>0.06</v>
      </c>
      <c r="G40" s="78"/>
      <c r="H40" s="85"/>
      <c r="J40" s="293"/>
      <c r="K40" s="297"/>
    </row>
    <row r="41" spans="1:11" ht="12.95">
      <c r="D41" s="89"/>
      <c r="E41" s="480" t="s">
        <v>108</v>
      </c>
      <c r="F41" s="486">
        <v>1.4999999999999999E-2</v>
      </c>
      <c r="G41" s="78"/>
      <c r="H41" s="85"/>
      <c r="J41" s="293"/>
      <c r="K41" s="292"/>
    </row>
    <row r="42" spans="1:11" ht="12.95">
      <c r="D42" s="89"/>
      <c r="E42" s="480" t="s">
        <v>109</v>
      </c>
      <c r="F42" s="487">
        <v>0.06</v>
      </c>
      <c r="G42" s="78"/>
      <c r="H42" s="85"/>
      <c r="J42" s="293"/>
      <c r="K42" s="294"/>
    </row>
    <row r="43" spans="1:11" ht="12.95">
      <c r="A43" s="87"/>
      <c r="B43" s="88"/>
      <c r="C43" s="318"/>
      <c r="D43" s="89"/>
      <c r="E43" s="480" t="s">
        <v>110</v>
      </c>
      <c r="F43" s="488">
        <v>10.5</v>
      </c>
      <c r="G43" s="78"/>
      <c r="H43" s="85"/>
      <c r="J43" s="293"/>
      <c r="K43" s="294"/>
    </row>
    <row r="44" spans="1:11" ht="12.95">
      <c r="A44" s="87"/>
      <c r="B44" s="88"/>
      <c r="C44" s="88"/>
      <c r="D44" s="89"/>
      <c r="E44" s="480" t="s">
        <v>111</v>
      </c>
      <c r="F44" s="489">
        <v>0.06</v>
      </c>
      <c r="G44" s="78"/>
      <c r="H44" s="85"/>
      <c r="J44" s="293"/>
      <c r="K44" s="298"/>
    </row>
    <row r="45" spans="1:11" ht="12.95">
      <c r="A45" s="87"/>
      <c r="B45" s="88"/>
      <c r="C45" s="88"/>
      <c r="D45" s="89"/>
      <c r="E45" s="480" t="s">
        <v>112</v>
      </c>
      <c r="F45" s="490">
        <v>6600</v>
      </c>
      <c r="G45" s="78"/>
      <c r="H45" s="85"/>
      <c r="J45" s="293"/>
      <c r="K45" s="299"/>
    </row>
    <row r="46" spans="1:11" ht="12.95">
      <c r="A46" s="87"/>
      <c r="B46" s="88"/>
      <c r="C46" s="88"/>
      <c r="D46" s="89"/>
      <c r="E46" s="480" t="s">
        <v>113</v>
      </c>
      <c r="F46" s="491">
        <v>10600</v>
      </c>
      <c r="G46" s="78"/>
      <c r="H46" s="85"/>
      <c r="J46" s="293"/>
      <c r="K46" s="300"/>
    </row>
    <row r="47" spans="1:11" ht="12.95">
      <c r="A47" s="87"/>
      <c r="B47" s="88"/>
      <c r="C47" s="88"/>
      <c r="D47" s="89"/>
      <c r="E47" s="480" t="s">
        <v>114</v>
      </c>
      <c r="F47" s="491">
        <v>246000</v>
      </c>
      <c r="G47" s="78"/>
      <c r="H47" s="85"/>
      <c r="J47" s="293"/>
      <c r="K47" s="301"/>
    </row>
    <row r="48" spans="1:11" ht="12.95">
      <c r="A48" s="87"/>
      <c r="B48" s="88"/>
      <c r="C48" s="88"/>
      <c r="D48" s="89"/>
      <c r="E48" s="492" t="s">
        <v>115</v>
      </c>
      <c r="F48" s="491">
        <v>697000</v>
      </c>
      <c r="G48" s="78"/>
      <c r="H48" s="85"/>
      <c r="J48" s="302"/>
      <c r="K48" s="303"/>
    </row>
    <row r="49" spans="1:11" ht="12.95">
      <c r="A49" s="87"/>
      <c r="B49" s="88"/>
      <c r="C49" s="88"/>
      <c r="D49" s="89"/>
      <c r="E49" s="478" t="s">
        <v>116</v>
      </c>
      <c r="F49" s="493">
        <v>262000</v>
      </c>
      <c r="G49" s="78"/>
      <c r="H49" s="85"/>
      <c r="J49" s="302"/>
      <c r="K49" s="303"/>
    </row>
    <row r="50" spans="1:11" ht="12.95">
      <c r="A50" s="87"/>
      <c r="B50" s="88"/>
      <c r="C50" s="88"/>
      <c r="D50" s="89"/>
      <c r="E50" s="478" t="s">
        <v>117</v>
      </c>
      <c r="F50" s="494">
        <v>157000</v>
      </c>
      <c r="G50" s="78"/>
      <c r="H50" s="85"/>
      <c r="J50" s="302"/>
      <c r="K50" s="303"/>
    </row>
    <row r="51" spans="1:11" ht="12.95">
      <c r="A51" s="87"/>
      <c r="B51" s="88"/>
      <c r="C51" s="88"/>
      <c r="D51" s="89"/>
      <c r="F51" s="229"/>
      <c r="G51" s="78"/>
      <c r="H51" s="85"/>
    </row>
    <row r="52" spans="1:11" ht="13.5" thickBot="1">
      <c r="A52" s="87"/>
      <c r="B52" s="88"/>
      <c r="C52" s="88"/>
      <c r="D52" s="89"/>
      <c r="G52" s="78"/>
      <c r="H52" s="85"/>
    </row>
    <row r="53" spans="1:11" ht="12.95">
      <c r="A53" s="495" t="s">
        <v>118</v>
      </c>
      <c r="B53" s="496"/>
      <c r="C53" s="496"/>
      <c r="D53" s="496"/>
      <c r="E53" s="497"/>
      <c r="F53" s="498" t="s">
        <v>119</v>
      </c>
      <c r="G53" s="499"/>
      <c r="H53" s="499"/>
      <c r="I53" s="499"/>
      <c r="J53" s="500"/>
    </row>
    <row r="54" spans="1:11" ht="12.95">
      <c r="A54" s="97" t="s">
        <v>120</v>
      </c>
      <c r="B54" s="98">
        <v>1</v>
      </c>
      <c r="C54" s="98">
        <v>2</v>
      </c>
      <c r="D54" s="98">
        <v>3</v>
      </c>
      <c r="E54" s="99">
        <v>4</v>
      </c>
      <c r="F54" s="501" t="s">
        <v>120</v>
      </c>
      <c r="G54" s="502">
        <v>1</v>
      </c>
      <c r="H54" s="502">
        <v>2</v>
      </c>
      <c r="I54" s="502">
        <v>3</v>
      </c>
      <c r="J54" s="503">
        <v>4</v>
      </c>
    </row>
    <row r="55" spans="1:11" ht="13.5" thickBot="1">
      <c r="A55" s="501" t="s">
        <v>121</v>
      </c>
      <c r="B55" s="504">
        <v>34962</v>
      </c>
      <c r="C55" s="504">
        <v>69125</v>
      </c>
      <c r="D55" s="504">
        <v>71328</v>
      </c>
      <c r="E55" s="505">
        <v>97764</v>
      </c>
      <c r="F55" s="501" t="str">
        <f>A55</f>
        <v>2021 Median Income</v>
      </c>
      <c r="G55" s="506">
        <f>B55</f>
        <v>34962</v>
      </c>
      <c r="H55" s="506">
        <f>C55</f>
        <v>69125</v>
      </c>
      <c r="I55" s="506">
        <f>D55</f>
        <v>71328</v>
      </c>
      <c r="J55" s="507">
        <f>E55</f>
        <v>97764</v>
      </c>
    </row>
    <row r="56" spans="1:11" ht="12.95">
      <c r="A56" s="508" t="s">
        <v>122</v>
      </c>
      <c r="B56" s="509">
        <f>0.5*B$55</f>
        <v>17481</v>
      </c>
      <c r="C56" s="509">
        <f t="shared" ref="C56:E56" si="0">0.5*C$55</f>
        <v>34562.5</v>
      </c>
      <c r="D56" s="509">
        <f t="shared" si="0"/>
        <v>35664</v>
      </c>
      <c r="E56" s="510">
        <f t="shared" si="0"/>
        <v>48882</v>
      </c>
      <c r="F56" s="511" t="s">
        <v>123</v>
      </c>
      <c r="G56" s="512">
        <f>0.7*G$55</f>
        <v>24473.399999999998</v>
      </c>
      <c r="H56" s="512">
        <f t="shared" ref="H56:J56" si="1">0.7*H$55</f>
        <v>48387.5</v>
      </c>
      <c r="I56" s="512">
        <f t="shared" si="1"/>
        <v>49929.599999999999</v>
      </c>
      <c r="J56" s="513">
        <f t="shared" si="1"/>
        <v>68434.8</v>
      </c>
    </row>
    <row r="57" spans="1:11">
      <c r="A57" s="514" t="s">
        <v>124</v>
      </c>
      <c r="B57" s="509">
        <f>0.3*B56</f>
        <v>5244.3</v>
      </c>
      <c r="C57" s="509">
        <f>0.3*C56</f>
        <v>10368.75</v>
      </c>
      <c r="D57" s="509">
        <f>0.3*D56</f>
        <v>10699.199999999999</v>
      </c>
      <c r="E57" s="510">
        <f>0.3*E56</f>
        <v>14664.6</v>
      </c>
      <c r="F57" s="100" t="s">
        <v>125</v>
      </c>
      <c r="G57" s="101">
        <f>0.35*G56</f>
        <v>8565.6899999999987</v>
      </c>
      <c r="H57" s="101">
        <f t="shared" ref="H57:J57" si="2">0.35*H56</f>
        <v>16935.625</v>
      </c>
      <c r="I57" s="101">
        <f t="shared" si="2"/>
        <v>17475.359999999997</v>
      </c>
      <c r="J57" s="102">
        <f t="shared" si="2"/>
        <v>23952.18</v>
      </c>
    </row>
    <row r="58" spans="1:11" ht="12.95" thickBot="1">
      <c r="A58" s="515" t="s">
        <v>126</v>
      </c>
      <c r="B58" s="516">
        <v>200</v>
      </c>
      <c r="C58" s="516">
        <v>350</v>
      </c>
      <c r="D58" s="516">
        <v>400</v>
      </c>
      <c r="E58" s="517">
        <v>450</v>
      </c>
      <c r="F58" s="100" t="s">
        <v>126</v>
      </c>
      <c r="G58" s="101">
        <f>-12*150</f>
        <v>-1800</v>
      </c>
      <c r="H58" s="101">
        <f>G58</f>
        <v>-1800</v>
      </c>
      <c r="I58" s="101">
        <f t="shared" ref="I58:J58" si="3">H58</f>
        <v>-1800</v>
      </c>
      <c r="J58" s="101">
        <f t="shared" si="3"/>
        <v>-1800</v>
      </c>
    </row>
    <row r="59" spans="1:11" ht="12.95" thickTop="1">
      <c r="A59" s="103" t="s">
        <v>127</v>
      </c>
      <c r="B59" s="104">
        <f>B57-B58</f>
        <v>5044.3</v>
      </c>
      <c r="C59" s="104">
        <f>C57-C58</f>
        <v>10018.75</v>
      </c>
      <c r="D59" s="104">
        <f>D57-D58</f>
        <v>10299.199999999999</v>
      </c>
      <c r="E59" s="105">
        <f>E57-E58</f>
        <v>14214.6</v>
      </c>
      <c r="F59" s="100" t="s">
        <v>128</v>
      </c>
      <c r="G59" s="101">
        <v>-1000</v>
      </c>
      <c r="H59" s="101">
        <v>-1000</v>
      </c>
      <c r="I59" s="101">
        <v>-1000</v>
      </c>
      <c r="J59" s="102">
        <v>-1000</v>
      </c>
    </row>
    <row r="60" spans="1:11" ht="13.5" thickBot="1">
      <c r="A60" s="508" t="s">
        <v>129</v>
      </c>
      <c r="B60" s="518">
        <f>B59/12</f>
        <v>420.35833333333335</v>
      </c>
      <c r="C60" s="518">
        <f>C59/12</f>
        <v>834.89583333333337</v>
      </c>
      <c r="D60" s="518">
        <f>D59/12</f>
        <v>858.26666666666654</v>
      </c>
      <c r="E60" s="519">
        <f>E59/12</f>
        <v>1184.55</v>
      </c>
      <c r="F60" s="520" t="s">
        <v>130</v>
      </c>
      <c r="G60" s="521">
        <f>-0.014*425000</f>
        <v>-5950</v>
      </c>
      <c r="H60" s="521">
        <f t="shared" ref="H60:J60" si="4">-0.014*425000</f>
        <v>-5950</v>
      </c>
      <c r="I60" s="521">
        <f t="shared" si="4"/>
        <v>-5950</v>
      </c>
      <c r="J60" s="522">
        <f t="shared" si="4"/>
        <v>-5950</v>
      </c>
    </row>
    <row r="61" spans="1:11" ht="13.5" thickTop="1">
      <c r="A61" s="508"/>
      <c r="B61" s="509"/>
      <c r="C61" s="509"/>
      <c r="D61" s="509"/>
      <c r="E61" s="510"/>
      <c r="F61" s="100" t="s">
        <v>131</v>
      </c>
      <c r="G61" s="101">
        <f>SUM(G57:G60)</f>
        <v>-184.31000000000131</v>
      </c>
      <c r="H61" s="101">
        <f t="shared" ref="H61:J61" si="5">SUM(H57:H60)</f>
        <v>8185.625</v>
      </c>
      <c r="I61" s="101">
        <f t="shared" si="5"/>
        <v>8725.3599999999969</v>
      </c>
      <c r="J61" s="102">
        <f t="shared" si="5"/>
        <v>15202.18</v>
      </c>
    </row>
    <row r="62" spans="1:11" ht="12.95">
      <c r="A62" s="508" t="s">
        <v>132</v>
      </c>
      <c r="B62" s="509">
        <f>0.7*B$55</f>
        <v>24473.399999999998</v>
      </c>
      <c r="C62" s="509">
        <f t="shared" ref="C62:E62" si="6">0.7*C$55</f>
        <v>48387.5</v>
      </c>
      <c r="D62" s="509">
        <f t="shared" si="6"/>
        <v>49929.599999999999</v>
      </c>
      <c r="E62" s="510">
        <f t="shared" si="6"/>
        <v>68434.8</v>
      </c>
      <c r="F62" s="106">
        <v>0.04</v>
      </c>
      <c r="G62" s="107">
        <f>-PV($F62,30,G61)</f>
        <v>-3187.0946576454949</v>
      </c>
      <c r="H62" s="107">
        <f t="shared" ref="H62:J62" si="7">-PV($F62,30,H61)</f>
        <v>141546.10008675177</v>
      </c>
      <c r="I62" s="107">
        <f t="shared" si="7"/>
        <v>150879.21568028585</v>
      </c>
      <c r="J62" s="108">
        <f t="shared" si="7"/>
        <v>262876.60280269571</v>
      </c>
    </row>
    <row r="63" spans="1:11" ht="12.95" thickBot="1">
      <c r="A63" s="514" t="s">
        <v>124</v>
      </c>
      <c r="B63" s="509">
        <f>0.3*B62</f>
        <v>7342.0199999999995</v>
      </c>
      <c r="C63" s="509">
        <f>0.3*C62</f>
        <v>14516.25</v>
      </c>
      <c r="D63" s="509">
        <f>0.3*D62</f>
        <v>14978.88</v>
      </c>
      <c r="E63" s="510">
        <f>0.3*E62</f>
        <v>20530.439999999999</v>
      </c>
      <c r="F63" s="523">
        <v>0.03</v>
      </c>
      <c r="G63" s="524">
        <f>$F63*(G62/(1-$F63))</f>
        <v>-98.56993786532459</v>
      </c>
      <c r="H63" s="524">
        <f t="shared" ref="H63:J63" si="8">$F63*(H62/(1-$F63))</f>
        <v>4377.7144356727349</v>
      </c>
      <c r="I63" s="524">
        <f t="shared" si="8"/>
        <v>4666.3674952665724</v>
      </c>
      <c r="J63" s="525">
        <f t="shared" si="8"/>
        <v>8130.2042103926506</v>
      </c>
    </row>
    <row r="64" spans="1:11" ht="14.1" thickTop="1" thickBot="1">
      <c r="A64" s="515" t="s">
        <v>126</v>
      </c>
      <c r="B64" s="516">
        <f>B58</f>
        <v>200</v>
      </c>
      <c r="C64" s="516">
        <f t="shared" ref="C64:E64" si="9">C58</f>
        <v>350</v>
      </c>
      <c r="D64" s="516">
        <f t="shared" si="9"/>
        <v>400</v>
      </c>
      <c r="E64" s="516">
        <f t="shared" si="9"/>
        <v>450</v>
      </c>
      <c r="F64" s="109" t="s">
        <v>133</v>
      </c>
      <c r="G64" s="526">
        <f>SUM(G62:G63)</f>
        <v>-3285.6645955108193</v>
      </c>
      <c r="H64" s="526">
        <f t="shared" ref="H64:J64" si="10">SUM(H62:H63)</f>
        <v>145923.81452242451</v>
      </c>
      <c r="I64" s="526">
        <f t="shared" si="10"/>
        <v>155545.58317555243</v>
      </c>
      <c r="J64" s="110">
        <f t="shared" si="10"/>
        <v>271006.80701308837</v>
      </c>
    </row>
    <row r="65" spans="1:10" ht="14.1" thickTop="1" thickBot="1">
      <c r="A65" s="103" t="s">
        <v>127</v>
      </c>
      <c r="B65" s="104">
        <f>B63-B64</f>
        <v>7142.0199999999995</v>
      </c>
      <c r="C65" s="104">
        <f>C63-C64</f>
        <v>14166.25</v>
      </c>
      <c r="D65" s="104">
        <f>D63-D64</f>
        <v>14578.88</v>
      </c>
      <c r="E65" s="105">
        <f>E63-E64</f>
        <v>20080.439999999999</v>
      </c>
      <c r="F65" s="111"/>
      <c r="G65" s="112"/>
      <c r="H65" s="112"/>
      <c r="I65" s="112"/>
      <c r="J65" s="113"/>
    </row>
    <row r="66" spans="1:10" ht="12.95">
      <c r="A66" s="508" t="s">
        <v>129</v>
      </c>
      <c r="B66" s="518">
        <f>B65/12</f>
        <v>595.16833333333329</v>
      </c>
      <c r="C66" s="518">
        <f>C65/12</f>
        <v>1180.5208333333333</v>
      </c>
      <c r="D66" s="518">
        <f>D65/12</f>
        <v>1214.9066666666665</v>
      </c>
      <c r="E66" s="519">
        <f>E65/12</f>
        <v>1673.37</v>
      </c>
      <c r="F66" s="527" t="s">
        <v>134</v>
      </c>
      <c r="G66" s="512">
        <f>1*G$55</f>
        <v>34962</v>
      </c>
      <c r="H66" s="512">
        <f t="shared" ref="H66:J66" si="11">1*H$55</f>
        <v>69125</v>
      </c>
      <c r="I66" s="512">
        <f t="shared" si="11"/>
        <v>71328</v>
      </c>
      <c r="J66" s="513">
        <f t="shared" si="11"/>
        <v>97764</v>
      </c>
    </row>
    <row r="67" spans="1:10" ht="12.95">
      <c r="A67" s="508"/>
      <c r="B67" s="528"/>
      <c r="C67" s="528"/>
      <c r="D67" s="528"/>
      <c r="E67" s="529"/>
      <c r="F67" s="100" t="s">
        <v>125</v>
      </c>
      <c r="G67" s="101">
        <f>0.35*G66</f>
        <v>12236.699999999999</v>
      </c>
      <c r="H67" s="101">
        <f t="shared" ref="H67:J67" si="12">0.35*H66</f>
        <v>24193.75</v>
      </c>
      <c r="I67" s="101">
        <f t="shared" si="12"/>
        <v>24964.799999999999</v>
      </c>
      <c r="J67" s="102">
        <f t="shared" si="12"/>
        <v>34217.4</v>
      </c>
    </row>
    <row r="68" spans="1:10" ht="12.95">
      <c r="A68" s="508" t="s">
        <v>135</v>
      </c>
      <c r="B68" s="509">
        <f>1.1*B55</f>
        <v>38458.200000000004</v>
      </c>
      <c r="C68" s="509">
        <f>1.1*C55</f>
        <v>76037.5</v>
      </c>
      <c r="D68" s="509">
        <f>1.1*D55</f>
        <v>78460.800000000003</v>
      </c>
      <c r="E68" s="510">
        <f>1.1*E55</f>
        <v>107540.40000000001</v>
      </c>
      <c r="F68" s="100" t="s">
        <v>126</v>
      </c>
      <c r="G68" s="101">
        <f>-12*200</f>
        <v>-2400</v>
      </c>
      <c r="H68" s="101">
        <f t="shared" ref="H68:J68" si="13">-12*200</f>
        <v>-2400</v>
      </c>
      <c r="I68" s="101">
        <f t="shared" si="13"/>
        <v>-2400</v>
      </c>
      <c r="J68" s="102">
        <f t="shared" si="13"/>
        <v>-2400</v>
      </c>
    </row>
    <row r="69" spans="1:10">
      <c r="A69" s="514" t="s">
        <v>125</v>
      </c>
      <c r="B69" s="509">
        <f>0.35*B68</f>
        <v>13460.37</v>
      </c>
      <c r="C69" s="509">
        <f>0.35*C68</f>
        <v>26613.125</v>
      </c>
      <c r="D69" s="509">
        <f>0.35*D68</f>
        <v>27461.279999999999</v>
      </c>
      <c r="E69" s="510">
        <f>0.35*E68</f>
        <v>37639.14</v>
      </c>
      <c r="F69" s="100" t="s">
        <v>128</v>
      </c>
      <c r="G69" s="101">
        <v>-1000</v>
      </c>
      <c r="H69" s="101">
        <v>-1000</v>
      </c>
      <c r="I69" s="101">
        <v>-1000</v>
      </c>
      <c r="J69" s="102">
        <v>-1000</v>
      </c>
    </row>
    <row r="70" spans="1:10" ht="12.95" thickBot="1">
      <c r="A70" s="515" t="s">
        <v>126</v>
      </c>
      <c r="B70" s="516">
        <f>B58</f>
        <v>200</v>
      </c>
      <c r="C70" s="516">
        <f t="shared" ref="C70:E70" si="14">C58</f>
        <v>350</v>
      </c>
      <c r="D70" s="516">
        <f t="shared" si="14"/>
        <v>400</v>
      </c>
      <c r="E70" s="516">
        <f t="shared" si="14"/>
        <v>450</v>
      </c>
      <c r="F70" s="520" t="s">
        <v>136</v>
      </c>
      <c r="G70" s="521">
        <f>-0.014*425000</f>
        <v>-5950</v>
      </c>
      <c r="H70" s="521">
        <f t="shared" ref="H70:J70" si="15">-0.014*425000</f>
        <v>-5950</v>
      </c>
      <c r="I70" s="521">
        <f t="shared" si="15"/>
        <v>-5950</v>
      </c>
      <c r="J70" s="522">
        <f t="shared" si="15"/>
        <v>-5950</v>
      </c>
    </row>
    <row r="71" spans="1:10" ht="13.5" thickTop="1">
      <c r="A71" s="114" t="s">
        <v>131</v>
      </c>
      <c r="B71" s="104">
        <f>B69-B70</f>
        <v>13260.37</v>
      </c>
      <c r="C71" s="104">
        <f>C69-C70</f>
        <v>26263.125</v>
      </c>
      <c r="D71" s="104">
        <f>D69-D70</f>
        <v>27061.279999999999</v>
      </c>
      <c r="E71" s="105">
        <f>E69-E70</f>
        <v>37189.14</v>
      </c>
      <c r="F71" s="111" t="s">
        <v>131</v>
      </c>
      <c r="G71" s="112">
        <f>SUM(G67:G70)</f>
        <v>2886.6999999999989</v>
      </c>
      <c r="H71" s="112">
        <f t="shared" ref="H71:J71" si="16">SUM(H67:H70)</f>
        <v>14843.75</v>
      </c>
      <c r="I71" s="112">
        <f t="shared" si="16"/>
        <v>15614.8</v>
      </c>
      <c r="J71" s="113">
        <f t="shared" si="16"/>
        <v>24867.4</v>
      </c>
    </row>
    <row r="72" spans="1:10" ht="13.5" thickBot="1">
      <c r="A72" s="530" t="s">
        <v>129</v>
      </c>
      <c r="B72" s="531">
        <f>B71/12</f>
        <v>1105.0308333333335</v>
      </c>
      <c r="C72" s="531">
        <f>C71/12</f>
        <v>2188.59375</v>
      </c>
      <c r="D72" s="531">
        <f>D71/12</f>
        <v>2255.1066666666666</v>
      </c>
      <c r="E72" s="532">
        <f>E71/12</f>
        <v>3099.0949999999998</v>
      </c>
      <c r="F72" s="106">
        <v>0.04</v>
      </c>
      <c r="G72" s="107">
        <f>-PV($F72,30,G71)</f>
        <v>49916.912529028166</v>
      </c>
      <c r="H72" s="107">
        <f t="shared" ref="H72:J72" si="17">-PV($F72,30,H71)</f>
        <v>256678.61930673855</v>
      </c>
      <c r="I72" s="107">
        <f t="shared" si="17"/>
        <v>270011.64158321591</v>
      </c>
      <c r="J72" s="108">
        <f t="shared" si="17"/>
        <v>430007.90890094417</v>
      </c>
    </row>
    <row r="73" spans="1:10" ht="12.95" thickBot="1">
      <c r="A73" s="87"/>
      <c r="B73" s="88"/>
      <c r="C73" s="88"/>
      <c r="D73" s="89"/>
      <c r="E73" s="77"/>
      <c r="F73" s="523">
        <v>0.03</v>
      </c>
      <c r="G73" s="524">
        <f>$F73*(G72/(1-$F73))</f>
        <v>1543.8220369802525</v>
      </c>
      <c r="H73" s="524">
        <f t="shared" ref="H73:J73" si="18">$F73*(H72/(1-$F73))</f>
        <v>7938.5139991774813</v>
      </c>
      <c r="I73" s="524">
        <f t="shared" si="18"/>
        <v>8350.8755128829653</v>
      </c>
      <c r="J73" s="525">
        <f t="shared" si="18"/>
        <v>13299.213677348789</v>
      </c>
    </row>
    <row r="74" spans="1:10" ht="14.1" thickTop="1" thickBot="1">
      <c r="A74" s="87"/>
      <c r="B74" s="88"/>
      <c r="C74" s="88"/>
      <c r="D74" s="89"/>
      <c r="E74" s="77"/>
      <c r="F74" s="109" t="s">
        <v>133</v>
      </c>
      <c r="G74" s="526">
        <f>SUM(G72:G73)</f>
        <v>51460.734566008417</v>
      </c>
      <c r="H74" s="526">
        <f t="shared" ref="H74:J74" si="19">SUM(H72:H73)</f>
        <v>264617.13330591604</v>
      </c>
      <c r="I74" s="526">
        <f t="shared" si="19"/>
        <v>278362.51709609886</v>
      </c>
      <c r="J74" s="110">
        <f t="shared" si="19"/>
        <v>443307.12257829297</v>
      </c>
    </row>
    <row r="75" spans="1:10" ht="13.5" thickBot="1">
      <c r="A75" s="87"/>
      <c r="B75" s="88"/>
      <c r="C75" s="88"/>
      <c r="D75" s="89"/>
      <c r="E75" s="77"/>
      <c r="F75" s="111"/>
      <c r="G75" s="112"/>
      <c r="H75" s="112"/>
      <c r="I75" s="112"/>
      <c r="J75" s="113"/>
    </row>
    <row r="76" spans="1:10" ht="12.95">
      <c r="A76" s="87"/>
      <c r="B76" s="88"/>
      <c r="C76" s="88"/>
      <c r="D76" s="89"/>
      <c r="E76" s="77"/>
      <c r="F76" s="527" t="s">
        <v>137</v>
      </c>
      <c r="G76" s="512">
        <f>1.2*G$55</f>
        <v>41954.400000000001</v>
      </c>
      <c r="H76" s="512">
        <f t="shared" ref="H76:J76" si="20">1.2*H$55</f>
        <v>82950</v>
      </c>
      <c r="I76" s="512">
        <f t="shared" si="20"/>
        <v>85593.599999999991</v>
      </c>
      <c r="J76" s="513">
        <f t="shared" si="20"/>
        <v>117316.8</v>
      </c>
    </row>
    <row r="77" spans="1:10">
      <c r="A77" s="87"/>
      <c r="B77" s="88"/>
      <c r="C77" s="88"/>
      <c r="D77" s="89"/>
      <c r="E77" s="77"/>
      <c r="F77" s="100" t="s">
        <v>125</v>
      </c>
      <c r="G77" s="101">
        <f>0.35*G76</f>
        <v>14684.039999999999</v>
      </c>
      <c r="H77" s="101">
        <f t="shared" ref="H77:J77" si="21">0.35*H76</f>
        <v>29032.499999999996</v>
      </c>
      <c r="I77" s="101">
        <f t="shared" si="21"/>
        <v>29957.759999999995</v>
      </c>
      <c r="J77" s="102">
        <f t="shared" si="21"/>
        <v>41060.879999999997</v>
      </c>
    </row>
    <row r="78" spans="1:10">
      <c r="A78" s="87"/>
      <c r="B78" s="88"/>
      <c r="C78" s="88"/>
      <c r="D78" s="89"/>
      <c r="E78" s="77"/>
      <c r="F78" s="100" t="s">
        <v>126</v>
      </c>
      <c r="G78" s="101">
        <f>-12*200</f>
        <v>-2400</v>
      </c>
      <c r="H78" s="101">
        <f t="shared" ref="H78:J78" si="22">-12*200</f>
        <v>-2400</v>
      </c>
      <c r="I78" s="101">
        <f t="shared" si="22"/>
        <v>-2400</v>
      </c>
      <c r="J78" s="102">
        <f t="shared" si="22"/>
        <v>-2400</v>
      </c>
    </row>
    <row r="79" spans="1:10">
      <c r="A79" s="87"/>
      <c r="B79" s="88"/>
      <c r="C79" s="88"/>
      <c r="D79" s="89"/>
      <c r="E79" s="77"/>
      <c r="F79" s="100" t="s">
        <v>128</v>
      </c>
      <c r="G79" s="101">
        <v>-1000</v>
      </c>
      <c r="H79" s="101">
        <v>-1000</v>
      </c>
      <c r="I79" s="101">
        <v>-1000</v>
      </c>
      <c r="J79" s="102">
        <v>-1000</v>
      </c>
    </row>
    <row r="80" spans="1:10" ht="12.95" thickBot="1">
      <c r="A80" s="87"/>
      <c r="B80" s="88"/>
      <c r="C80" s="88"/>
      <c r="D80" s="89"/>
      <c r="E80" s="77"/>
      <c r="F80" s="520" t="s">
        <v>136</v>
      </c>
      <c r="G80" s="521">
        <f>-0.014*425000</f>
        <v>-5950</v>
      </c>
      <c r="H80" s="521">
        <f t="shared" ref="H80:J80" si="23">-0.014*425000</f>
        <v>-5950</v>
      </c>
      <c r="I80" s="521">
        <f t="shared" si="23"/>
        <v>-5950</v>
      </c>
      <c r="J80" s="522">
        <f t="shared" si="23"/>
        <v>-5950</v>
      </c>
    </row>
    <row r="81" spans="1:10" ht="13.5" thickTop="1">
      <c r="A81" s="87"/>
      <c r="B81" s="88"/>
      <c r="C81" s="88"/>
      <c r="D81" s="89"/>
      <c r="E81" s="77"/>
      <c r="F81" s="111" t="s">
        <v>131</v>
      </c>
      <c r="G81" s="112">
        <f>SUM(G77:G80)</f>
        <v>5334.0399999999991</v>
      </c>
      <c r="H81" s="112">
        <f t="shared" ref="H81:J81" si="24">SUM(H77:H80)</f>
        <v>19682.499999999996</v>
      </c>
      <c r="I81" s="112">
        <f t="shared" si="24"/>
        <v>20607.759999999995</v>
      </c>
      <c r="J81" s="113">
        <f t="shared" si="24"/>
        <v>31710.879999999997</v>
      </c>
    </row>
    <row r="82" spans="1:10">
      <c r="A82" s="87"/>
      <c r="B82" s="88"/>
      <c r="C82" s="88"/>
      <c r="D82" s="89"/>
      <c r="E82" s="77"/>
      <c r="F82" s="106">
        <v>0.04</v>
      </c>
      <c r="G82" s="107">
        <f>-PV($F82,30,G81)</f>
        <v>92236.397307076404</v>
      </c>
      <c r="H82" s="107">
        <f t="shared" ref="H82:J82" si="25">-PV($F82,30,H81)</f>
        <v>340350.44544032874</v>
      </c>
      <c r="I82" s="107">
        <f t="shared" si="25"/>
        <v>356350.07217210159</v>
      </c>
      <c r="J82" s="108">
        <f t="shared" si="25"/>
        <v>548345.59295337554</v>
      </c>
    </row>
    <row r="83" spans="1:10" ht="12.95" thickBot="1">
      <c r="A83" s="87"/>
      <c r="B83" s="88"/>
      <c r="C83" s="88"/>
      <c r="D83" s="89"/>
      <c r="E83" s="77"/>
      <c r="F83" s="523">
        <v>0.03</v>
      </c>
      <c r="G83" s="524">
        <f>$F83*(G82/(1-$F83))</f>
        <v>2852.6720816621564</v>
      </c>
      <c r="H83" s="524">
        <f t="shared" ref="H83:J83" si="26">$F83*(H82/(1-$F83))</f>
        <v>10526.302436298827</v>
      </c>
      <c r="I83" s="524">
        <f t="shared" si="26"/>
        <v>11021.136252745409</v>
      </c>
      <c r="J83" s="525">
        <f t="shared" si="26"/>
        <v>16959.142050104398</v>
      </c>
    </row>
    <row r="84" spans="1:10" ht="14.1" thickTop="1" thickBot="1">
      <c r="A84" s="87"/>
      <c r="B84" s="88"/>
      <c r="C84" s="88"/>
      <c r="D84" s="89"/>
      <c r="E84" s="77"/>
      <c r="F84" s="109" t="s">
        <v>133</v>
      </c>
      <c r="G84" s="526">
        <f>SUM(G82:G83)</f>
        <v>95089.069388738557</v>
      </c>
      <c r="H84" s="526">
        <f t="shared" ref="H84:J84" si="27">SUM(H82:H83)</f>
        <v>350876.74787662755</v>
      </c>
      <c r="I84" s="526">
        <f t="shared" si="27"/>
        <v>367371.20842484699</v>
      </c>
      <c r="J84" s="110">
        <f t="shared" si="27"/>
        <v>565304.73500347999</v>
      </c>
    </row>
    <row r="85" spans="1:10" ht="12.95">
      <c r="A85" s="87"/>
      <c r="B85" s="88"/>
      <c r="C85" s="88"/>
      <c r="D85" s="89"/>
      <c r="E85" s="77"/>
      <c r="F85" s="77"/>
      <c r="G85" s="78"/>
      <c r="H85" s="85"/>
    </row>
    <row r="86" spans="1:10" ht="12.95">
      <c r="A86" s="87"/>
      <c r="B86" s="79"/>
    </row>
    <row r="87" spans="1:10" ht="12.95">
      <c r="A87" s="87"/>
      <c r="B87" s="79"/>
    </row>
    <row r="88" spans="1:10" ht="12.95">
      <c r="A88" s="87"/>
      <c r="B88" s="79"/>
    </row>
    <row r="89" spans="1:10">
      <c r="B89" s="88"/>
    </row>
    <row r="90" spans="1:10">
      <c r="B90" s="88"/>
    </row>
    <row r="91" spans="1:10">
      <c r="B91" s="88"/>
    </row>
    <row r="92" spans="1:10">
      <c r="B92" s="88"/>
    </row>
  </sheetData>
  <mergeCells count="8">
    <mergeCell ref="C2:D2"/>
    <mergeCell ref="A53:E53"/>
    <mergeCell ref="F53:J53"/>
    <mergeCell ref="A21:C21"/>
    <mergeCell ref="A4:H4"/>
    <mergeCell ref="E20:F20"/>
    <mergeCell ref="G14:H14"/>
    <mergeCell ref="J20:K20"/>
  </mergeCells>
  <printOptions horizontalCentered="1" verticalCentered="1"/>
  <pageMargins left="0.7" right="0.7" top="0.75" bottom="0.75" header="0.3" footer="0.3"/>
  <pageSetup scale="53" fitToHeight="0" orientation="landscape" r:id="rId1"/>
  <headerFooter>
    <oddFooter>&amp;CPage &amp;P of &amp;N</oddFooter>
  </headerFooter>
  <rowBreaks count="1" manualBreakCount="1">
    <brk id="50" max="16383" man="1"/>
  </rowBreaks>
  <colBreaks count="2" manualBreakCount="2">
    <brk id="4" max="83" man="1"/>
    <brk id="8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72F2C-E2E0-4252-85C5-77BC5457C24C}">
  <sheetPr>
    <tabColor rgb="FF0070C0"/>
  </sheetPr>
  <dimension ref="A1:BW567"/>
  <sheetViews>
    <sheetView showOutlineSymbols="0" showWhiteSpace="0" workbookViewId="0">
      <selection activeCell="C9" sqref="C9"/>
    </sheetView>
  </sheetViews>
  <sheetFormatPr defaultColWidth="8.85546875" defaultRowHeight="14.45"/>
  <cols>
    <col min="1" max="1" width="35.42578125" style="6" customWidth="1"/>
    <col min="2" max="2" width="14.42578125" style="6" customWidth="1"/>
    <col min="3" max="6" width="13.85546875" style="6" customWidth="1"/>
    <col min="7" max="7" width="13.85546875" style="116" customWidth="1"/>
    <col min="8" max="27" width="13.85546875" style="6" customWidth="1"/>
    <col min="28" max="28" width="13.85546875" style="117" customWidth="1"/>
    <col min="29" max="30" width="13.85546875" style="6" customWidth="1"/>
    <col min="31" max="31" width="13.85546875" style="117" customWidth="1"/>
    <col min="32" max="34" width="13.85546875" style="6" customWidth="1"/>
    <col min="35" max="35" width="13.85546875" style="118" customWidth="1"/>
    <col min="36" max="47" width="13.85546875" style="6" customWidth="1"/>
    <col min="48" max="48" width="17" style="6" customWidth="1"/>
    <col min="49" max="71" width="17" customWidth="1"/>
    <col min="72" max="72" width="16.5703125" customWidth="1"/>
    <col min="73" max="73" width="15" customWidth="1"/>
    <col min="74" max="74" width="17.85546875" bestFit="1" customWidth="1"/>
    <col min="75" max="75" width="9.5703125" bestFit="1" customWidth="1"/>
    <col min="76" max="76" width="11.85546875" style="6" bestFit="1" customWidth="1"/>
    <col min="77" max="78" width="9.5703125" style="6" bestFit="1" customWidth="1"/>
    <col min="79" max="16384" width="8.85546875" style="6"/>
  </cols>
  <sheetData>
    <row r="1" spans="1:48">
      <c r="A1" s="441" t="s">
        <v>432</v>
      </c>
      <c r="G1" s="6"/>
      <c r="AB1"/>
      <c r="AC1"/>
      <c r="AD1"/>
      <c r="AE1"/>
      <c r="AI1" s="6"/>
    </row>
    <row r="2" spans="1:48">
      <c r="A2" s="441"/>
      <c r="G2" s="6"/>
      <c r="AB2"/>
      <c r="AC2"/>
      <c r="AD2"/>
      <c r="AE2"/>
      <c r="AI2" s="6"/>
      <c r="AV2" s="119" t="s">
        <v>188</v>
      </c>
    </row>
    <row r="3" spans="1:48" ht="15" thickBot="1">
      <c r="A3" s="460"/>
      <c r="B3" s="959" t="s">
        <v>433</v>
      </c>
      <c r="C3" s="960">
        <v>45292</v>
      </c>
      <c r="D3" s="749">
        <f>EOMONTH(C3,3)</f>
        <v>45412</v>
      </c>
      <c r="E3" s="749">
        <f t="shared" ref="E3:AU3" si="0">EOMONTH(D3,3)</f>
        <v>45504</v>
      </c>
      <c r="F3" s="749">
        <f t="shared" si="0"/>
        <v>45596</v>
      </c>
      <c r="G3" s="749">
        <f t="shared" si="0"/>
        <v>45688</v>
      </c>
      <c r="H3" s="749">
        <f t="shared" si="0"/>
        <v>45777</v>
      </c>
      <c r="I3" s="749">
        <f t="shared" si="0"/>
        <v>45869</v>
      </c>
      <c r="J3" s="749">
        <f t="shared" si="0"/>
        <v>45961</v>
      </c>
      <c r="K3" s="749">
        <f t="shared" si="0"/>
        <v>46053</v>
      </c>
      <c r="L3" s="749">
        <f t="shared" si="0"/>
        <v>46142</v>
      </c>
      <c r="M3" s="749">
        <f t="shared" si="0"/>
        <v>46234</v>
      </c>
      <c r="N3" s="749">
        <f t="shared" si="0"/>
        <v>46326</v>
      </c>
      <c r="O3" s="749">
        <f t="shared" si="0"/>
        <v>46418</v>
      </c>
      <c r="P3" s="749">
        <f t="shared" si="0"/>
        <v>46507</v>
      </c>
      <c r="Q3" s="749">
        <f t="shared" si="0"/>
        <v>46599</v>
      </c>
      <c r="R3" s="749">
        <f t="shared" si="0"/>
        <v>46691</v>
      </c>
      <c r="S3" s="749">
        <f t="shared" si="0"/>
        <v>46783</v>
      </c>
      <c r="T3" s="749">
        <f t="shared" si="0"/>
        <v>46873</v>
      </c>
      <c r="U3" s="749">
        <f t="shared" si="0"/>
        <v>46965</v>
      </c>
      <c r="V3" s="749">
        <f t="shared" si="0"/>
        <v>47057</v>
      </c>
      <c r="W3" s="749">
        <f t="shared" si="0"/>
        <v>47149</v>
      </c>
      <c r="X3" s="749">
        <f t="shared" si="0"/>
        <v>47238</v>
      </c>
      <c r="Y3" s="749">
        <f t="shared" si="0"/>
        <v>47330</v>
      </c>
      <c r="Z3" s="749">
        <f t="shared" si="0"/>
        <v>47422</v>
      </c>
      <c r="AA3" s="749">
        <f t="shared" si="0"/>
        <v>47514</v>
      </c>
      <c r="AB3" s="749">
        <f t="shared" si="0"/>
        <v>47603</v>
      </c>
      <c r="AC3" s="749">
        <f t="shared" si="0"/>
        <v>47695</v>
      </c>
      <c r="AD3" s="749">
        <f t="shared" si="0"/>
        <v>47787</v>
      </c>
      <c r="AE3" s="749">
        <f t="shared" si="0"/>
        <v>47879</v>
      </c>
      <c r="AF3" s="749">
        <f t="shared" si="0"/>
        <v>47968</v>
      </c>
      <c r="AG3" s="749">
        <f t="shared" si="0"/>
        <v>48060</v>
      </c>
      <c r="AH3" s="749">
        <f t="shared" si="0"/>
        <v>48152</v>
      </c>
      <c r="AI3" s="749">
        <f t="shared" si="0"/>
        <v>48244</v>
      </c>
      <c r="AJ3" s="749">
        <f t="shared" si="0"/>
        <v>48334</v>
      </c>
      <c r="AK3" s="749">
        <f t="shared" si="0"/>
        <v>48426</v>
      </c>
      <c r="AL3" s="749">
        <f t="shared" si="0"/>
        <v>48518</v>
      </c>
      <c r="AM3" s="749">
        <f t="shared" si="0"/>
        <v>48610</v>
      </c>
      <c r="AN3" s="749">
        <f t="shared" si="0"/>
        <v>48699</v>
      </c>
      <c r="AO3" s="749">
        <f t="shared" si="0"/>
        <v>48791</v>
      </c>
      <c r="AP3" s="749">
        <f t="shared" si="0"/>
        <v>48883</v>
      </c>
      <c r="AQ3" s="749">
        <f t="shared" si="0"/>
        <v>48975</v>
      </c>
      <c r="AR3" s="749">
        <f t="shared" si="0"/>
        <v>49064</v>
      </c>
      <c r="AS3" s="749">
        <f t="shared" si="0"/>
        <v>49156</v>
      </c>
      <c r="AT3" s="749">
        <f t="shared" si="0"/>
        <v>49248</v>
      </c>
      <c r="AU3" s="749">
        <f t="shared" si="0"/>
        <v>49340</v>
      </c>
      <c r="AV3" s="754"/>
    </row>
    <row r="4" spans="1:48">
      <c r="A4" s="781" t="s">
        <v>355</v>
      </c>
      <c r="B4" s="764">
        <f>SUM(C4:AU4)</f>
        <v>179810608.10776132</v>
      </c>
      <c r="C4" s="764">
        <f>'A Draw'!C36+'B Draw'!C37+'CD Draw'!C37+'EF Draw'!C37+'GH Draw'!C37+'IJKL Draw'!C37+'MN Draw'!C36</f>
        <v>-2724783.9480750002</v>
      </c>
      <c r="D4" s="764">
        <f>'A Draw'!D36+'B Draw'!D37+'CD Draw'!D37+'EF Draw'!D37+'GH Draw'!D37+'IJKL Draw'!D37+'MN Draw'!D36</f>
        <v>0</v>
      </c>
      <c r="E4" s="764">
        <f>'A Draw'!E36+'B Draw'!E37+'CD Draw'!E37+'EF Draw'!E37+'GH Draw'!E37+'IJKL Draw'!E37+'MN Draw'!E36</f>
        <v>0</v>
      </c>
      <c r="F4" s="764">
        <f>'A Draw'!F36+'B Draw'!F37+'CD Draw'!F37+'EF Draw'!F37+'GH Draw'!F37+'IJKL Draw'!F37+'MN Draw'!F36</f>
        <v>-246000</v>
      </c>
      <c r="G4" s="764">
        <f>'A Draw'!G36+'B Draw'!G37+'CD Draw'!G37+'EF Draw'!G37+'GH Draw'!G37+'IJKL Draw'!G37+'MN Draw'!G36</f>
        <v>-9854303.1626485121</v>
      </c>
      <c r="H4" s="764">
        <f>'A Draw'!H36+'B Draw'!H37+'CD Draw'!H37+'EF Draw'!H37+'GH Draw'!H37+'IJKL Draw'!H37+'MN Draw'!H36</f>
        <v>-7454814.229703512</v>
      </c>
      <c r="I4" s="764">
        <f>'A Draw'!I36+'B Draw'!I37+'CD Draw'!I37+'EF Draw'!I37+'GH Draw'!I37+'IJKL Draw'!I37+'MN Draw'!I36</f>
        <v>-13069126.258913025</v>
      </c>
      <c r="J4" s="764">
        <f>'A Draw'!J36+'B Draw'!J37+'CD Draw'!J37+'EF Draw'!J37+'GH Draw'!J37+'IJKL Draw'!J37+'MN Draw'!J36</f>
        <v>-13069126.258913025</v>
      </c>
      <c r="K4" s="764">
        <f>'A Draw'!K36+'B Draw'!K37+'CD Draw'!K37+'EF Draw'!K37+'GH Draw'!K37+'IJKL Draw'!K37+'MN Draw'!K36</f>
        <v>-11584379.300701924</v>
      </c>
      <c r="L4" s="764">
        <f>'A Draw'!L36+'B Draw'!L37+'CD Draw'!L37+'EF Draw'!L37+'GH Draw'!L37+'IJKL Draw'!L37+'MN Draw'!L36</f>
        <v>-322281.59981400002</v>
      </c>
      <c r="M4" s="764">
        <f>'A Draw'!M36+'B Draw'!M37+'CD Draw'!M37+'EF Draw'!M37+'GH Draw'!M37+'IJKL Draw'!M37+'MN Draw'!M36</f>
        <v>-322281.59981400002</v>
      </c>
      <c r="N4" s="764">
        <f>'A Draw'!N36+'B Draw'!N37+'CD Draw'!N37+'EF Draw'!N37+'GH Draw'!N37+'IJKL Draw'!N37+'MN Draw'!N36</f>
        <v>-322281.59981400002</v>
      </c>
      <c r="O4" s="764">
        <f>'A Draw'!O36+'B Draw'!O37+'CD Draw'!O37+'EF Draw'!O37+'GH Draw'!O37+'IJKL Draw'!O37+'MN Draw'!O36</f>
        <v>-322281.59981400002</v>
      </c>
      <c r="P4" s="764">
        <f>'A Draw'!P36+'B Draw'!P37+'CD Draw'!P37+'EF Draw'!P37+'GH Draw'!P37+'IJKL Draw'!P37+'MN Draw'!P36</f>
        <v>-273547.87613640004</v>
      </c>
      <c r="Q4" s="764">
        <f>'A Draw'!Q36+'B Draw'!Q37+'CD Draw'!Q37+'EF Draw'!Q37+'GH Draw'!Q37+'IJKL Draw'!Q37+'MN Draw'!Q36</f>
        <v>-168182.48975760001</v>
      </c>
      <c r="R4" s="764">
        <f>'A Draw'!R36+'B Draw'!R37+'CD Draw'!R37+'EF Draw'!R37+'GH Draw'!R37+'IJKL Draw'!R37+'MN Draw'!R36</f>
        <v>-482192.12608000002</v>
      </c>
      <c r="S4" s="764">
        <f>'A Draw'!S36+'B Draw'!S37+'CD Draw'!S37+'EF Draw'!S37+'GH Draw'!S37+'IJKL Draw'!S37+'MN Draw'!S36</f>
        <v>-10504274.068693176</v>
      </c>
      <c r="T4" s="764">
        <f>'A Draw'!T36+'B Draw'!T37+'CD Draw'!T37+'EF Draw'!T37+'GH Draw'!T37+'IJKL Draw'!T37+'MN Draw'!T36</f>
        <v>-8306204.0787047325</v>
      </c>
      <c r="U4" s="764">
        <f>'A Draw'!U36+'B Draw'!U37+'CD Draw'!U37+'EF Draw'!U37+'GH Draw'!U37+'IJKL Draw'!U37+'MN Draw'!U36</f>
        <v>-11351061.243751798</v>
      </c>
      <c r="V4" s="764">
        <f>'A Draw'!V36+'B Draw'!V37+'CD Draw'!V37+'EF Draw'!V37+'GH Draw'!V37+'IJKL Draw'!V37+'MN Draw'!V36</f>
        <v>69449997.006248206</v>
      </c>
      <c r="W4" s="764">
        <f>'A Draw'!W36+'B Draw'!W37+'CD Draw'!W37+'EF Draw'!W37+'GH Draw'!W37+'IJKL Draw'!W37+'MN Draw'!W36</f>
        <v>-13454867.62775718</v>
      </c>
      <c r="X4" s="764">
        <f>'A Draw'!X36+'B Draw'!X37+'CD Draw'!X37+'EF Draw'!X37+'GH Draw'!X37+'IJKL Draw'!X37+'MN Draw'!X36</f>
        <v>-9002687.1623489931</v>
      </c>
      <c r="Y4" s="764">
        <f>'A Draw'!Y36+'B Draw'!Y37+'CD Draw'!Y37+'EF Draw'!Y37+'GH Draw'!Y37+'IJKL Draw'!Y37+'MN Draw'!Y36</f>
        <v>-5681427.3288596356</v>
      </c>
      <c r="Z4" s="764">
        <f>'A Draw'!Z36+'B Draw'!Z37+'CD Draw'!Z37+'EF Draw'!Z37+'GH Draw'!Z37+'IJKL Draw'!Z37+'MN Draw'!Z36</f>
        <v>-4840912.1969231674</v>
      </c>
      <c r="AA4" s="764">
        <f>'A Draw'!AA36+'B Draw'!AA37+'CD Draw'!AA37+'EF Draw'!AA37+'GH Draw'!AA37+'IJKL Draw'!AA37+'MN Draw'!AA36</f>
        <v>-2692.12608</v>
      </c>
      <c r="AB4" s="764">
        <f>'A Draw'!AB36+'B Draw'!AB37+'CD Draw'!AB37+'EF Draw'!AB37+'GH Draw'!AB37+'IJKL Draw'!AB37+'MN Draw'!AB36</f>
        <v>-2692.12608</v>
      </c>
      <c r="AC4" s="764">
        <f>'A Draw'!AC36+'B Draw'!AC37+'CD Draw'!AC37+'EF Draw'!AC37+'GH Draw'!AC37+'IJKL Draw'!AC37+'MN Draw'!AC36</f>
        <v>-2692.12608</v>
      </c>
      <c r="AD4" s="764">
        <f>'A Draw'!AD36+'B Draw'!AD37+'CD Draw'!AD37+'EF Draw'!AD37+'GH Draw'!AD37+'IJKL Draw'!AD37+'MN Draw'!AD36</f>
        <v>-2692.12608</v>
      </c>
      <c r="AE4" s="764">
        <f>'A Draw'!AE36+'B Draw'!AE37+'CD Draw'!AE37+'EF Draw'!AE37+'GH Draw'!AE37+'IJKL Draw'!AE37+'MN Draw'!AE36</f>
        <v>-473715.20923572732</v>
      </c>
      <c r="AF4" s="764">
        <f>'A Draw'!AF36+'B Draw'!AF37+'CD Draw'!AF37+'EF Draw'!AF37+'GH Draw'!AF37+'IJKL Draw'!AF37+'MN Draw'!AF36</f>
        <v>-586854.51898097002</v>
      </c>
      <c r="AG4" s="764">
        <f>'A Draw'!AG36+'B Draw'!AG37+'CD Draw'!AG37+'EF Draw'!AG37+'GH Draw'!AG37+'IJKL Draw'!AG37+'MN Draw'!AG36</f>
        <v>-145119.77338330215</v>
      </c>
      <c r="AH4" s="764">
        <f>'A Draw'!AH36+'B Draw'!AH37+'CD Draw'!AH37+'EF Draw'!AH37+'GH Draw'!AH37+'IJKL Draw'!AH37+'MN Draw'!AH36</f>
        <v>0</v>
      </c>
      <c r="AI4" s="764">
        <f>'A Draw'!AI36+'B Draw'!AI37+'CD Draw'!AI37+'EF Draw'!AI37+'GH Draw'!AI37+'IJKL Draw'!AI37+'MN Draw'!AI36</f>
        <v>0</v>
      </c>
      <c r="AJ4" s="764">
        <f>'A Draw'!AJ36+'B Draw'!AJ37+'CD Draw'!AJ37+'EF Draw'!AJ37+'GH Draw'!AJ37+'IJKL Draw'!AJ37+'MN Draw'!AJ36</f>
        <v>225765380.18152976</v>
      </c>
      <c r="AK4" s="764">
        <f>'A Draw'!AK36+'B Draw'!AK37+'CD Draw'!AK37+'EF Draw'!AK37+'GH Draw'!AK37+'IJKL Draw'!AK37+'MN Draw'!AK36</f>
        <v>0</v>
      </c>
      <c r="AL4" s="764">
        <f>'A Draw'!AL36+'B Draw'!AL37+'CD Draw'!AL37+'EF Draw'!AL37+'GH Draw'!AL37+'IJKL Draw'!AL37+'MN Draw'!AL36</f>
        <v>0</v>
      </c>
      <c r="AM4" s="764">
        <f>'A Draw'!AM36+'B Draw'!AM37+'CD Draw'!AM37+'EF Draw'!AM37+'GH Draw'!AM37+'IJKL Draw'!AM37+'MN Draw'!AM36</f>
        <v>0</v>
      </c>
      <c r="AN4" s="764">
        <f>'A Draw'!AN36+'B Draw'!AN37+'CD Draw'!AN37+'EF Draw'!AN37+'GH Draw'!AN37+'IJKL Draw'!AN37+'MN Draw'!AN36</f>
        <v>4474000</v>
      </c>
      <c r="AO4" s="764">
        <f>'A Draw'!AO36+'B Draw'!AO37+'CD Draw'!AO37+'EF Draw'!AO37+'GH Draw'!AO37+'IJKL Draw'!AO37+'MN Draw'!AO36</f>
        <v>0</v>
      </c>
      <c r="AP4" s="764">
        <f>'A Draw'!AP36+'B Draw'!AP37+'CD Draw'!AP37+'EF Draw'!AP37+'GH Draw'!AP37+'IJKL Draw'!AP37+'MN Draw'!AP36</f>
        <v>4694704.6831270186</v>
      </c>
      <c r="AQ4" s="764">
        <f>'A Draw'!AQ36+'B Draw'!AQ37+'CD Draw'!AQ37+'EF Draw'!AQ37+'GH Draw'!AQ37+'IJKL Draw'!AQ37+'MN Draw'!AQ36</f>
        <v>0</v>
      </c>
      <c r="AR4" s="764">
        <f>'A Draw'!AR36+'B Draw'!AR37+'CD Draw'!AR37+'EF Draw'!AR37+'GH Draw'!AR37+'IJKL Draw'!AR37+'MN Draw'!AR36</f>
        <v>0</v>
      </c>
      <c r="AS4" s="764">
        <f>'A Draw'!AS36+'B Draw'!AS37+'CD Draw'!AS37+'EF Draw'!AS37+'GH Draw'!AS37+'IJKL Draw'!AS37+'MN Draw'!AS36</f>
        <v>0</v>
      </c>
      <c r="AT4" s="764">
        <f>'A Draw'!AT36+'B Draw'!AT37+'CD Draw'!AT37+'EF Draw'!AT37+'GH Draw'!AT37+'IJKL Draw'!AT37+'MN Draw'!AT36</f>
        <v>0</v>
      </c>
      <c r="AU4" s="764">
        <f>'A Draw'!AU36+'B Draw'!AU37+'CD Draw'!AU37+'EF Draw'!AU37+'GH Draw'!AU37+'IJKL Draw'!AU37+'MN Draw'!AU36</f>
        <v>0</v>
      </c>
      <c r="AV4" s="764"/>
    </row>
    <row r="5" spans="1:48">
      <c r="A5" s="772" t="s">
        <v>411</v>
      </c>
      <c r="B5" s="961">
        <f>IF(B4&lt;0,0,IRR(C4:AU4))</f>
        <v>5.3172063542186176E-2</v>
      </c>
      <c r="C5" s="800"/>
      <c r="D5" s="800"/>
      <c r="E5" s="800"/>
      <c r="F5" s="800"/>
      <c r="G5" s="800"/>
      <c r="H5" s="800"/>
      <c r="I5" s="800"/>
      <c r="J5" s="800"/>
      <c r="K5" s="800"/>
      <c r="L5" s="800"/>
      <c r="M5" s="800"/>
      <c r="N5" s="800"/>
      <c r="O5" s="800"/>
      <c r="P5" s="800"/>
      <c r="Q5" s="800"/>
      <c r="R5" s="800"/>
      <c r="S5" s="800"/>
      <c r="T5" s="800"/>
      <c r="U5" s="800"/>
      <c r="V5" s="800"/>
      <c r="W5" s="800"/>
      <c r="X5" s="800"/>
      <c r="Y5" s="800"/>
      <c r="Z5" s="800"/>
      <c r="AA5" s="800"/>
      <c r="AB5" s="800"/>
      <c r="AC5" s="800"/>
      <c r="AD5" s="800"/>
      <c r="AE5" s="800"/>
      <c r="AF5" s="800"/>
      <c r="AG5" s="800"/>
      <c r="AH5" s="800"/>
      <c r="AI5" s="800"/>
      <c r="AJ5" s="800"/>
      <c r="AK5" s="800"/>
      <c r="AL5" s="800"/>
      <c r="AM5" s="800"/>
      <c r="AN5" s="800"/>
      <c r="AO5" s="800"/>
      <c r="AP5" s="800"/>
      <c r="AQ5" s="800"/>
      <c r="AR5" s="800"/>
      <c r="AS5" s="800"/>
      <c r="AT5" s="800"/>
      <c r="AU5" s="800"/>
      <c r="AV5" s="801"/>
    </row>
    <row r="6" spans="1:48">
      <c r="A6" s="772" t="s">
        <v>357</v>
      </c>
      <c r="B6" s="962">
        <f>POWER((1+B5),4)-1</f>
        <v>0.23026118443060906</v>
      </c>
      <c r="C6" s="793"/>
      <c r="D6" s="793"/>
      <c r="E6" s="793"/>
      <c r="F6" s="793"/>
      <c r="G6" s="793"/>
      <c r="H6" s="793"/>
      <c r="I6" s="793"/>
      <c r="J6" s="793"/>
      <c r="K6" s="793"/>
      <c r="L6" s="793"/>
      <c r="M6" s="793"/>
      <c r="N6" s="793"/>
      <c r="O6" s="793"/>
      <c r="P6" s="793"/>
      <c r="Q6" s="793"/>
      <c r="R6" s="793"/>
      <c r="S6" s="793"/>
      <c r="T6" s="793"/>
      <c r="U6" s="793"/>
      <c r="V6" s="793"/>
      <c r="W6" s="793"/>
      <c r="X6" s="793"/>
      <c r="Y6" s="793"/>
      <c r="Z6" s="793"/>
      <c r="AA6" s="793"/>
      <c r="AB6" s="793"/>
      <c r="AC6" s="793"/>
      <c r="AD6" s="793"/>
      <c r="AE6" s="793"/>
      <c r="AF6" s="793"/>
      <c r="AG6" s="793"/>
      <c r="AH6" s="793"/>
      <c r="AI6" s="793"/>
      <c r="AJ6" s="793"/>
      <c r="AK6" s="793"/>
      <c r="AL6" s="793"/>
      <c r="AM6" s="793"/>
      <c r="AN6" s="793"/>
      <c r="AO6" s="793"/>
      <c r="AP6" s="793"/>
      <c r="AQ6" s="793"/>
      <c r="AR6" s="793"/>
      <c r="AS6" s="793"/>
      <c r="AT6" s="793"/>
      <c r="AU6" s="793"/>
      <c r="AV6" s="805"/>
    </row>
    <row r="7" spans="1:48">
      <c r="A7" s="793"/>
      <c r="B7" s="963"/>
      <c r="C7" s="793"/>
      <c r="D7" s="793"/>
      <c r="E7" s="793"/>
      <c r="F7" s="793"/>
      <c r="G7" s="793"/>
      <c r="H7" s="793"/>
      <c r="I7" s="793"/>
      <c r="J7" s="793"/>
      <c r="K7" s="793"/>
      <c r="L7" s="793"/>
      <c r="M7" s="793"/>
      <c r="N7" s="793"/>
      <c r="O7" s="793"/>
      <c r="P7" s="793"/>
      <c r="Q7" s="793"/>
      <c r="R7" s="793"/>
      <c r="S7" s="793"/>
      <c r="T7" s="793"/>
      <c r="U7" s="793"/>
      <c r="V7" s="793"/>
      <c r="W7" s="793"/>
      <c r="X7" s="793"/>
      <c r="Y7" s="793"/>
      <c r="Z7" s="793"/>
      <c r="AA7" s="793"/>
      <c r="AB7" s="793"/>
      <c r="AC7" s="793"/>
      <c r="AD7" s="793"/>
      <c r="AE7" s="793"/>
      <c r="AF7" s="793"/>
      <c r="AG7" s="793"/>
      <c r="AH7" s="793"/>
      <c r="AI7" s="793"/>
      <c r="AJ7" s="793"/>
      <c r="AK7" s="793"/>
      <c r="AL7" s="793"/>
      <c r="AM7" s="793"/>
      <c r="AN7" s="793"/>
      <c r="AO7" s="793"/>
      <c r="AP7" s="793"/>
      <c r="AQ7" s="793"/>
      <c r="AR7" s="793"/>
      <c r="AS7" s="793"/>
      <c r="AT7" s="793"/>
      <c r="AU7" s="793"/>
      <c r="AV7" s="805"/>
    </row>
    <row r="8" spans="1:48">
      <c r="A8" s="772" t="s">
        <v>434</v>
      </c>
      <c r="B8" s="764">
        <f>SUM(C8:AU8)</f>
        <v>181288729.17043284</v>
      </c>
      <c r="C8" s="764">
        <f>'A Draw'!C41+'B Draw'!C42+'CD Draw'!C42+'EF Draw'!C42+'GH Draw'!C42+'IJKL Draw'!C42+'MN Draw'!C41</f>
        <v>-2724783.9480750002</v>
      </c>
      <c r="D8" s="764">
        <f>'A Draw'!D41+'B Draw'!D42+'CD Draw'!D42+'EF Draw'!D42+'GH Draw'!D42+'IJKL Draw'!D42+'MN Draw'!D41</f>
        <v>0</v>
      </c>
      <c r="E8" s="764">
        <f>'A Draw'!E41+'B Draw'!E42+'CD Draw'!E42+'EF Draw'!E42+'GH Draw'!E42+'IJKL Draw'!E42+'MN Draw'!E41</f>
        <v>0</v>
      </c>
      <c r="F8" s="764">
        <f>'A Draw'!F41+'B Draw'!F42+'CD Draw'!F42+'EF Draw'!F42+'GH Draw'!F42+'IJKL Draw'!F42+'MN Draw'!F41</f>
        <v>-246000</v>
      </c>
      <c r="G8" s="764">
        <f>'A Draw'!G41+'B Draw'!G42+'CD Draw'!G42+'EF Draw'!G42+'GH Draw'!G42+'IJKL Draw'!G42+'MN Draw'!G41</f>
        <v>-9854303.1626485121</v>
      </c>
      <c r="H8" s="764">
        <f>'A Draw'!H41+'B Draw'!H42+'CD Draw'!H42+'EF Draw'!H42+'GH Draw'!H42+'IJKL Draw'!H42+'MN Draw'!H41</f>
        <v>-7454814.229703512</v>
      </c>
      <c r="I8" s="764">
        <f>'A Draw'!I41+'B Draw'!I42+'CD Draw'!I42+'EF Draw'!I42+'GH Draw'!I42+'IJKL Draw'!I42+'MN Draw'!I41</f>
        <v>-13069126.258913025</v>
      </c>
      <c r="J8" s="764">
        <f>'A Draw'!J41+'B Draw'!J42+'CD Draw'!J42+'EF Draw'!J42+'GH Draw'!J42+'IJKL Draw'!J42+'MN Draw'!J41</f>
        <v>-13069126.258913025</v>
      </c>
      <c r="K8" s="764">
        <f>'A Draw'!K41+'B Draw'!K42+'CD Draw'!K42+'EF Draw'!K42+'GH Draw'!K42+'IJKL Draw'!K42+'MN Draw'!K41</f>
        <v>-13370286.361793024</v>
      </c>
      <c r="L8" s="764">
        <f>'A Draw'!L41+'B Draw'!L42+'CD Draw'!L42+'EF Draw'!L42+'GH Draw'!L42+'IJKL Draw'!L42+'MN Draw'!L41</f>
        <v>-13071818.384993026</v>
      </c>
      <c r="M8" s="764">
        <f>'A Draw'!M41+'B Draw'!M42+'CD Draw'!M42+'EF Draw'!M42+'GH Draw'!M42+'IJKL Draw'!M42+'MN Draw'!M41</f>
        <v>-13071818.384993026</v>
      </c>
      <c r="N8" s="764">
        <f>'A Draw'!N41+'B Draw'!N42+'CD Draw'!N42+'EF Draw'!N42+'GH Draw'!N42+'IJKL Draw'!N42+'MN Draw'!N41</f>
        <v>-13071818.384993026</v>
      </c>
      <c r="O8" s="764">
        <f>'A Draw'!O41+'B Draw'!O42+'CD Draw'!O42+'EF Draw'!O42+'GH Draw'!O42+'IJKL Draw'!O42+'MN Draw'!O41</f>
        <v>-13071818.384993026</v>
      </c>
      <c r="P8" s="764">
        <f>'A Draw'!P41+'B Draw'!P42+'CD Draw'!P42+'EF Draw'!P42+'GH Draw'!P42+'IJKL Draw'!P42+'MN Draw'!P41</f>
        <v>-13023084.661315426</v>
      </c>
      <c r="Q8" s="764">
        <f>'A Draw'!Q41+'B Draw'!Q42+'CD Draw'!Q42+'EF Draw'!Q42+'GH Draw'!Q42+'IJKL Draw'!Q42+'MN Draw'!Q41</f>
        <v>-6542950.8823471116</v>
      </c>
      <c r="R8" s="764">
        <f>'A Draw'!R41+'B Draw'!R42+'CD Draw'!R42+'EF Draw'!R42+'GH Draw'!R42+'IJKL Draw'!R42+'MN Draw'!R41</f>
        <v>-6856960.5186695121</v>
      </c>
      <c r="S8" s="764">
        <f>'A Draw'!S41+'B Draw'!S42+'CD Draw'!S42+'EF Draw'!S42+'GH Draw'!S42+'IJKL Draw'!S42+'MN Draw'!S41</f>
        <v>-10991852.708843177</v>
      </c>
      <c r="T8" s="764">
        <f>'A Draw'!T41+'B Draw'!T42+'CD Draw'!T42+'EF Draw'!T42+'GH Draw'!T42+'IJKL Draw'!T42+'MN Draw'!T41</f>
        <v>-8793782.7188547328</v>
      </c>
      <c r="U8" s="764">
        <f>'A Draw'!U41+'B Draw'!U42+'CD Draw'!U42+'EF Draw'!U42+'GH Draw'!U42+'IJKL Draw'!U42+'MN Draw'!U41</f>
        <v>-11838639.883901797</v>
      </c>
      <c r="V8" s="764">
        <f>'A Draw'!V41+'B Draw'!V42+'CD Draw'!V42+'EF Draw'!V42+'GH Draw'!V42+'IJKL Draw'!V42+'MN Draw'!V41</f>
        <v>149195418.36609817</v>
      </c>
      <c r="W8" s="764">
        <f>'A Draw'!W41+'B Draw'!W42+'CD Draw'!W42+'EF Draw'!W42+'GH Draw'!W42+'IJKL Draw'!W42+'MN Draw'!W41</f>
        <v>-13659058.764424805</v>
      </c>
      <c r="X8" s="764">
        <f>'A Draw'!X41+'B Draw'!X42+'CD Draw'!X42+'EF Draw'!X42+'GH Draw'!X42+'IJKL Draw'!X42+'MN Draw'!X41</f>
        <v>-13844286.054676855</v>
      </c>
      <c r="Y8" s="764">
        <f>'A Draw'!Y41+'B Draw'!Y42+'CD Draw'!Y42+'EF Draw'!Y42+'GH Draw'!Y42+'IJKL Draw'!Y42+'MN Draw'!Y41</f>
        <v>-13844286.054676855</v>
      </c>
      <c r="Z8" s="764">
        <f>'A Draw'!Z41+'B Draw'!Z42+'CD Draw'!Z42+'EF Draw'!Z42+'GH Draw'!Z42+'IJKL Draw'!Z42+'MN Draw'!Z41</f>
        <v>-13844286.054676855</v>
      </c>
      <c r="AA8" s="764">
        <f>'A Draw'!AA41+'B Draw'!AA42+'CD Draw'!AA42+'EF Draw'!AA42+'GH Draw'!AA42+'IJKL Draw'!AA42+'MN Draw'!AA41</f>
        <v>-13844286.054676855</v>
      </c>
      <c r="AB8" s="764">
        <f>'A Draw'!AB41+'B Draw'!AB42+'CD Draw'!AB42+'EF Draw'!AB42+'GH Draw'!AB42+'IJKL Draw'!AB42+'MN Draw'!AB41</f>
        <v>-13839927.804676855</v>
      </c>
      <c r="AC8" s="764">
        <f>'A Draw'!AC41+'B Draw'!AC42+'CD Draw'!AC42+'EF Draw'!AC42+'GH Draw'!AC42+'IJKL Draw'!AC42+'MN Draw'!AC41</f>
        <v>-10693802.052659314</v>
      </c>
      <c r="AD8" s="764">
        <f>'A Draw'!AD41+'B Draw'!AD42+'CD Draw'!AD42+'EF Draw'!AD42+'GH Draw'!AD42+'IJKL Draw'!AD42+'MN Draw'!AD41</f>
        <v>-10693802.052659314</v>
      </c>
      <c r="AE8" s="764">
        <f>'A Draw'!AE41+'B Draw'!AE42+'CD Draw'!AE42+'EF Draw'!AE42+'GH Draw'!AE42+'IJKL Draw'!AE42+'MN Draw'!AE41</f>
        <v>-11629472.405989675</v>
      </c>
      <c r="AF8" s="764">
        <f>'A Draw'!AF41+'B Draw'!AF42+'CD Draw'!AF42+'EF Draw'!AF42+'GH Draw'!AF42+'IJKL Draw'!AF42+'MN Draw'!AF41</f>
        <v>-11742611.715734918</v>
      </c>
      <c r="AG8" s="764">
        <f>'A Draw'!AG41+'B Draw'!AG42+'CD Draw'!AG42+'EF Draw'!AG42+'GH Draw'!AG42+'IJKL Draw'!AG42+'MN Draw'!AG41</f>
        <v>-11382004.627768839</v>
      </c>
      <c r="AH8" s="764">
        <f>'A Draw'!AH41+'B Draw'!AH42+'CD Draw'!AH42+'EF Draw'!AH42+'GH Draw'!AH42+'IJKL Draw'!AH42+'MN Draw'!AH41</f>
        <v>-11382004.627768839</v>
      </c>
      <c r="AI8" s="764">
        <f>'A Draw'!AI41+'B Draw'!AI42+'CD Draw'!AI42+'EF Draw'!AI42+'GH Draw'!AI42+'IJKL Draw'!AI42+'MN Draw'!AI41</f>
        <v>-6111587.4265655782</v>
      </c>
      <c r="AJ8" s="764">
        <f>'A Draw'!AJ41+'B Draw'!AJ42+'CD Draw'!AJ42+'EF Draw'!AJ42+'GH Draw'!AJ42+'IJKL Draw'!AJ42+'MN Draw'!AJ41</f>
        <v>332029801.91492993</v>
      </c>
      <c r="AK8" s="764">
        <f>'A Draw'!AK41+'B Draw'!AK42+'CD Draw'!AK42+'EF Draw'!AK42+'GH Draw'!AK42+'IJKL Draw'!AK42+'MN Draw'!AK41</f>
        <v>-1337628.6043048506</v>
      </c>
      <c r="AL8" s="764">
        <f>'A Draw'!AL41+'B Draw'!AL42+'CD Draw'!AL42+'EF Draw'!AL42+'GH Draw'!AL42+'IJKL Draw'!AL42+'MN Draw'!AL41</f>
        <v>-1337628.6043048506</v>
      </c>
      <c r="AM8" s="764">
        <f>'A Draw'!AM41+'B Draw'!AM42+'CD Draw'!AM42+'EF Draw'!AM42+'GH Draw'!AM42+'IJKL Draw'!AM42+'MN Draw'!AM41</f>
        <v>-146470.875</v>
      </c>
      <c r="AN8" s="764">
        <f>'A Draw'!AN41+'B Draw'!AN42+'CD Draw'!AN42+'EF Draw'!AN42+'GH Draw'!AN42+'IJKL Draw'!AN42+'MN Draw'!AN41</f>
        <v>6806807.8039199999</v>
      </c>
      <c r="AO8" s="764">
        <f>'A Draw'!AO41+'B Draw'!AO42+'CD Draw'!AO42+'EF Draw'!AO42+'GH Draw'!AO42+'IJKL Draw'!AO42+'MN Draw'!AO41</f>
        <v>-2500</v>
      </c>
      <c r="AP8" s="764">
        <f>'A Draw'!AP41+'B Draw'!AP42+'CD Draw'!AP42+'EF Draw'!AP42+'GH Draw'!AP42+'IJKL Draw'!AP42+'MN Draw'!AP41</f>
        <v>22715330</v>
      </c>
      <c r="AQ8" s="764">
        <f>'A Draw'!AQ41+'B Draw'!AQ42+'CD Draw'!AQ42+'EF Draw'!AQ42+'GH Draw'!AQ42+'IJKL Draw'!AQ42+'MN Draw'!AQ41</f>
        <v>0</v>
      </c>
      <c r="AR8" s="764">
        <f>'A Draw'!AR41+'B Draw'!AR42+'CD Draw'!AR42+'EF Draw'!AR42+'GH Draw'!AR42+'IJKL Draw'!AR42+'MN Draw'!AR41</f>
        <v>0</v>
      </c>
      <c r="AS8" s="764">
        <f>'A Draw'!AS41+'B Draw'!AS42+'CD Draw'!AS42+'EF Draw'!AS42+'GH Draw'!AS42+'IJKL Draw'!AS42+'MN Draw'!AS41</f>
        <v>0</v>
      </c>
      <c r="AT8" s="764">
        <f>'A Draw'!AT41+'B Draw'!AT42+'CD Draw'!AT42+'EF Draw'!AT42+'GH Draw'!AT42+'IJKL Draw'!AT42+'MN Draw'!AT41</f>
        <v>0</v>
      </c>
      <c r="AU8" s="764">
        <f>'A Draw'!AU41+'B Draw'!AU42+'CD Draw'!AU42+'EF Draw'!AU42+'GH Draw'!AU42+'IJKL Draw'!AU42+'MN Draw'!AU41</f>
        <v>0</v>
      </c>
      <c r="AV8" s="772"/>
    </row>
    <row r="9" spans="1:48">
      <c r="A9" s="772" t="s">
        <v>435</v>
      </c>
      <c r="B9" s="961">
        <f>IF(B8&lt;0,0,IRR(C8:AU8))</f>
        <v>3.7802328205964741E-2</v>
      </c>
      <c r="C9" s="786"/>
      <c r="D9" s="793"/>
      <c r="E9" s="793"/>
      <c r="F9" s="793"/>
      <c r="G9" s="793"/>
      <c r="H9" s="793"/>
      <c r="I9" s="793"/>
      <c r="J9" s="793"/>
      <c r="K9" s="793"/>
      <c r="L9" s="793"/>
      <c r="M9" s="786"/>
      <c r="N9" s="793"/>
      <c r="O9" s="793"/>
      <c r="P9" s="793"/>
      <c r="Q9" s="793"/>
      <c r="R9" s="793"/>
      <c r="S9" s="786"/>
      <c r="T9" s="793"/>
      <c r="U9" s="793"/>
      <c r="V9" s="793"/>
      <c r="W9" s="793"/>
      <c r="X9" s="793"/>
      <c r="Y9" s="793"/>
      <c r="Z9" s="793"/>
      <c r="AA9" s="793"/>
      <c r="AB9" s="793"/>
      <c r="AC9" s="793"/>
      <c r="AD9" s="793"/>
      <c r="AE9" s="793"/>
      <c r="AF9" s="793"/>
      <c r="AG9" s="793"/>
      <c r="AH9" s="793"/>
      <c r="AI9" s="793"/>
      <c r="AJ9" s="793"/>
      <c r="AK9" s="793"/>
      <c r="AL9" s="793"/>
      <c r="AM9" s="793"/>
      <c r="AN9" s="793"/>
      <c r="AO9" s="793"/>
      <c r="AP9" s="793"/>
      <c r="AQ9" s="793"/>
      <c r="AR9" s="793"/>
      <c r="AS9" s="793"/>
      <c r="AT9" s="793"/>
      <c r="AU9" s="793"/>
      <c r="AV9" s="772"/>
    </row>
    <row r="10" spans="1:48">
      <c r="A10" s="772" t="s">
        <v>362</v>
      </c>
      <c r="B10" s="962">
        <f>POWER((1+B9),4)-1</f>
        <v>0.16000153154745145</v>
      </c>
      <c r="C10" s="793"/>
      <c r="D10" s="793"/>
      <c r="E10" s="793"/>
      <c r="F10" s="793"/>
      <c r="G10" s="793"/>
      <c r="H10" s="793"/>
      <c r="I10" s="793"/>
      <c r="J10" s="793"/>
      <c r="K10" s="793"/>
      <c r="L10" s="793"/>
      <c r="M10" s="786"/>
      <c r="N10" s="793"/>
      <c r="O10" s="793"/>
      <c r="P10" s="793"/>
      <c r="Q10" s="793"/>
      <c r="R10" s="793"/>
      <c r="S10" s="786"/>
      <c r="T10" s="793"/>
      <c r="U10" s="793"/>
      <c r="V10" s="793"/>
      <c r="W10" s="793"/>
      <c r="X10" s="793"/>
      <c r="Y10" s="793"/>
      <c r="Z10" s="793"/>
      <c r="AA10" s="793"/>
      <c r="AB10" s="793"/>
      <c r="AC10" s="793"/>
      <c r="AD10" s="793"/>
      <c r="AE10" s="793"/>
      <c r="AF10" s="793"/>
      <c r="AG10" s="793"/>
      <c r="AH10" s="793"/>
      <c r="AI10" s="793"/>
      <c r="AJ10" s="793"/>
      <c r="AK10" s="793"/>
      <c r="AL10" s="793"/>
      <c r="AM10" s="793"/>
      <c r="AN10" s="793"/>
      <c r="AO10" s="793"/>
      <c r="AP10" s="793"/>
      <c r="AQ10" s="793"/>
      <c r="AR10" s="793"/>
      <c r="AS10" s="793"/>
      <c r="AT10" s="793"/>
      <c r="AU10" s="793"/>
      <c r="AV10" s="772"/>
    </row>
    <row r="11" spans="1:48">
      <c r="G11" s="6"/>
      <c r="AB11" s="6"/>
      <c r="AE11" s="6"/>
      <c r="AI11" s="6"/>
    </row>
    <row r="12" spans="1:48">
      <c r="G12" s="6"/>
      <c r="AB12" s="6"/>
      <c r="AE12" s="6"/>
      <c r="AI12" s="6"/>
    </row>
    <row r="13" spans="1:48">
      <c r="G13" s="6"/>
      <c r="AB13" s="6"/>
      <c r="AE13" s="6"/>
      <c r="AI13" s="6"/>
    </row>
    <row r="14" spans="1:48">
      <c r="G14" s="6"/>
      <c r="AB14" s="6"/>
      <c r="AE14" s="6"/>
      <c r="AI14" s="6"/>
    </row>
    <row r="15" spans="1:48">
      <c r="G15" s="6"/>
      <c r="AB15" s="6"/>
      <c r="AE15" s="6"/>
      <c r="AI15" s="6"/>
    </row>
    <row r="16" spans="1:48">
      <c r="G16" s="6"/>
      <c r="AB16" s="6"/>
      <c r="AE16" s="6"/>
      <c r="AI16" s="6"/>
    </row>
    <row r="17" spans="7:36">
      <c r="G17" s="6"/>
      <c r="AA17"/>
      <c r="AB17"/>
      <c r="AC17"/>
      <c r="AD17"/>
      <c r="AE17"/>
      <c r="AF17"/>
      <c r="AI17" s="6"/>
    </row>
    <row r="18" spans="7:36">
      <c r="G18" s="6"/>
      <c r="AA18"/>
      <c r="AB18"/>
      <c r="AC18"/>
      <c r="AD18"/>
      <c r="AE18"/>
      <c r="AF18"/>
      <c r="AI18" s="6"/>
    </row>
    <row r="19" spans="7:36">
      <c r="G19" s="6"/>
      <c r="AA19"/>
      <c r="AB19"/>
      <c r="AC19"/>
      <c r="AD19"/>
      <c r="AE19"/>
      <c r="AF19"/>
      <c r="AH19"/>
      <c r="AI19"/>
      <c r="AJ19"/>
    </row>
    <row r="20" spans="7:36">
      <c r="G20" s="6"/>
      <c r="AA20"/>
      <c r="AB20"/>
      <c r="AC20"/>
      <c r="AD20"/>
      <c r="AE20"/>
      <c r="AF20"/>
      <c r="AH20"/>
      <c r="AI20"/>
      <c r="AJ20"/>
    </row>
    <row r="21" spans="7:36">
      <c r="G21" s="6"/>
      <c r="AA21"/>
      <c r="AB21"/>
      <c r="AC21"/>
      <c r="AD21"/>
      <c r="AE21"/>
      <c r="AF21"/>
      <c r="AH21"/>
      <c r="AI21"/>
      <c r="AJ21"/>
    </row>
    <row r="22" spans="7:36">
      <c r="G22" s="6"/>
      <c r="AA22"/>
      <c r="AB22"/>
      <c r="AC22"/>
      <c r="AD22"/>
      <c r="AE22"/>
      <c r="AF22"/>
      <c r="AH22"/>
      <c r="AI22"/>
      <c r="AJ22"/>
    </row>
    <row r="23" spans="7:36">
      <c r="G23" s="6"/>
      <c r="AA23"/>
      <c r="AB23"/>
      <c r="AC23"/>
      <c r="AD23"/>
      <c r="AE23"/>
      <c r="AF23"/>
      <c r="AH23"/>
      <c r="AI23"/>
      <c r="AJ23"/>
    </row>
    <row r="24" spans="7:36">
      <c r="G24" s="6"/>
      <c r="AA24"/>
      <c r="AB24"/>
      <c r="AC24"/>
      <c r="AD24"/>
      <c r="AE24"/>
      <c r="AF24"/>
      <c r="AH24"/>
      <c r="AI24"/>
      <c r="AJ24"/>
    </row>
    <row r="25" spans="7:36">
      <c r="G25" s="6"/>
      <c r="AA25"/>
      <c r="AB25"/>
      <c r="AC25"/>
      <c r="AD25"/>
      <c r="AE25"/>
      <c r="AF25"/>
      <c r="AH25"/>
      <c r="AI25"/>
      <c r="AJ25"/>
    </row>
    <row r="26" spans="7:36">
      <c r="G26" s="6"/>
      <c r="AA26"/>
      <c r="AB26"/>
      <c r="AC26"/>
      <c r="AD26"/>
      <c r="AE26"/>
      <c r="AF26"/>
      <c r="AH26"/>
      <c r="AI26"/>
      <c r="AJ26"/>
    </row>
    <row r="27" spans="7:36">
      <c r="G27" s="6"/>
      <c r="AA27"/>
      <c r="AB27"/>
      <c r="AC27"/>
      <c r="AD27"/>
      <c r="AE27"/>
      <c r="AF27"/>
      <c r="AH27"/>
      <c r="AI27"/>
      <c r="AJ27"/>
    </row>
    <row r="28" spans="7:36">
      <c r="G28" s="6"/>
      <c r="AA28"/>
      <c r="AB28"/>
      <c r="AC28"/>
      <c r="AD28"/>
      <c r="AE28"/>
      <c r="AF28"/>
      <c r="AH28"/>
      <c r="AI28"/>
      <c r="AJ28"/>
    </row>
    <row r="29" spans="7:36">
      <c r="G29" s="6"/>
      <c r="AA29"/>
      <c r="AB29"/>
      <c r="AC29"/>
      <c r="AD29"/>
      <c r="AE29"/>
      <c r="AF29"/>
      <c r="AH29"/>
      <c r="AI29"/>
      <c r="AJ29"/>
    </row>
    <row r="30" spans="7:36">
      <c r="G30" s="6"/>
      <c r="AA30"/>
      <c r="AB30"/>
      <c r="AC30"/>
      <c r="AD30"/>
      <c r="AE30"/>
      <c r="AF30"/>
      <c r="AH30"/>
      <c r="AI30"/>
      <c r="AJ30"/>
    </row>
    <row r="31" spans="7:36">
      <c r="G31" s="6"/>
      <c r="AA31"/>
      <c r="AB31"/>
      <c r="AC31"/>
      <c r="AD31"/>
      <c r="AE31"/>
      <c r="AF31"/>
      <c r="AH31"/>
      <c r="AI31"/>
      <c r="AJ31"/>
    </row>
    <row r="32" spans="7:36">
      <c r="G32" s="6"/>
      <c r="AA32"/>
      <c r="AB32"/>
      <c r="AC32"/>
      <c r="AD32"/>
      <c r="AE32"/>
      <c r="AF32"/>
      <c r="AH32"/>
      <c r="AI32"/>
      <c r="AJ32"/>
    </row>
    <row r="33" spans="7:36">
      <c r="G33" s="6"/>
      <c r="AA33"/>
      <c r="AB33"/>
      <c r="AC33"/>
      <c r="AD33"/>
      <c r="AE33"/>
      <c r="AF33"/>
      <c r="AH33"/>
      <c r="AI33"/>
      <c r="AJ33"/>
    </row>
    <row r="34" spans="7:36">
      <c r="G34" s="6"/>
      <c r="AA34"/>
      <c r="AB34"/>
      <c r="AC34"/>
      <c r="AD34"/>
      <c r="AE34"/>
      <c r="AF34"/>
      <c r="AH34"/>
      <c r="AI34"/>
      <c r="AJ34"/>
    </row>
    <row r="35" spans="7:36">
      <c r="G35" s="6"/>
      <c r="AA35"/>
      <c r="AB35"/>
      <c r="AC35"/>
      <c r="AD35"/>
      <c r="AE35"/>
      <c r="AF35"/>
      <c r="AH35"/>
      <c r="AI35"/>
      <c r="AJ35"/>
    </row>
    <row r="36" spans="7:36">
      <c r="G36" s="6"/>
      <c r="AA36"/>
      <c r="AB36"/>
      <c r="AC36"/>
      <c r="AD36"/>
      <c r="AE36"/>
      <c r="AF36"/>
      <c r="AH36"/>
      <c r="AI36"/>
      <c r="AJ36"/>
    </row>
    <row r="37" spans="7:36">
      <c r="G37" s="6"/>
      <c r="AA37"/>
      <c r="AB37"/>
      <c r="AC37"/>
      <c r="AD37"/>
      <c r="AE37"/>
      <c r="AF37"/>
      <c r="AH37"/>
      <c r="AI37"/>
      <c r="AJ37"/>
    </row>
    <row r="38" spans="7:36">
      <c r="G38" s="6"/>
      <c r="AA38"/>
      <c r="AB38"/>
      <c r="AC38"/>
      <c r="AD38"/>
      <c r="AE38"/>
      <c r="AF38"/>
      <c r="AH38"/>
      <c r="AI38"/>
      <c r="AJ38"/>
    </row>
    <row r="39" spans="7:36">
      <c r="G39" s="6"/>
      <c r="AA39"/>
      <c r="AB39"/>
      <c r="AC39"/>
      <c r="AD39"/>
      <c r="AE39"/>
      <c r="AF39"/>
      <c r="AH39"/>
      <c r="AI39"/>
      <c r="AJ39"/>
    </row>
    <row r="40" spans="7:36">
      <c r="G40" s="6"/>
      <c r="AA40"/>
      <c r="AB40"/>
      <c r="AC40"/>
      <c r="AD40"/>
      <c r="AE40"/>
      <c r="AF40"/>
      <c r="AH40"/>
      <c r="AI40"/>
      <c r="AJ40"/>
    </row>
    <row r="41" spans="7:36">
      <c r="G41" s="6"/>
      <c r="AA41"/>
      <c r="AB41"/>
      <c r="AC41"/>
      <c r="AD41"/>
      <c r="AE41"/>
      <c r="AF41"/>
      <c r="AH41"/>
      <c r="AI41"/>
      <c r="AJ41"/>
    </row>
    <row r="42" spans="7:36">
      <c r="G42" s="6"/>
      <c r="AA42"/>
      <c r="AB42"/>
      <c r="AC42"/>
      <c r="AD42"/>
      <c r="AE42"/>
      <c r="AF42"/>
      <c r="AH42"/>
      <c r="AI42"/>
      <c r="AJ42"/>
    </row>
    <row r="43" spans="7:36">
      <c r="G43" s="6"/>
      <c r="AA43"/>
      <c r="AB43"/>
      <c r="AC43"/>
      <c r="AD43"/>
      <c r="AE43"/>
      <c r="AF43"/>
      <c r="AH43"/>
      <c r="AI43"/>
      <c r="AJ43"/>
    </row>
    <row r="44" spans="7:36">
      <c r="G44" s="6"/>
      <c r="AA44"/>
      <c r="AB44"/>
      <c r="AC44"/>
      <c r="AD44"/>
      <c r="AE44"/>
      <c r="AF44"/>
      <c r="AH44"/>
      <c r="AI44"/>
      <c r="AJ44"/>
    </row>
    <row r="45" spans="7:36">
      <c r="G45" s="6"/>
      <c r="AA45"/>
      <c r="AB45"/>
      <c r="AC45"/>
      <c r="AD45"/>
      <c r="AE45"/>
      <c r="AF45"/>
      <c r="AH45"/>
      <c r="AI45"/>
      <c r="AJ45"/>
    </row>
    <row r="46" spans="7:36">
      <c r="G46" s="6"/>
      <c r="AA46"/>
      <c r="AB46"/>
      <c r="AC46"/>
      <c r="AD46"/>
      <c r="AE46"/>
      <c r="AF46"/>
      <c r="AH46"/>
      <c r="AI46"/>
      <c r="AJ46"/>
    </row>
    <row r="47" spans="7:36">
      <c r="G47" s="6"/>
      <c r="AA47"/>
      <c r="AB47"/>
      <c r="AC47"/>
      <c r="AD47"/>
      <c r="AE47"/>
      <c r="AF47"/>
      <c r="AH47"/>
      <c r="AI47"/>
      <c r="AJ47"/>
    </row>
    <row r="48" spans="7:36">
      <c r="G48" s="6"/>
      <c r="AA48"/>
      <c r="AB48"/>
      <c r="AC48"/>
      <c r="AD48"/>
      <c r="AE48"/>
      <c r="AF48"/>
      <c r="AH48"/>
      <c r="AI48"/>
      <c r="AJ48"/>
    </row>
    <row r="49" spans="7:32">
      <c r="G49" s="6"/>
      <c r="AA49"/>
      <c r="AB49"/>
      <c r="AC49"/>
      <c r="AD49"/>
      <c r="AE49"/>
      <c r="AF49"/>
    </row>
    <row r="50" spans="7:32">
      <c r="G50" s="6"/>
      <c r="AA50"/>
      <c r="AB50"/>
      <c r="AC50"/>
      <c r="AD50"/>
      <c r="AE50"/>
      <c r="AF50"/>
    </row>
    <row r="51" spans="7:32">
      <c r="G51" s="6"/>
      <c r="AA51"/>
      <c r="AB51"/>
      <c r="AC51"/>
      <c r="AD51"/>
      <c r="AE51"/>
      <c r="AF51"/>
    </row>
    <row r="52" spans="7:32">
      <c r="G52" s="6"/>
      <c r="AA52"/>
      <c r="AB52"/>
      <c r="AC52"/>
      <c r="AD52"/>
      <c r="AE52"/>
      <c r="AF52"/>
    </row>
    <row r="53" spans="7:32">
      <c r="G53" s="6"/>
      <c r="AA53"/>
      <c r="AB53"/>
      <c r="AC53"/>
      <c r="AD53"/>
      <c r="AE53"/>
      <c r="AF53"/>
    </row>
    <row r="54" spans="7:32">
      <c r="G54" s="6"/>
      <c r="AA54"/>
      <c r="AB54"/>
      <c r="AC54"/>
      <c r="AD54"/>
      <c r="AE54"/>
      <c r="AF54"/>
    </row>
    <row r="55" spans="7:32">
      <c r="G55" s="6"/>
      <c r="AA55"/>
      <c r="AB55"/>
      <c r="AC55"/>
      <c r="AD55"/>
      <c r="AE55"/>
      <c r="AF55"/>
    </row>
    <row r="56" spans="7:32">
      <c r="G56" s="6"/>
      <c r="AA56"/>
      <c r="AB56"/>
      <c r="AC56"/>
      <c r="AD56"/>
      <c r="AE56"/>
      <c r="AF56"/>
    </row>
    <row r="57" spans="7:32">
      <c r="G57" s="6"/>
      <c r="AA57"/>
      <c r="AB57"/>
      <c r="AC57"/>
      <c r="AD57"/>
      <c r="AE57"/>
      <c r="AF57"/>
    </row>
    <row r="58" spans="7:32">
      <c r="G58" s="6"/>
      <c r="AA58"/>
      <c r="AB58"/>
      <c r="AC58"/>
      <c r="AD58"/>
      <c r="AE58"/>
      <c r="AF58"/>
    </row>
    <row r="59" spans="7:32">
      <c r="G59" s="6"/>
      <c r="AA59"/>
      <c r="AB59"/>
      <c r="AC59"/>
      <c r="AD59"/>
      <c r="AE59"/>
      <c r="AF59"/>
    </row>
    <row r="60" spans="7:32">
      <c r="G60" s="6"/>
      <c r="AA60"/>
      <c r="AB60"/>
      <c r="AC60"/>
      <c r="AD60"/>
      <c r="AE60"/>
      <c r="AF60"/>
    </row>
    <row r="61" spans="7:32">
      <c r="G61" s="6"/>
      <c r="AA61"/>
      <c r="AB61"/>
      <c r="AC61"/>
      <c r="AD61"/>
      <c r="AE61"/>
      <c r="AF61"/>
    </row>
    <row r="62" spans="7:32">
      <c r="G62" s="6"/>
      <c r="AA62"/>
      <c r="AB62"/>
      <c r="AC62"/>
      <c r="AD62"/>
      <c r="AE62"/>
      <c r="AF62"/>
    </row>
    <row r="63" spans="7:32">
      <c r="G63" s="6"/>
      <c r="AA63"/>
      <c r="AB63"/>
      <c r="AC63"/>
      <c r="AD63"/>
      <c r="AE63"/>
      <c r="AF63"/>
    </row>
    <row r="64" spans="7:32">
      <c r="G64" s="6"/>
      <c r="AA64"/>
      <c r="AB64"/>
      <c r="AC64"/>
      <c r="AD64"/>
      <c r="AE64"/>
      <c r="AF64"/>
    </row>
    <row r="65" spans="7:32">
      <c r="G65" s="6"/>
      <c r="AA65"/>
      <c r="AB65"/>
      <c r="AC65"/>
      <c r="AD65"/>
      <c r="AE65"/>
      <c r="AF65"/>
    </row>
    <row r="66" spans="7:32">
      <c r="G66" s="6"/>
      <c r="AA66"/>
      <c r="AB66"/>
      <c r="AC66"/>
      <c r="AD66"/>
      <c r="AE66"/>
      <c r="AF66"/>
    </row>
    <row r="67" spans="7:32">
      <c r="G67" s="6"/>
      <c r="AA67"/>
      <c r="AB67"/>
      <c r="AC67"/>
      <c r="AD67"/>
      <c r="AE67"/>
      <c r="AF67"/>
    </row>
    <row r="68" spans="7:32">
      <c r="G68" s="6"/>
      <c r="AA68"/>
      <c r="AB68"/>
      <c r="AC68"/>
      <c r="AD68"/>
      <c r="AE68"/>
      <c r="AF68"/>
    </row>
    <row r="69" spans="7:32">
      <c r="G69" s="6"/>
      <c r="AA69"/>
      <c r="AB69"/>
      <c r="AC69"/>
      <c r="AD69"/>
      <c r="AE69"/>
      <c r="AF69"/>
    </row>
    <row r="70" spans="7:32">
      <c r="G70" s="6"/>
      <c r="AA70"/>
      <c r="AB70"/>
      <c r="AC70"/>
      <c r="AD70"/>
      <c r="AE70"/>
      <c r="AF70"/>
    </row>
    <row r="71" spans="7:32">
      <c r="G71" s="6"/>
      <c r="AA71"/>
      <c r="AB71"/>
      <c r="AC71"/>
      <c r="AD71"/>
      <c r="AE71"/>
      <c r="AF71"/>
    </row>
    <row r="72" spans="7:32">
      <c r="G72" s="6"/>
      <c r="AA72"/>
      <c r="AB72"/>
      <c r="AC72"/>
      <c r="AD72"/>
      <c r="AE72"/>
      <c r="AF72"/>
    </row>
    <row r="73" spans="7:32">
      <c r="G73" s="6"/>
      <c r="AA73"/>
      <c r="AB73"/>
      <c r="AC73"/>
      <c r="AD73"/>
      <c r="AE73"/>
      <c r="AF73"/>
    </row>
    <row r="74" spans="7:32">
      <c r="G74" s="6"/>
      <c r="AA74"/>
      <c r="AB74"/>
      <c r="AC74"/>
      <c r="AD74"/>
      <c r="AE74"/>
      <c r="AF74"/>
    </row>
    <row r="75" spans="7:32">
      <c r="G75" s="6"/>
      <c r="AA75"/>
      <c r="AB75"/>
      <c r="AC75"/>
      <c r="AD75"/>
      <c r="AE75"/>
      <c r="AF75"/>
    </row>
    <row r="76" spans="7:32">
      <c r="G76" s="6"/>
      <c r="AA76"/>
      <c r="AB76"/>
      <c r="AC76"/>
      <c r="AD76"/>
      <c r="AE76"/>
      <c r="AF76"/>
    </row>
    <row r="77" spans="7:32">
      <c r="G77" s="6"/>
      <c r="AA77"/>
      <c r="AB77"/>
      <c r="AC77"/>
      <c r="AD77"/>
      <c r="AE77"/>
      <c r="AF77"/>
    </row>
    <row r="78" spans="7:32">
      <c r="G78" s="6"/>
      <c r="AA78"/>
      <c r="AB78"/>
      <c r="AC78"/>
      <c r="AD78"/>
      <c r="AE78"/>
      <c r="AF78"/>
    </row>
    <row r="79" spans="7:32">
      <c r="G79" s="6"/>
      <c r="AA79"/>
      <c r="AB79"/>
      <c r="AC79"/>
      <c r="AD79"/>
      <c r="AE79"/>
      <c r="AF79"/>
    </row>
    <row r="80" spans="7:32">
      <c r="G80" s="6"/>
      <c r="AA80"/>
      <c r="AB80"/>
      <c r="AC80"/>
      <c r="AD80"/>
      <c r="AE80"/>
      <c r="AF80"/>
    </row>
    <row r="81" spans="7:32">
      <c r="G81" s="6"/>
      <c r="AA81"/>
      <c r="AB81"/>
      <c r="AC81"/>
      <c r="AD81"/>
      <c r="AE81"/>
      <c r="AF81"/>
    </row>
    <row r="82" spans="7:32">
      <c r="G82" s="6"/>
      <c r="AA82"/>
      <c r="AB82"/>
      <c r="AC82"/>
      <c r="AD82"/>
      <c r="AE82"/>
      <c r="AF82"/>
    </row>
    <row r="83" spans="7:32">
      <c r="G83" s="6"/>
      <c r="AA83"/>
      <c r="AB83"/>
      <c r="AC83"/>
      <c r="AD83"/>
      <c r="AE83"/>
      <c r="AF83"/>
    </row>
    <row r="84" spans="7:32">
      <c r="G84" s="6"/>
      <c r="AA84"/>
      <c r="AB84"/>
      <c r="AC84"/>
      <c r="AD84"/>
      <c r="AE84"/>
      <c r="AF84"/>
    </row>
    <row r="85" spans="7:32">
      <c r="G85" s="6"/>
      <c r="AA85"/>
      <c r="AB85"/>
      <c r="AC85"/>
      <c r="AD85"/>
      <c r="AE85"/>
      <c r="AF85"/>
    </row>
    <row r="86" spans="7:32">
      <c r="G86" s="6"/>
      <c r="AA86"/>
      <c r="AB86"/>
      <c r="AC86"/>
      <c r="AD86"/>
      <c r="AE86"/>
      <c r="AF86"/>
    </row>
    <row r="87" spans="7:32">
      <c r="G87" s="6"/>
      <c r="AA87"/>
      <c r="AB87"/>
      <c r="AC87"/>
      <c r="AD87"/>
      <c r="AE87"/>
      <c r="AF87"/>
    </row>
    <row r="88" spans="7:32">
      <c r="G88" s="6"/>
      <c r="AA88"/>
      <c r="AB88"/>
      <c r="AC88"/>
      <c r="AD88"/>
      <c r="AE88"/>
      <c r="AF88"/>
    </row>
    <row r="89" spans="7:32">
      <c r="G89" s="6"/>
      <c r="AA89"/>
      <c r="AB89"/>
      <c r="AC89"/>
      <c r="AD89"/>
      <c r="AE89"/>
      <c r="AF89"/>
    </row>
    <row r="90" spans="7:32">
      <c r="G90" s="6"/>
      <c r="AA90"/>
      <c r="AB90"/>
      <c r="AC90"/>
      <c r="AD90"/>
      <c r="AE90"/>
      <c r="AF90"/>
    </row>
    <row r="91" spans="7:32">
      <c r="G91" s="6"/>
      <c r="AA91"/>
      <c r="AB91"/>
      <c r="AC91"/>
      <c r="AD91"/>
      <c r="AE91"/>
      <c r="AF91"/>
    </row>
    <row r="92" spans="7:32">
      <c r="G92" s="6"/>
      <c r="AA92"/>
      <c r="AB92"/>
      <c r="AC92"/>
      <c r="AD92"/>
      <c r="AE92"/>
      <c r="AF92"/>
    </row>
    <row r="93" spans="7:32">
      <c r="G93" s="6"/>
      <c r="AA93"/>
      <c r="AB93"/>
      <c r="AC93"/>
      <c r="AD93"/>
      <c r="AE93"/>
      <c r="AF93"/>
    </row>
    <row r="94" spans="7:32">
      <c r="G94" s="6"/>
      <c r="AA94"/>
      <c r="AB94"/>
      <c r="AC94"/>
      <c r="AD94"/>
      <c r="AE94"/>
      <c r="AF94"/>
    </row>
    <row r="95" spans="7:32">
      <c r="G95" s="6"/>
      <c r="AA95"/>
      <c r="AB95"/>
      <c r="AC95"/>
      <c r="AD95"/>
      <c r="AE95"/>
      <c r="AF95"/>
    </row>
    <row r="96" spans="7:32">
      <c r="G96" s="6"/>
      <c r="AA96"/>
      <c r="AB96"/>
      <c r="AC96"/>
      <c r="AD96"/>
      <c r="AE96"/>
      <c r="AF96"/>
    </row>
    <row r="97" spans="7:32">
      <c r="G97" s="6"/>
      <c r="AA97"/>
      <c r="AB97"/>
      <c r="AC97"/>
      <c r="AD97"/>
      <c r="AE97"/>
      <c r="AF97"/>
    </row>
    <row r="98" spans="7:32">
      <c r="G98" s="6"/>
      <c r="AA98"/>
      <c r="AB98"/>
      <c r="AC98"/>
      <c r="AD98"/>
      <c r="AE98"/>
      <c r="AF98"/>
    </row>
    <row r="99" spans="7:32">
      <c r="G99" s="6"/>
      <c r="AA99"/>
      <c r="AB99"/>
      <c r="AC99"/>
      <c r="AD99"/>
      <c r="AE99"/>
      <c r="AF99"/>
    </row>
    <row r="100" spans="7:32">
      <c r="G100" s="6"/>
      <c r="AA100"/>
      <c r="AB100"/>
      <c r="AC100"/>
      <c r="AD100"/>
      <c r="AE100"/>
      <c r="AF100"/>
    </row>
    <row r="101" spans="7:32">
      <c r="G101" s="6"/>
      <c r="AA101"/>
      <c r="AB101"/>
      <c r="AC101"/>
      <c r="AD101"/>
      <c r="AE101"/>
      <c r="AF101"/>
    </row>
    <row r="102" spans="7:32">
      <c r="G102" s="6"/>
      <c r="AA102"/>
      <c r="AB102"/>
      <c r="AC102"/>
      <c r="AD102"/>
      <c r="AE102"/>
      <c r="AF102"/>
    </row>
    <row r="103" spans="7:32">
      <c r="G103" s="6"/>
      <c r="AA103"/>
      <c r="AB103"/>
      <c r="AC103"/>
      <c r="AD103"/>
      <c r="AE103"/>
      <c r="AF103"/>
    </row>
    <row r="104" spans="7:32">
      <c r="G104" s="6"/>
      <c r="AA104"/>
      <c r="AB104"/>
      <c r="AC104"/>
      <c r="AD104"/>
      <c r="AE104"/>
      <c r="AF104"/>
    </row>
    <row r="105" spans="7:32">
      <c r="G105" s="6"/>
      <c r="AA105"/>
      <c r="AB105"/>
      <c r="AC105"/>
      <c r="AD105"/>
      <c r="AE105"/>
      <c r="AF105"/>
    </row>
    <row r="106" spans="7:32">
      <c r="G106" s="6"/>
      <c r="AA106"/>
      <c r="AB106"/>
      <c r="AC106"/>
      <c r="AD106"/>
      <c r="AE106"/>
      <c r="AF106"/>
    </row>
    <row r="107" spans="7:32">
      <c r="G107" s="6"/>
      <c r="AA107"/>
      <c r="AB107"/>
      <c r="AC107"/>
      <c r="AD107"/>
      <c r="AE107"/>
      <c r="AF107"/>
    </row>
    <row r="108" spans="7:32">
      <c r="G108" s="6"/>
      <c r="AA108"/>
      <c r="AB108"/>
      <c r="AC108"/>
      <c r="AD108"/>
      <c r="AE108"/>
      <c r="AF108"/>
    </row>
    <row r="109" spans="7:32">
      <c r="G109" s="6"/>
      <c r="AA109"/>
      <c r="AB109"/>
      <c r="AC109"/>
      <c r="AD109"/>
      <c r="AE109"/>
      <c r="AF109"/>
    </row>
    <row r="110" spans="7:32">
      <c r="G110" s="6"/>
      <c r="AA110"/>
      <c r="AB110"/>
      <c r="AC110"/>
      <c r="AD110"/>
      <c r="AE110"/>
      <c r="AF110"/>
    </row>
    <row r="111" spans="7:32">
      <c r="G111" s="6"/>
      <c r="AA111"/>
      <c r="AB111"/>
      <c r="AC111"/>
      <c r="AD111"/>
      <c r="AE111"/>
      <c r="AF111"/>
    </row>
    <row r="112" spans="7:32">
      <c r="G112" s="6"/>
      <c r="AA112"/>
      <c r="AB112"/>
      <c r="AC112"/>
      <c r="AD112"/>
      <c r="AE112"/>
      <c r="AF112"/>
    </row>
    <row r="113" spans="7:32">
      <c r="G113" s="6"/>
      <c r="AA113"/>
      <c r="AB113"/>
      <c r="AC113"/>
      <c r="AD113"/>
      <c r="AE113"/>
      <c r="AF113"/>
    </row>
    <row r="114" spans="7:32">
      <c r="G114" s="6"/>
      <c r="AA114"/>
      <c r="AB114"/>
      <c r="AC114"/>
      <c r="AD114"/>
      <c r="AE114"/>
      <c r="AF114"/>
    </row>
    <row r="115" spans="7:32">
      <c r="G115" s="6"/>
      <c r="AA115"/>
      <c r="AB115"/>
      <c r="AC115"/>
      <c r="AD115"/>
      <c r="AE115"/>
      <c r="AF115"/>
    </row>
    <row r="116" spans="7:32">
      <c r="G116" s="6"/>
      <c r="AA116"/>
      <c r="AB116"/>
      <c r="AC116"/>
      <c r="AD116"/>
      <c r="AE116"/>
      <c r="AF116"/>
    </row>
    <row r="117" spans="7:32">
      <c r="G117" s="6"/>
      <c r="AA117"/>
      <c r="AB117"/>
      <c r="AC117"/>
      <c r="AD117"/>
      <c r="AE117"/>
      <c r="AF117"/>
    </row>
    <row r="118" spans="7:32">
      <c r="G118" s="6"/>
      <c r="AA118"/>
      <c r="AB118"/>
      <c r="AC118"/>
      <c r="AD118"/>
      <c r="AE118"/>
      <c r="AF118"/>
    </row>
    <row r="119" spans="7:32">
      <c r="G119" s="6"/>
      <c r="AA119"/>
      <c r="AB119"/>
      <c r="AC119"/>
      <c r="AD119"/>
      <c r="AE119"/>
      <c r="AF119"/>
    </row>
    <row r="120" spans="7:32">
      <c r="G120" s="6"/>
      <c r="AA120"/>
      <c r="AB120"/>
      <c r="AC120"/>
      <c r="AD120"/>
      <c r="AE120"/>
      <c r="AF120"/>
    </row>
    <row r="121" spans="7:32">
      <c r="G121" s="6"/>
      <c r="AA121"/>
      <c r="AB121"/>
      <c r="AC121"/>
      <c r="AD121"/>
      <c r="AE121"/>
      <c r="AF121"/>
    </row>
    <row r="122" spans="7:32">
      <c r="G122" s="6"/>
      <c r="AA122"/>
      <c r="AB122"/>
      <c r="AC122"/>
      <c r="AD122"/>
      <c r="AE122"/>
      <c r="AF122"/>
    </row>
    <row r="123" spans="7:32">
      <c r="G123" s="6"/>
      <c r="AA123"/>
      <c r="AB123"/>
      <c r="AC123"/>
      <c r="AD123"/>
      <c r="AE123"/>
      <c r="AF123"/>
    </row>
    <row r="124" spans="7:32">
      <c r="G124" s="6"/>
      <c r="AA124"/>
      <c r="AB124"/>
      <c r="AC124"/>
      <c r="AD124"/>
      <c r="AE124"/>
      <c r="AF124"/>
    </row>
    <row r="125" spans="7:32">
      <c r="G125" s="6"/>
      <c r="AA125"/>
      <c r="AB125"/>
      <c r="AC125"/>
      <c r="AD125"/>
      <c r="AE125"/>
      <c r="AF125"/>
    </row>
    <row r="126" spans="7:32">
      <c r="G126" s="6"/>
      <c r="AA126"/>
      <c r="AB126"/>
      <c r="AC126"/>
      <c r="AD126"/>
      <c r="AE126"/>
      <c r="AF126"/>
    </row>
    <row r="127" spans="7:32">
      <c r="G127" s="6"/>
      <c r="AA127"/>
      <c r="AB127"/>
      <c r="AC127"/>
      <c r="AD127"/>
      <c r="AE127"/>
      <c r="AF127"/>
    </row>
    <row r="128" spans="7:32">
      <c r="G128" s="6"/>
      <c r="AA128"/>
      <c r="AB128"/>
      <c r="AC128"/>
      <c r="AD128"/>
      <c r="AE128"/>
      <c r="AF128"/>
    </row>
    <row r="129" spans="7:32">
      <c r="G129" s="6"/>
      <c r="AA129"/>
      <c r="AB129"/>
      <c r="AC129"/>
      <c r="AD129"/>
      <c r="AE129"/>
      <c r="AF129"/>
    </row>
    <row r="130" spans="7:32">
      <c r="G130" s="6"/>
      <c r="AA130"/>
      <c r="AB130"/>
      <c r="AC130"/>
      <c r="AD130"/>
      <c r="AE130"/>
      <c r="AF130"/>
    </row>
    <row r="131" spans="7:32">
      <c r="G131" s="6"/>
      <c r="AA131"/>
      <c r="AB131"/>
      <c r="AC131"/>
      <c r="AD131"/>
      <c r="AE131"/>
      <c r="AF131"/>
    </row>
    <row r="132" spans="7:32">
      <c r="G132" s="6"/>
      <c r="AA132"/>
      <c r="AB132"/>
      <c r="AC132"/>
      <c r="AD132"/>
      <c r="AE132"/>
      <c r="AF132"/>
    </row>
    <row r="133" spans="7:32">
      <c r="G133" s="6"/>
      <c r="AA133"/>
      <c r="AB133"/>
      <c r="AC133"/>
      <c r="AD133"/>
      <c r="AE133"/>
      <c r="AF133"/>
    </row>
    <row r="134" spans="7:32">
      <c r="G134" s="6"/>
      <c r="AA134"/>
      <c r="AB134"/>
      <c r="AC134"/>
      <c r="AD134"/>
      <c r="AE134"/>
      <c r="AF134"/>
    </row>
    <row r="135" spans="7:32">
      <c r="G135" s="6"/>
      <c r="AA135"/>
      <c r="AB135"/>
      <c r="AC135"/>
      <c r="AD135"/>
      <c r="AE135"/>
      <c r="AF135"/>
    </row>
    <row r="136" spans="7:32">
      <c r="G136" s="6"/>
      <c r="AA136"/>
      <c r="AB136"/>
      <c r="AC136"/>
      <c r="AD136"/>
      <c r="AE136"/>
      <c r="AF136"/>
    </row>
    <row r="137" spans="7:32">
      <c r="G137" s="6"/>
      <c r="AA137"/>
      <c r="AB137"/>
      <c r="AC137"/>
      <c r="AD137"/>
      <c r="AE137"/>
      <c r="AF137"/>
    </row>
    <row r="138" spans="7:32">
      <c r="G138" s="6"/>
      <c r="AA138"/>
      <c r="AB138"/>
      <c r="AC138"/>
      <c r="AD138"/>
      <c r="AE138"/>
      <c r="AF138"/>
    </row>
    <row r="139" spans="7:32">
      <c r="G139" s="6"/>
      <c r="AA139"/>
      <c r="AB139"/>
      <c r="AC139"/>
      <c r="AD139"/>
      <c r="AE139"/>
      <c r="AF139"/>
    </row>
    <row r="140" spans="7:32">
      <c r="G140" s="6"/>
      <c r="AA140"/>
      <c r="AB140"/>
      <c r="AC140"/>
      <c r="AD140"/>
      <c r="AE140"/>
      <c r="AF140"/>
    </row>
    <row r="141" spans="7:32">
      <c r="G141" s="6"/>
      <c r="AA141"/>
      <c r="AB141"/>
      <c r="AC141"/>
      <c r="AD141"/>
      <c r="AE141"/>
      <c r="AF141"/>
    </row>
    <row r="142" spans="7:32">
      <c r="G142" s="6"/>
      <c r="AA142"/>
      <c r="AB142"/>
      <c r="AC142"/>
      <c r="AD142"/>
      <c r="AE142"/>
      <c r="AF142"/>
    </row>
    <row r="143" spans="7:32">
      <c r="G143" s="6"/>
      <c r="AA143"/>
      <c r="AB143"/>
      <c r="AC143"/>
      <c r="AD143"/>
      <c r="AE143"/>
      <c r="AF143"/>
    </row>
    <row r="144" spans="7:32">
      <c r="G144" s="6"/>
      <c r="AA144"/>
      <c r="AB144"/>
      <c r="AC144"/>
      <c r="AD144"/>
      <c r="AE144"/>
      <c r="AF144"/>
    </row>
    <row r="145" spans="7:32">
      <c r="G145" s="6"/>
      <c r="AA145"/>
      <c r="AB145"/>
      <c r="AC145"/>
      <c r="AD145"/>
      <c r="AE145"/>
      <c r="AF145"/>
    </row>
    <row r="146" spans="7:32">
      <c r="G146" s="6"/>
      <c r="AA146"/>
      <c r="AB146"/>
      <c r="AC146"/>
      <c r="AD146"/>
      <c r="AE146"/>
      <c r="AF146"/>
    </row>
    <row r="147" spans="7:32">
      <c r="G147" s="6"/>
      <c r="AA147"/>
      <c r="AB147"/>
      <c r="AC147"/>
      <c r="AD147"/>
      <c r="AE147"/>
      <c r="AF147"/>
    </row>
    <row r="148" spans="7:32">
      <c r="G148" s="6"/>
      <c r="AA148"/>
      <c r="AB148"/>
      <c r="AC148"/>
      <c r="AD148"/>
      <c r="AE148"/>
      <c r="AF148"/>
    </row>
    <row r="149" spans="7:32">
      <c r="G149" s="6"/>
      <c r="AA149"/>
      <c r="AB149"/>
      <c r="AC149"/>
      <c r="AD149"/>
      <c r="AE149"/>
      <c r="AF149"/>
    </row>
    <row r="150" spans="7:32">
      <c r="G150" s="6"/>
      <c r="AA150"/>
      <c r="AB150"/>
      <c r="AC150"/>
      <c r="AD150"/>
      <c r="AE150"/>
      <c r="AF150"/>
    </row>
    <row r="151" spans="7:32">
      <c r="G151" s="6"/>
      <c r="AA151"/>
      <c r="AB151"/>
      <c r="AC151"/>
      <c r="AD151"/>
      <c r="AE151"/>
      <c r="AF151"/>
    </row>
    <row r="152" spans="7:32">
      <c r="G152" s="6"/>
      <c r="AA152"/>
      <c r="AB152"/>
      <c r="AC152"/>
      <c r="AD152"/>
      <c r="AE152"/>
      <c r="AF152"/>
    </row>
    <row r="153" spans="7:32">
      <c r="G153" s="6"/>
      <c r="AA153"/>
      <c r="AB153"/>
      <c r="AC153"/>
      <c r="AD153"/>
      <c r="AE153"/>
      <c r="AF153"/>
    </row>
    <row r="154" spans="7:32">
      <c r="G154" s="6"/>
      <c r="AA154"/>
      <c r="AB154"/>
      <c r="AC154"/>
      <c r="AD154"/>
      <c r="AE154"/>
      <c r="AF154"/>
    </row>
    <row r="155" spans="7:32">
      <c r="G155" s="6"/>
      <c r="AA155"/>
      <c r="AB155"/>
      <c r="AC155"/>
      <c r="AD155"/>
      <c r="AE155"/>
      <c r="AF155"/>
    </row>
    <row r="156" spans="7:32">
      <c r="G156" s="6"/>
      <c r="AA156"/>
      <c r="AB156"/>
      <c r="AC156"/>
      <c r="AD156"/>
      <c r="AE156"/>
      <c r="AF156"/>
    </row>
    <row r="157" spans="7:32">
      <c r="G157" s="6"/>
      <c r="AA157"/>
      <c r="AB157"/>
      <c r="AC157"/>
      <c r="AD157"/>
      <c r="AE157"/>
      <c r="AF157"/>
    </row>
    <row r="158" spans="7:32">
      <c r="G158" s="6"/>
      <c r="AA158"/>
      <c r="AB158"/>
      <c r="AC158"/>
      <c r="AD158"/>
      <c r="AE158"/>
      <c r="AF158"/>
    </row>
    <row r="159" spans="7:32">
      <c r="G159" s="6"/>
      <c r="AA159"/>
      <c r="AB159"/>
      <c r="AC159"/>
      <c r="AD159"/>
      <c r="AE159"/>
      <c r="AF159"/>
    </row>
    <row r="160" spans="7:32">
      <c r="G160" s="6"/>
      <c r="AA160"/>
      <c r="AB160"/>
      <c r="AC160"/>
      <c r="AD160"/>
      <c r="AE160"/>
      <c r="AF160"/>
    </row>
    <row r="161" spans="7:32">
      <c r="G161" s="6"/>
      <c r="AA161"/>
      <c r="AB161"/>
      <c r="AC161"/>
      <c r="AD161"/>
      <c r="AE161"/>
      <c r="AF161"/>
    </row>
    <row r="162" spans="7:32">
      <c r="G162" s="6"/>
      <c r="AA162"/>
      <c r="AB162"/>
      <c r="AC162"/>
      <c r="AD162"/>
      <c r="AE162"/>
      <c r="AF162"/>
    </row>
    <row r="163" spans="7:32">
      <c r="G163" s="6"/>
      <c r="AA163"/>
      <c r="AB163"/>
      <c r="AC163"/>
      <c r="AD163"/>
      <c r="AE163"/>
      <c r="AF163"/>
    </row>
    <row r="164" spans="7:32">
      <c r="G164" s="6"/>
      <c r="AA164"/>
      <c r="AB164"/>
      <c r="AC164"/>
      <c r="AD164"/>
      <c r="AE164"/>
      <c r="AF164"/>
    </row>
    <row r="165" spans="7:32">
      <c r="G165" s="6"/>
      <c r="AA165"/>
      <c r="AB165"/>
      <c r="AC165"/>
      <c r="AD165"/>
      <c r="AE165"/>
      <c r="AF165"/>
    </row>
    <row r="166" spans="7:32">
      <c r="G166" s="6"/>
      <c r="AA166"/>
      <c r="AB166"/>
      <c r="AC166"/>
      <c r="AD166"/>
      <c r="AE166"/>
      <c r="AF166"/>
    </row>
    <row r="167" spans="7:32">
      <c r="G167" s="6"/>
      <c r="AA167"/>
      <c r="AB167"/>
      <c r="AC167"/>
      <c r="AD167"/>
      <c r="AE167"/>
      <c r="AF167"/>
    </row>
    <row r="168" spans="7:32">
      <c r="G168" s="6"/>
      <c r="AA168"/>
      <c r="AB168"/>
      <c r="AC168"/>
      <c r="AD168"/>
      <c r="AE168"/>
      <c r="AF168"/>
    </row>
    <row r="169" spans="7:32">
      <c r="G169" s="6"/>
      <c r="AA169"/>
      <c r="AB169"/>
      <c r="AC169"/>
      <c r="AD169"/>
      <c r="AE169"/>
      <c r="AF169"/>
    </row>
    <row r="170" spans="7:32">
      <c r="G170" s="6"/>
      <c r="AA170"/>
      <c r="AB170"/>
      <c r="AC170"/>
      <c r="AD170"/>
      <c r="AE170"/>
      <c r="AF170"/>
    </row>
    <row r="171" spans="7:32">
      <c r="G171" s="6"/>
      <c r="AA171"/>
      <c r="AB171"/>
      <c r="AC171"/>
      <c r="AD171"/>
      <c r="AE171"/>
      <c r="AF171"/>
    </row>
    <row r="172" spans="7:32">
      <c r="G172" s="6"/>
      <c r="AA172"/>
      <c r="AB172"/>
      <c r="AC172"/>
      <c r="AD172"/>
      <c r="AE172"/>
      <c r="AF172"/>
    </row>
    <row r="173" spans="7:32">
      <c r="G173" s="6"/>
      <c r="AA173"/>
      <c r="AB173"/>
      <c r="AC173"/>
      <c r="AD173"/>
      <c r="AE173"/>
      <c r="AF173"/>
    </row>
    <row r="174" spans="7:32">
      <c r="G174" s="6"/>
      <c r="AA174"/>
      <c r="AB174"/>
      <c r="AC174"/>
      <c r="AD174"/>
      <c r="AE174"/>
      <c r="AF174"/>
    </row>
    <row r="175" spans="7:32">
      <c r="G175" s="6"/>
      <c r="AA175"/>
      <c r="AB175"/>
      <c r="AC175"/>
      <c r="AD175"/>
      <c r="AE175"/>
      <c r="AF175"/>
    </row>
    <row r="176" spans="7:32">
      <c r="G176" s="6"/>
      <c r="AA176"/>
      <c r="AB176"/>
      <c r="AC176"/>
      <c r="AD176"/>
      <c r="AE176"/>
      <c r="AF176"/>
    </row>
    <row r="177" spans="7:32">
      <c r="G177" s="6"/>
      <c r="AA177"/>
      <c r="AB177"/>
      <c r="AC177"/>
      <c r="AD177"/>
      <c r="AE177"/>
      <c r="AF177"/>
    </row>
    <row r="178" spans="7:32">
      <c r="G178" s="6"/>
      <c r="AA178"/>
      <c r="AB178"/>
      <c r="AC178"/>
      <c r="AD178"/>
      <c r="AE178"/>
      <c r="AF178"/>
    </row>
    <row r="179" spans="7:32">
      <c r="G179" s="6"/>
      <c r="AA179"/>
      <c r="AB179"/>
      <c r="AC179"/>
      <c r="AD179"/>
      <c r="AE179"/>
      <c r="AF179"/>
    </row>
    <row r="180" spans="7:32">
      <c r="G180" s="6"/>
      <c r="AA180"/>
      <c r="AB180"/>
      <c r="AC180"/>
      <c r="AD180"/>
      <c r="AE180"/>
      <c r="AF180"/>
    </row>
    <row r="181" spans="7:32">
      <c r="G181" s="6"/>
      <c r="AA181"/>
      <c r="AB181"/>
      <c r="AC181"/>
      <c r="AD181"/>
      <c r="AE181"/>
      <c r="AF181"/>
    </row>
    <row r="182" spans="7:32">
      <c r="G182" s="6"/>
      <c r="AA182"/>
      <c r="AB182"/>
      <c r="AC182"/>
      <c r="AD182"/>
      <c r="AE182"/>
      <c r="AF182"/>
    </row>
    <row r="183" spans="7:32">
      <c r="G183" s="6"/>
      <c r="AA183"/>
      <c r="AB183"/>
      <c r="AC183"/>
      <c r="AD183"/>
      <c r="AE183"/>
      <c r="AF183"/>
    </row>
    <row r="184" spans="7:32">
      <c r="G184" s="6"/>
      <c r="AA184"/>
      <c r="AB184"/>
      <c r="AC184"/>
      <c r="AD184"/>
      <c r="AE184"/>
      <c r="AF184"/>
    </row>
    <row r="185" spans="7:32">
      <c r="G185" s="6"/>
      <c r="AA185"/>
      <c r="AB185"/>
      <c r="AC185"/>
      <c r="AD185"/>
      <c r="AE185"/>
      <c r="AF185"/>
    </row>
    <row r="186" spans="7:32">
      <c r="G186" s="6"/>
      <c r="AA186"/>
      <c r="AB186"/>
      <c r="AC186"/>
      <c r="AD186"/>
      <c r="AE186"/>
      <c r="AF186"/>
    </row>
    <row r="187" spans="7:32">
      <c r="G187" s="6"/>
      <c r="AA187"/>
      <c r="AB187"/>
      <c r="AC187"/>
      <c r="AD187"/>
      <c r="AE187"/>
      <c r="AF187"/>
    </row>
    <row r="188" spans="7:32">
      <c r="G188" s="6"/>
      <c r="AA188"/>
      <c r="AB188"/>
      <c r="AC188"/>
      <c r="AD188"/>
      <c r="AE188"/>
      <c r="AF188"/>
    </row>
    <row r="189" spans="7:32">
      <c r="G189" s="6"/>
      <c r="AA189"/>
      <c r="AB189"/>
      <c r="AC189"/>
      <c r="AD189"/>
      <c r="AE189"/>
      <c r="AF189"/>
    </row>
    <row r="190" spans="7:32">
      <c r="G190" s="6"/>
      <c r="AA190"/>
      <c r="AB190"/>
      <c r="AC190"/>
      <c r="AD190"/>
      <c r="AE190"/>
      <c r="AF190"/>
    </row>
    <row r="191" spans="7:32">
      <c r="G191" s="6"/>
      <c r="AA191"/>
      <c r="AB191"/>
      <c r="AC191"/>
      <c r="AD191"/>
      <c r="AE191"/>
      <c r="AF191"/>
    </row>
    <row r="192" spans="7:32">
      <c r="G192" s="6"/>
      <c r="AA192"/>
      <c r="AB192"/>
      <c r="AC192"/>
      <c r="AD192"/>
      <c r="AE192"/>
      <c r="AF192"/>
    </row>
    <row r="193" spans="7:32">
      <c r="G193" s="6"/>
      <c r="AA193"/>
      <c r="AB193"/>
      <c r="AC193"/>
      <c r="AD193"/>
      <c r="AE193"/>
      <c r="AF193"/>
    </row>
    <row r="194" spans="7:32">
      <c r="G194" s="6"/>
      <c r="AA194"/>
      <c r="AB194"/>
      <c r="AC194"/>
      <c r="AD194"/>
      <c r="AE194"/>
      <c r="AF194"/>
    </row>
    <row r="195" spans="7:32">
      <c r="G195" s="6"/>
      <c r="AA195"/>
      <c r="AB195"/>
      <c r="AC195"/>
      <c r="AD195"/>
      <c r="AE195"/>
      <c r="AF195"/>
    </row>
    <row r="196" spans="7:32">
      <c r="G196" s="6"/>
      <c r="AA196"/>
      <c r="AB196"/>
      <c r="AC196"/>
      <c r="AD196"/>
      <c r="AE196"/>
      <c r="AF196"/>
    </row>
    <row r="197" spans="7:32">
      <c r="G197" s="6"/>
      <c r="AA197"/>
      <c r="AB197"/>
      <c r="AC197"/>
      <c r="AD197"/>
      <c r="AE197"/>
      <c r="AF197"/>
    </row>
    <row r="198" spans="7:32">
      <c r="G198" s="6"/>
      <c r="AA198"/>
      <c r="AB198"/>
      <c r="AC198"/>
      <c r="AD198"/>
      <c r="AE198"/>
      <c r="AF198"/>
    </row>
    <row r="199" spans="7:32">
      <c r="G199" s="6"/>
      <c r="AA199"/>
      <c r="AB199"/>
      <c r="AC199"/>
      <c r="AD199"/>
      <c r="AE199"/>
      <c r="AF199"/>
    </row>
    <row r="200" spans="7:32">
      <c r="G200" s="6"/>
      <c r="AA200"/>
      <c r="AB200"/>
      <c r="AC200"/>
      <c r="AD200"/>
      <c r="AE200"/>
      <c r="AF200"/>
    </row>
    <row r="201" spans="7:32">
      <c r="G201" s="6"/>
      <c r="AA201"/>
      <c r="AB201"/>
      <c r="AC201"/>
      <c r="AD201"/>
      <c r="AE201"/>
      <c r="AF201"/>
    </row>
    <row r="202" spans="7:32">
      <c r="G202" s="6"/>
      <c r="AA202"/>
      <c r="AB202"/>
      <c r="AC202"/>
      <c r="AD202"/>
      <c r="AE202"/>
      <c r="AF202"/>
    </row>
    <row r="203" spans="7:32">
      <c r="G203" s="6"/>
      <c r="AA203"/>
      <c r="AB203"/>
      <c r="AC203"/>
      <c r="AD203"/>
      <c r="AE203"/>
      <c r="AF203"/>
    </row>
    <row r="204" spans="7:32">
      <c r="G204" s="6"/>
      <c r="AA204"/>
      <c r="AB204"/>
      <c r="AC204"/>
      <c r="AD204"/>
      <c r="AE204"/>
      <c r="AF204"/>
    </row>
    <row r="205" spans="7:32">
      <c r="G205" s="6"/>
      <c r="AA205"/>
      <c r="AB205"/>
      <c r="AC205"/>
      <c r="AD205"/>
      <c r="AE205"/>
      <c r="AF205"/>
    </row>
    <row r="206" spans="7:32">
      <c r="G206" s="6"/>
      <c r="AA206"/>
      <c r="AB206"/>
      <c r="AC206"/>
      <c r="AD206"/>
      <c r="AE206"/>
      <c r="AF206"/>
    </row>
    <row r="207" spans="7:32">
      <c r="G207" s="6"/>
      <c r="AA207"/>
      <c r="AB207"/>
      <c r="AC207"/>
      <c r="AD207"/>
      <c r="AE207"/>
      <c r="AF207"/>
    </row>
    <row r="208" spans="7:32">
      <c r="G208" s="6"/>
      <c r="AA208"/>
      <c r="AB208"/>
      <c r="AC208"/>
      <c r="AD208"/>
      <c r="AE208"/>
      <c r="AF208"/>
    </row>
    <row r="209" spans="7:32">
      <c r="G209" s="6"/>
      <c r="AA209"/>
      <c r="AB209"/>
      <c r="AC209"/>
      <c r="AD209"/>
      <c r="AE209"/>
      <c r="AF209"/>
    </row>
    <row r="210" spans="7:32">
      <c r="G210" s="6"/>
      <c r="AA210"/>
      <c r="AB210"/>
      <c r="AC210"/>
      <c r="AD210"/>
      <c r="AE210"/>
      <c r="AF210"/>
    </row>
    <row r="211" spans="7:32">
      <c r="G211" s="6"/>
      <c r="AA211"/>
      <c r="AB211"/>
      <c r="AC211"/>
      <c r="AD211"/>
      <c r="AE211"/>
      <c r="AF211"/>
    </row>
    <row r="212" spans="7:32">
      <c r="G212" s="6"/>
      <c r="AA212"/>
      <c r="AB212"/>
      <c r="AC212"/>
      <c r="AD212"/>
      <c r="AE212"/>
      <c r="AF212"/>
    </row>
    <row r="213" spans="7:32">
      <c r="G213" s="6"/>
      <c r="AA213"/>
      <c r="AB213"/>
      <c r="AC213"/>
      <c r="AD213"/>
      <c r="AE213"/>
      <c r="AF213"/>
    </row>
    <row r="214" spans="7:32">
      <c r="G214" s="6"/>
      <c r="AA214"/>
      <c r="AB214"/>
      <c r="AC214"/>
      <c r="AD214"/>
      <c r="AE214"/>
      <c r="AF214"/>
    </row>
    <row r="215" spans="7:32">
      <c r="G215" s="6"/>
      <c r="AA215"/>
      <c r="AB215"/>
      <c r="AC215"/>
      <c r="AD215"/>
      <c r="AE215"/>
      <c r="AF215"/>
    </row>
    <row r="216" spans="7:32">
      <c r="G216" s="6"/>
      <c r="AA216"/>
      <c r="AB216"/>
      <c r="AC216"/>
      <c r="AD216"/>
      <c r="AE216"/>
      <c r="AF216"/>
    </row>
    <row r="217" spans="7:32">
      <c r="G217" s="6"/>
      <c r="AA217"/>
      <c r="AB217"/>
      <c r="AC217"/>
      <c r="AD217"/>
      <c r="AE217"/>
      <c r="AF217"/>
    </row>
    <row r="218" spans="7:32">
      <c r="G218" s="6"/>
      <c r="AA218"/>
      <c r="AB218"/>
      <c r="AC218"/>
      <c r="AD218"/>
      <c r="AE218"/>
      <c r="AF218"/>
    </row>
    <row r="219" spans="7:32">
      <c r="G219" s="6"/>
      <c r="AA219"/>
      <c r="AB219"/>
      <c r="AC219"/>
      <c r="AD219"/>
      <c r="AE219"/>
      <c r="AF219"/>
    </row>
    <row r="220" spans="7:32">
      <c r="G220" s="6"/>
      <c r="AA220"/>
      <c r="AB220"/>
      <c r="AC220"/>
      <c r="AD220"/>
      <c r="AE220"/>
      <c r="AF220"/>
    </row>
    <row r="221" spans="7:32">
      <c r="G221" s="6"/>
      <c r="AA221"/>
      <c r="AB221"/>
      <c r="AC221"/>
      <c r="AD221"/>
      <c r="AE221"/>
      <c r="AF221"/>
    </row>
    <row r="222" spans="7:32">
      <c r="G222" s="6"/>
      <c r="AA222"/>
      <c r="AB222"/>
      <c r="AC222"/>
      <c r="AD222"/>
      <c r="AE222"/>
      <c r="AF222"/>
    </row>
    <row r="223" spans="7:32">
      <c r="G223" s="6"/>
      <c r="AA223"/>
      <c r="AB223"/>
      <c r="AC223"/>
      <c r="AD223"/>
      <c r="AE223"/>
      <c r="AF223"/>
    </row>
    <row r="224" spans="7:32">
      <c r="G224" s="6"/>
      <c r="AA224"/>
      <c r="AB224"/>
      <c r="AC224"/>
      <c r="AD224"/>
      <c r="AE224"/>
      <c r="AF224"/>
    </row>
    <row r="225" spans="7:32">
      <c r="G225" s="6"/>
      <c r="AA225"/>
      <c r="AB225"/>
      <c r="AC225"/>
      <c r="AD225"/>
      <c r="AE225"/>
      <c r="AF225"/>
    </row>
    <row r="226" spans="7:32">
      <c r="G226" s="6"/>
      <c r="AA226"/>
      <c r="AB226"/>
      <c r="AC226"/>
      <c r="AD226"/>
      <c r="AE226"/>
      <c r="AF226"/>
    </row>
    <row r="227" spans="7:32">
      <c r="G227" s="6"/>
      <c r="AA227"/>
      <c r="AB227"/>
      <c r="AC227"/>
      <c r="AD227"/>
      <c r="AE227"/>
      <c r="AF227"/>
    </row>
    <row r="228" spans="7:32">
      <c r="G228" s="6"/>
      <c r="AA228"/>
      <c r="AB228"/>
      <c r="AC228"/>
      <c r="AD228"/>
      <c r="AE228"/>
      <c r="AF228"/>
    </row>
    <row r="229" spans="7:32">
      <c r="G229" s="6"/>
      <c r="AA229"/>
      <c r="AB229"/>
      <c r="AC229"/>
      <c r="AD229"/>
      <c r="AE229"/>
      <c r="AF229"/>
    </row>
    <row r="230" spans="7:32">
      <c r="G230" s="6"/>
      <c r="AA230"/>
      <c r="AB230"/>
      <c r="AC230"/>
      <c r="AD230"/>
      <c r="AE230"/>
      <c r="AF230"/>
    </row>
    <row r="231" spans="7:32">
      <c r="G231" s="6"/>
      <c r="AA231"/>
      <c r="AB231"/>
      <c r="AC231"/>
      <c r="AD231"/>
      <c r="AE231"/>
      <c r="AF231"/>
    </row>
    <row r="232" spans="7:32">
      <c r="G232" s="6"/>
      <c r="AA232"/>
      <c r="AB232"/>
      <c r="AC232"/>
      <c r="AD232"/>
      <c r="AE232"/>
      <c r="AF232"/>
    </row>
    <row r="233" spans="7:32">
      <c r="G233" s="6"/>
      <c r="AA233"/>
      <c r="AB233"/>
      <c r="AC233"/>
      <c r="AD233"/>
      <c r="AE233"/>
      <c r="AF233"/>
    </row>
    <row r="234" spans="7:32">
      <c r="G234" s="6"/>
      <c r="AA234"/>
      <c r="AB234"/>
      <c r="AC234"/>
      <c r="AD234"/>
      <c r="AE234"/>
      <c r="AF234"/>
    </row>
    <row r="235" spans="7:32">
      <c r="G235" s="6"/>
      <c r="AA235"/>
      <c r="AB235"/>
      <c r="AC235"/>
      <c r="AD235"/>
      <c r="AE235"/>
      <c r="AF235"/>
    </row>
    <row r="236" spans="7:32">
      <c r="G236" s="6"/>
      <c r="AA236"/>
      <c r="AB236"/>
      <c r="AC236"/>
      <c r="AD236"/>
      <c r="AE236"/>
      <c r="AF236"/>
    </row>
    <row r="237" spans="7:32">
      <c r="G237" s="6"/>
      <c r="AA237"/>
      <c r="AB237"/>
      <c r="AC237"/>
      <c r="AD237"/>
      <c r="AE237"/>
      <c r="AF237"/>
    </row>
    <row r="238" spans="7:32">
      <c r="G238" s="6"/>
      <c r="AA238"/>
      <c r="AB238"/>
      <c r="AC238"/>
      <c r="AD238"/>
      <c r="AE238"/>
      <c r="AF238"/>
    </row>
    <row r="239" spans="7:32">
      <c r="G239" s="6"/>
      <c r="AA239"/>
      <c r="AB239"/>
      <c r="AC239"/>
      <c r="AD239"/>
      <c r="AE239"/>
      <c r="AF239"/>
    </row>
    <row r="240" spans="7:32">
      <c r="G240" s="6"/>
      <c r="AA240"/>
      <c r="AB240"/>
      <c r="AC240"/>
      <c r="AD240"/>
      <c r="AE240"/>
      <c r="AF240"/>
    </row>
    <row r="241" spans="7:32">
      <c r="G241" s="6"/>
      <c r="AA241"/>
      <c r="AB241"/>
      <c r="AC241"/>
      <c r="AD241"/>
      <c r="AE241"/>
      <c r="AF241"/>
    </row>
    <row r="242" spans="7:32">
      <c r="G242" s="6"/>
      <c r="AA242"/>
      <c r="AB242"/>
      <c r="AC242"/>
      <c r="AD242"/>
      <c r="AE242"/>
      <c r="AF242"/>
    </row>
    <row r="243" spans="7:32">
      <c r="G243" s="6"/>
      <c r="AA243"/>
      <c r="AB243"/>
      <c r="AC243"/>
      <c r="AD243"/>
      <c r="AE243"/>
      <c r="AF243"/>
    </row>
    <row r="244" spans="7:32">
      <c r="G244" s="6"/>
      <c r="AA244"/>
      <c r="AB244"/>
      <c r="AC244"/>
      <c r="AD244"/>
      <c r="AE244"/>
      <c r="AF244"/>
    </row>
    <row r="245" spans="7:32">
      <c r="G245" s="6"/>
      <c r="AA245"/>
      <c r="AB245"/>
      <c r="AC245"/>
      <c r="AD245"/>
      <c r="AE245"/>
      <c r="AF245"/>
    </row>
    <row r="246" spans="7:32">
      <c r="G246" s="6"/>
      <c r="AA246"/>
      <c r="AB246"/>
      <c r="AC246"/>
      <c r="AD246"/>
      <c r="AE246"/>
      <c r="AF246"/>
    </row>
    <row r="247" spans="7:32">
      <c r="G247" s="6"/>
      <c r="AA247"/>
      <c r="AB247"/>
      <c r="AC247"/>
      <c r="AD247"/>
      <c r="AE247"/>
      <c r="AF247"/>
    </row>
    <row r="248" spans="7:32">
      <c r="G248" s="6"/>
      <c r="AA248"/>
      <c r="AB248"/>
      <c r="AC248"/>
      <c r="AD248"/>
      <c r="AE248"/>
      <c r="AF248"/>
    </row>
    <row r="249" spans="7:32">
      <c r="G249" s="6"/>
      <c r="AA249"/>
      <c r="AB249"/>
      <c r="AC249"/>
      <c r="AD249"/>
      <c r="AE249"/>
      <c r="AF249"/>
    </row>
    <row r="250" spans="7:32">
      <c r="G250" s="6"/>
      <c r="AA250"/>
      <c r="AB250"/>
      <c r="AC250"/>
      <c r="AD250"/>
      <c r="AE250"/>
      <c r="AF250"/>
    </row>
    <row r="251" spans="7:32">
      <c r="G251" s="6"/>
      <c r="AA251"/>
      <c r="AB251"/>
      <c r="AC251"/>
      <c r="AD251"/>
      <c r="AE251"/>
      <c r="AF251"/>
    </row>
    <row r="252" spans="7:32">
      <c r="G252" s="6"/>
      <c r="AA252"/>
      <c r="AB252"/>
      <c r="AC252"/>
      <c r="AD252"/>
      <c r="AE252"/>
      <c r="AF252"/>
    </row>
    <row r="253" spans="7:32">
      <c r="G253" s="6"/>
      <c r="AA253"/>
      <c r="AB253"/>
      <c r="AC253"/>
      <c r="AD253"/>
      <c r="AE253"/>
      <c r="AF253"/>
    </row>
    <row r="254" spans="7:32">
      <c r="G254" s="6"/>
      <c r="AA254"/>
      <c r="AB254"/>
      <c r="AC254"/>
      <c r="AD254"/>
      <c r="AE254"/>
      <c r="AF254"/>
    </row>
    <row r="255" spans="7:32">
      <c r="G255" s="6"/>
      <c r="AA255"/>
      <c r="AB255"/>
      <c r="AC255"/>
      <c r="AD255"/>
      <c r="AE255"/>
      <c r="AF255"/>
    </row>
    <row r="256" spans="7:32">
      <c r="G256" s="6"/>
      <c r="AA256"/>
      <c r="AB256"/>
      <c r="AC256"/>
      <c r="AD256"/>
      <c r="AE256"/>
      <c r="AF256"/>
    </row>
    <row r="257" spans="7:32">
      <c r="G257" s="6"/>
      <c r="AA257"/>
      <c r="AB257"/>
      <c r="AC257"/>
      <c r="AD257"/>
      <c r="AE257"/>
      <c r="AF257"/>
    </row>
    <row r="258" spans="7:32">
      <c r="G258" s="6"/>
      <c r="AA258"/>
      <c r="AB258"/>
      <c r="AC258"/>
      <c r="AD258"/>
      <c r="AE258"/>
      <c r="AF258"/>
    </row>
    <row r="259" spans="7:32">
      <c r="G259" s="6"/>
      <c r="AA259"/>
      <c r="AB259"/>
      <c r="AC259"/>
      <c r="AD259"/>
      <c r="AE259"/>
      <c r="AF259"/>
    </row>
    <row r="260" spans="7:32">
      <c r="G260" s="6"/>
      <c r="AA260"/>
      <c r="AB260"/>
      <c r="AC260"/>
      <c r="AD260"/>
      <c r="AE260"/>
      <c r="AF260"/>
    </row>
    <row r="261" spans="7:32">
      <c r="G261" s="6"/>
      <c r="AA261"/>
      <c r="AB261"/>
      <c r="AC261"/>
      <c r="AD261"/>
      <c r="AE261"/>
      <c r="AF261"/>
    </row>
    <row r="262" spans="7:32">
      <c r="G262" s="6"/>
      <c r="AA262"/>
      <c r="AB262"/>
      <c r="AC262"/>
      <c r="AD262"/>
      <c r="AE262"/>
      <c r="AF262"/>
    </row>
    <row r="263" spans="7:32">
      <c r="G263" s="6"/>
      <c r="AA263"/>
      <c r="AB263"/>
      <c r="AC263"/>
      <c r="AD263"/>
      <c r="AE263"/>
      <c r="AF263"/>
    </row>
    <row r="264" spans="7:32">
      <c r="G264" s="6"/>
      <c r="AA264"/>
      <c r="AB264"/>
      <c r="AC264"/>
      <c r="AD264"/>
      <c r="AE264"/>
      <c r="AF264"/>
    </row>
    <row r="265" spans="7:32">
      <c r="G265" s="6"/>
      <c r="AA265"/>
      <c r="AB265"/>
      <c r="AC265"/>
      <c r="AD265"/>
      <c r="AE265"/>
      <c r="AF265"/>
    </row>
    <row r="266" spans="7:32">
      <c r="G266" s="6"/>
      <c r="AA266"/>
      <c r="AB266"/>
      <c r="AC266"/>
      <c r="AD266"/>
      <c r="AE266"/>
      <c r="AF266"/>
    </row>
    <row r="267" spans="7:32">
      <c r="G267" s="6"/>
      <c r="AA267"/>
      <c r="AB267"/>
      <c r="AC267"/>
      <c r="AD267"/>
      <c r="AE267"/>
      <c r="AF267"/>
    </row>
    <row r="268" spans="7:32">
      <c r="G268" s="6"/>
      <c r="AA268"/>
      <c r="AB268"/>
      <c r="AC268"/>
      <c r="AD268"/>
      <c r="AE268"/>
      <c r="AF268"/>
    </row>
    <row r="269" spans="7:32">
      <c r="G269" s="6"/>
      <c r="AA269"/>
      <c r="AB269"/>
      <c r="AC269"/>
      <c r="AD269"/>
      <c r="AE269"/>
      <c r="AF269"/>
    </row>
    <row r="270" spans="7:32">
      <c r="G270" s="6"/>
      <c r="AA270"/>
      <c r="AB270"/>
      <c r="AC270"/>
      <c r="AD270"/>
      <c r="AE270"/>
      <c r="AF270"/>
    </row>
    <row r="271" spans="7:32">
      <c r="G271" s="6"/>
      <c r="AA271"/>
      <c r="AB271"/>
      <c r="AC271"/>
      <c r="AD271"/>
      <c r="AE271"/>
      <c r="AF271"/>
    </row>
    <row r="272" spans="7:32">
      <c r="G272" s="6"/>
      <c r="AA272"/>
      <c r="AB272"/>
      <c r="AC272"/>
      <c r="AD272"/>
      <c r="AE272"/>
      <c r="AF272"/>
    </row>
    <row r="273" spans="7:32">
      <c r="G273" s="6"/>
      <c r="AA273"/>
      <c r="AB273"/>
      <c r="AC273"/>
      <c r="AD273"/>
      <c r="AE273"/>
      <c r="AF273"/>
    </row>
    <row r="274" spans="7:32">
      <c r="G274" s="6"/>
      <c r="AA274"/>
      <c r="AB274"/>
      <c r="AC274"/>
      <c r="AD274"/>
      <c r="AE274"/>
      <c r="AF274"/>
    </row>
    <row r="275" spans="7:32">
      <c r="G275" s="6"/>
      <c r="AA275"/>
      <c r="AB275"/>
      <c r="AC275"/>
      <c r="AD275"/>
      <c r="AE275"/>
      <c r="AF275"/>
    </row>
    <row r="276" spans="7:32">
      <c r="G276" s="6"/>
      <c r="AA276"/>
      <c r="AB276"/>
      <c r="AC276"/>
      <c r="AD276"/>
      <c r="AE276"/>
      <c r="AF276"/>
    </row>
    <row r="277" spans="7:32">
      <c r="G277" s="6"/>
      <c r="AA277"/>
      <c r="AB277"/>
      <c r="AC277"/>
      <c r="AD277"/>
      <c r="AE277"/>
      <c r="AF277"/>
    </row>
    <row r="278" spans="7:32">
      <c r="G278" s="6"/>
      <c r="AA278"/>
      <c r="AB278"/>
      <c r="AC278"/>
      <c r="AD278"/>
      <c r="AE278"/>
      <c r="AF278"/>
    </row>
    <row r="279" spans="7:32">
      <c r="G279" s="6"/>
      <c r="AA279"/>
      <c r="AB279"/>
      <c r="AC279"/>
      <c r="AD279"/>
      <c r="AE279"/>
      <c r="AF279"/>
    </row>
    <row r="280" spans="7:32">
      <c r="G280" s="6"/>
      <c r="AA280"/>
      <c r="AB280"/>
      <c r="AC280"/>
      <c r="AD280"/>
      <c r="AE280"/>
      <c r="AF280"/>
    </row>
    <row r="281" spans="7:32">
      <c r="G281" s="6"/>
      <c r="AA281"/>
      <c r="AB281"/>
      <c r="AC281"/>
      <c r="AD281"/>
      <c r="AE281"/>
      <c r="AF281"/>
    </row>
    <row r="282" spans="7:32">
      <c r="G282" s="6"/>
      <c r="AA282"/>
      <c r="AB282"/>
      <c r="AC282"/>
      <c r="AD282"/>
      <c r="AE282"/>
      <c r="AF282"/>
    </row>
    <row r="283" spans="7:32">
      <c r="G283" s="6"/>
      <c r="AA283"/>
      <c r="AB283"/>
      <c r="AC283"/>
      <c r="AD283"/>
      <c r="AE283"/>
      <c r="AF283"/>
    </row>
    <row r="284" spans="7:32">
      <c r="G284" s="6"/>
      <c r="AA284"/>
      <c r="AB284"/>
      <c r="AC284"/>
      <c r="AD284"/>
      <c r="AE284"/>
      <c r="AF284"/>
    </row>
    <row r="285" spans="7:32">
      <c r="G285" s="6"/>
      <c r="AA285"/>
      <c r="AB285"/>
      <c r="AC285"/>
      <c r="AD285"/>
      <c r="AE285"/>
      <c r="AF285"/>
    </row>
    <row r="286" spans="7:32">
      <c r="G286" s="6"/>
      <c r="AA286"/>
      <c r="AB286"/>
      <c r="AC286"/>
      <c r="AD286"/>
      <c r="AE286"/>
      <c r="AF286"/>
    </row>
    <row r="287" spans="7:32">
      <c r="G287" s="6"/>
      <c r="AA287"/>
      <c r="AB287"/>
      <c r="AC287"/>
      <c r="AD287"/>
      <c r="AE287"/>
      <c r="AF287"/>
    </row>
    <row r="288" spans="7:32">
      <c r="G288" s="6"/>
      <c r="AA288"/>
      <c r="AB288"/>
      <c r="AC288"/>
      <c r="AD288"/>
      <c r="AE288"/>
      <c r="AF288"/>
    </row>
    <row r="289" spans="7:32">
      <c r="G289" s="6"/>
      <c r="AA289"/>
      <c r="AB289"/>
      <c r="AC289"/>
      <c r="AD289"/>
      <c r="AE289"/>
      <c r="AF289"/>
    </row>
    <row r="290" spans="7:32">
      <c r="G290" s="6"/>
      <c r="AA290"/>
      <c r="AB290"/>
      <c r="AC290"/>
      <c r="AD290"/>
      <c r="AE290"/>
      <c r="AF290"/>
    </row>
    <row r="291" spans="7:32">
      <c r="G291" s="6"/>
      <c r="AA291"/>
      <c r="AB291"/>
      <c r="AC291"/>
      <c r="AD291"/>
      <c r="AE291"/>
      <c r="AF291"/>
    </row>
    <row r="292" spans="7:32">
      <c r="G292" s="6"/>
      <c r="AA292"/>
      <c r="AB292"/>
      <c r="AC292"/>
      <c r="AD292"/>
      <c r="AE292"/>
      <c r="AF292"/>
    </row>
    <row r="293" spans="7:32">
      <c r="G293" s="6"/>
      <c r="AA293"/>
      <c r="AB293"/>
      <c r="AC293"/>
      <c r="AD293"/>
      <c r="AE293"/>
      <c r="AF293"/>
    </row>
    <row r="294" spans="7:32">
      <c r="G294" s="6"/>
      <c r="AA294"/>
      <c r="AB294"/>
      <c r="AC294"/>
      <c r="AD294"/>
      <c r="AE294"/>
      <c r="AF294"/>
    </row>
    <row r="295" spans="7:32">
      <c r="G295" s="6"/>
      <c r="AA295"/>
      <c r="AB295"/>
      <c r="AC295"/>
      <c r="AD295"/>
      <c r="AE295"/>
      <c r="AF295"/>
    </row>
    <row r="296" spans="7:32">
      <c r="G296" s="6"/>
      <c r="AA296"/>
      <c r="AB296"/>
      <c r="AC296"/>
      <c r="AD296"/>
      <c r="AE296"/>
      <c r="AF296"/>
    </row>
    <row r="297" spans="7:32">
      <c r="G297" s="6"/>
      <c r="AA297"/>
      <c r="AB297"/>
      <c r="AC297"/>
      <c r="AD297"/>
      <c r="AE297"/>
      <c r="AF297"/>
    </row>
    <row r="298" spans="7:32">
      <c r="G298" s="6"/>
      <c r="AA298"/>
      <c r="AB298"/>
      <c r="AC298"/>
      <c r="AD298"/>
      <c r="AE298"/>
      <c r="AF298"/>
    </row>
    <row r="299" spans="7:32">
      <c r="G299" s="6"/>
      <c r="AA299"/>
      <c r="AB299"/>
      <c r="AC299"/>
      <c r="AD299"/>
      <c r="AE299"/>
      <c r="AF299"/>
    </row>
    <row r="300" spans="7:32">
      <c r="G300" s="6"/>
      <c r="AA300"/>
      <c r="AB300"/>
      <c r="AC300"/>
      <c r="AD300"/>
      <c r="AE300"/>
      <c r="AF300"/>
    </row>
    <row r="301" spans="7:32">
      <c r="G301" s="6"/>
      <c r="AA301"/>
      <c r="AB301"/>
      <c r="AC301"/>
      <c r="AD301"/>
      <c r="AE301"/>
      <c r="AF301"/>
    </row>
    <row r="302" spans="7:32">
      <c r="G302" s="6"/>
      <c r="AA302"/>
      <c r="AB302"/>
      <c r="AC302"/>
      <c r="AD302"/>
      <c r="AE302"/>
      <c r="AF302"/>
    </row>
    <row r="303" spans="7:32">
      <c r="G303" s="6"/>
      <c r="AA303"/>
      <c r="AB303"/>
      <c r="AC303"/>
      <c r="AD303"/>
      <c r="AE303"/>
      <c r="AF303"/>
    </row>
    <row r="304" spans="7:32">
      <c r="G304" s="6"/>
      <c r="AA304"/>
      <c r="AB304"/>
      <c r="AC304"/>
      <c r="AD304"/>
      <c r="AE304"/>
      <c r="AF304"/>
    </row>
    <row r="305" spans="7:32">
      <c r="G305" s="6"/>
      <c r="AA305"/>
      <c r="AB305"/>
      <c r="AC305"/>
      <c r="AD305"/>
      <c r="AE305"/>
      <c r="AF305"/>
    </row>
    <row r="306" spans="7:32">
      <c r="G306" s="6"/>
      <c r="AA306"/>
      <c r="AB306"/>
      <c r="AC306"/>
      <c r="AD306"/>
      <c r="AE306"/>
      <c r="AF306"/>
    </row>
    <row r="307" spans="7:32">
      <c r="G307" s="6"/>
      <c r="AA307"/>
      <c r="AB307"/>
      <c r="AC307"/>
      <c r="AD307"/>
      <c r="AE307"/>
      <c r="AF307"/>
    </row>
    <row r="308" spans="7:32">
      <c r="G308" s="6"/>
      <c r="AA308"/>
      <c r="AB308"/>
      <c r="AC308"/>
      <c r="AD308"/>
      <c r="AE308"/>
      <c r="AF308"/>
    </row>
    <row r="309" spans="7:32">
      <c r="G309" s="6"/>
      <c r="AA309"/>
      <c r="AB309"/>
      <c r="AC309"/>
      <c r="AD309"/>
      <c r="AE309"/>
      <c r="AF309"/>
    </row>
    <row r="310" spans="7:32">
      <c r="G310" s="6"/>
      <c r="AA310"/>
      <c r="AB310"/>
      <c r="AC310"/>
      <c r="AD310"/>
      <c r="AE310"/>
      <c r="AF310"/>
    </row>
    <row r="311" spans="7:32">
      <c r="G311" s="6"/>
      <c r="AA311"/>
      <c r="AB311"/>
      <c r="AC311"/>
      <c r="AD311"/>
      <c r="AE311"/>
      <c r="AF311"/>
    </row>
    <row r="312" spans="7:32">
      <c r="G312" s="6"/>
      <c r="AA312"/>
      <c r="AB312"/>
      <c r="AC312"/>
      <c r="AD312"/>
      <c r="AE312"/>
      <c r="AF312"/>
    </row>
    <row r="313" spans="7:32">
      <c r="G313" s="6"/>
      <c r="AA313"/>
      <c r="AB313"/>
      <c r="AC313"/>
      <c r="AD313"/>
      <c r="AE313"/>
      <c r="AF313"/>
    </row>
    <row r="314" spans="7:32">
      <c r="G314" s="6"/>
      <c r="AA314"/>
      <c r="AB314"/>
      <c r="AC314"/>
      <c r="AD314"/>
      <c r="AE314"/>
      <c r="AF314"/>
    </row>
    <row r="315" spans="7:32">
      <c r="G315" s="6"/>
      <c r="AA315"/>
      <c r="AB315"/>
      <c r="AC315"/>
      <c r="AD315"/>
      <c r="AE315"/>
      <c r="AF315"/>
    </row>
    <row r="316" spans="7:32">
      <c r="G316" s="6"/>
      <c r="AA316"/>
      <c r="AB316"/>
      <c r="AC316"/>
      <c r="AD316"/>
      <c r="AE316"/>
      <c r="AF316"/>
    </row>
    <row r="317" spans="7:32">
      <c r="G317" s="6"/>
      <c r="AA317"/>
      <c r="AB317"/>
      <c r="AC317"/>
      <c r="AD317"/>
      <c r="AE317"/>
      <c r="AF317"/>
    </row>
    <row r="318" spans="7:32">
      <c r="G318" s="6"/>
      <c r="AA318"/>
      <c r="AB318"/>
      <c r="AC318"/>
      <c r="AD318"/>
      <c r="AE318"/>
      <c r="AF318"/>
    </row>
    <row r="319" spans="7:32">
      <c r="G319" s="6"/>
      <c r="AA319"/>
      <c r="AB319"/>
      <c r="AC319"/>
      <c r="AD319"/>
      <c r="AE319"/>
      <c r="AF319"/>
    </row>
    <row r="320" spans="7:32">
      <c r="G320" s="6"/>
      <c r="AA320"/>
      <c r="AB320"/>
      <c r="AC320"/>
      <c r="AD320"/>
      <c r="AE320"/>
      <c r="AF320"/>
    </row>
    <row r="321" spans="7:32">
      <c r="G321" s="6"/>
      <c r="AA321"/>
      <c r="AB321"/>
      <c r="AC321"/>
      <c r="AD321"/>
      <c r="AE321"/>
      <c r="AF321"/>
    </row>
    <row r="322" spans="7:32">
      <c r="G322" s="6"/>
      <c r="AA322"/>
      <c r="AB322"/>
      <c r="AC322"/>
      <c r="AD322"/>
      <c r="AE322"/>
      <c r="AF322"/>
    </row>
    <row r="323" spans="7:32">
      <c r="G323" s="6"/>
      <c r="AA323"/>
      <c r="AB323"/>
      <c r="AC323"/>
      <c r="AD323"/>
      <c r="AE323"/>
      <c r="AF323"/>
    </row>
    <row r="324" spans="7:32">
      <c r="G324" s="6"/>
      <c r="AA324"/>
      <c r="AB324"/>
      <c r="AC324"/>
      <c r="AD324"/>
      <c r="AE324"/>
      <c r="AF324"/>
    </row>
    <row r="325" spans="7:32">
      <c r="G325" s="6"/>
      <c r="AA325"/>
      <c r="AB325"/>
      <c r="AC325"/>
      <c r="AD325"/>
      <c r="AE325"/>
      <c r="AF325"/>
    </row>
    <row r="326" spans="7:32">
      <c r="G326" s="6"/>
      <c r="AA326"/>
      <c r="AB326"/>
      <c r="AC326"/>
      <c r="AD326"/>
      <c r="AE326"/>
      <c r="AF326"/>
    </row>
    <row r="327" spans="7:32">
      <c r="G327" s="6"/>
      <c r="AA327"/>
      <c r="AB327"/>
      <c r="AC327"/>
      <c r="AD327"/>
      <c r="AE327"/>
      <c r="AF327"/>
    </row>
    <row r="328" spans="7:32">
      <c r="G328" s="6"/>
      <c r="AA328"/>
      <c r="AB328"/>
      <c r="AC328"/>
      <c r="AD328"/>
      <c r="AE328"/>
      <c r="AF328"/>
    </row>
    <row r="329" spans="7:32">
      <c r="G329" s="6"/>
      <c r="AA329"/>
      <c r="AB329"/>
      <c r="AC329"/>
      <c r="AD329"/>
      <c r="AE329"/>
      <c r="AF329"/>
    </row>
    <row r="330" spans="7:32">
      <c r="G330" s="6"/>
      <c r="AA330"/>
      <c r="AB330"/>
      <c r="AC330"/>
      <c r="AD330"/>
      <c r="AE330"/>
      <c r="AF330"/>
    </row>
    <row r="331" spans="7:32">
      <c r="G331" s="6"/>
      <c r="AA331"/>
      <c r="AB331"/>
      <c r="AC331"/>
      <c r="AD331"/>
      <c r="AE331"/>
      <c r="AF331"/>
    </row>
    <row r="332" spans="7:32">
      <c r="G332" s="6"/>
      <c r="AA332"/>
      <c r="AB332"/>
      <c r="AC332"/>
      <c r="AD332"/>
      <c r="AE332"/>
      <c r="AF332"/>
    </row>
    <row r="333" spans="7:32">
      <c r="G333" s="6"/>
      <c r="AA333"/>
      <c r="AB333"/>
      <c r="AC333"/>
      <c r="AD333"/>
      <c r="AE333"/>
      <c r="AF333"/>
    </row>
    <row r="334" spans="7:32">
      <c r="G334" s="6"/>
      <c r="AA334"/>
      <c r="AB334"/>
      <c r="AC334"/>
      <c r="AD334"/>
      <c r="AE334"/>
      <c r="AF334"/>
    </row>
    <row r="335" spans="7:32">
      <c r="G335" s="6"/>
      <c r="AA335"/>
      <c r="AB335"/>
      <c r="AC335"/>
      <c r="AD335"/>
      <c r="AE335"/>
      <c r="AF335"/>
    </row>
    <row r="336" spans="7:32">
      <c r="G336" s="6"/>
      <c r="AA336"/>
      <c r="AB336"/>
      <c r="AC336"/>
      <c r="AD336"/>
      <c r="AE336"/>
      <c r="AF336"/>
    </row>
    <row r="337" spans="7:32">
      <c r="G337" s="6"/>
      <c r="AA337"/>
      <c r="AB337"/>
      <c r="AC337"/>
      <c r="AD337"/>
      <c r="AE337"/>
      <c r="AF337"/>
    </row>
    <row r="338" spans="7:32">
      <c r="G338" s="6"/>
      <c r="AA338"/>
      <c r="AB338"/>
      <c r="AC338"/>
      <c r="AD338"/>
      <c r="AE338"/>
      <c r="AF338"/>
    </row>
    <row r="339" spans="7:32">
      <c r="G339" s="6"/>
      <c r="AA339"/>
      <c r="AB339"/>
      <c r="AC339"/>
      <c r="AD339"/>
      <c r="AE339"/>
      <c r="AF339"/>
    </row>
    <row r="340" spans="7:32">
      <c r="G340" s="6"/>
      <c r="AA340"/>
      <c r="AB340"/>
      <c r="AC340"/>
      <c r="AD340"/>
      <c r="AE340"/>
      <c r="AF340"/>
    </row>
    <row r="341" spans="7:32">
      <c r="G341" s="6"/>
      <c r="AA341"/>
      <c r="AB341"/>
      <c r="AC341"/>
      <c r="AD341"/>
      <c r="AE341"/>
      <c r="AF341"/>
    </row>
    <row r="342" spans="7:32">
      <c r="G342" s="6"/>
      <c r="AA342"/>
      <c r="AB342"/>
      <c r="AC342"/>
      <c r="AD342"/>
      <c r="AE342"/>
      <c r="AF342"/>
    </row>
    <row r="343" spans="7:32">
      <c r="G343" s="6"/>
      <c r="AA343"/>
      <c r="AB343"/>
      <c r="AC343"/>
      <c r="AD343"/>
      <c r="AE343"/>
      <c r="AF343"/>
    </row>
    <row r="344" spans="7:32">
      <c r="G344" s="6"/>
      <c r="AA344"/>
      <c r="AB344"/>
      <c r="AC344"/>
      <c r="AD344"/>
      <c r="AE344"/>
      <c r="AF344"/>
    </row>
    <row r="345" spans="7:32">
      <c r="G345" s="6"/>
      <c r="AA345"/>
      <c r="AB345"/>
      <c r="AC345"/>
      <c r="AD345"/>
      <c r="AE345"/>
      <c r="AF345"/>
    </row>
    <row r="346" spans="7:32">
      <c r="G346" s="6"/>
      <c r="AA346"/>
      <c r="AB346"/>
      <c r="AC346"/>
      <c r="AD346"/>
      <c r="AE346"/>
      <c r="AF346"/>
    </row>
    <row r="347" spans="7:32">
      <c r="G347" s="6"/>
      <c r="AA347"/>
      <c r="AB347"/>
      <c r="AC347"/>
      <c r="AD347"/>
      <c r="AE347"/>
      <c r="AF347"/>
    </row>
    <row r="348" spans="7:32">
      <c r="G348" s="6"/>
      <c r="AA348"/>
      <c r="AB348"/>
      <c r="AC348"/>
      <c r="AD348"/>
      <c r="AE348"/>
      <c r="AF348"/>
    </row>
    <row r="349" spans="7:32">
      <c r="G349" s="6"/>
      <c r="AA349"/>
      <c r="AB349"/>
      <c r="AC349"/>
      <c r="AD349"/>
      <c r="AE349"/>
      <c r="AF349"/>
    </row>
    <row r="350" spans="7:32">
      <c r="G350" s="6"/>
      <c r="AA350"/>
      <c r="AB350"/>
      <c r="AC350"/>
      <c r="AD350"/>
      <c r="AE350"/>
      <c r="AF350"/>
    </row>
    <row r="351" spans="7:32">
      <c r="G351" s="6"/>
      <c r="AA351"/>
      <c r="AB351"/>
      <c r="AC351"/>
      <c r="AD351"/>
      <c r="AE351"/>
      <c r="AF351"/>
    </row>
    <row r="352" spans="7:32">
      <c r="G352" s="6"/>
      <c r="AA352"/>
      <c r="AB352"/>
      <c r="AC352"/>
      <c r="AD352"/>
      <c r="AE352"/>
      <c r="AF352"/>
    </row>
    <row r="353" spans="7:32">
      <c r="G353" s="6"/>
      <c r="AA353"/>
      <c r="AB353"/>
      <c r="AC353"/>
      <c r="AD353"/>
      <c r="AE353"/>
      <c r="AF353"/>
    </row>
    <row r="354" spans="7:32">
      <c r="G354" s="6"/>
      <c r="AA354"/>
      <c r="AB354"/>
      <c r="AC354"/>
      <c r="AD354"/>
      <c r="AE354"/>
      <c r="AF354"/>
    </row>
    <row r="355" spans="7:32">
      <c r="G355" s="6"/>
      <c r="AA355"/>
      <c r="AB355"/>
      <c r="AC355"/>
      <c r="AD355"/>
      <c r="AE355"/>
      <c r="AF355"/>
    </row>
    <row r="356" spans="7:32">
      <c r="G356" s="6"/>
      <c r="AA356"/>
      <c r="AB356"/>
      <c r="AC356"/>
      <c r="AD356"/>
      <c r="AE356"/>
      <c r="AF356"/>
    </row>
    <row r="357" spans="7:32">
      <c r="G357" s="6"/>
      <c r="AA357"/>
      <c r="AB357"/>
      <c r="AC357"/>
      <c r="AD357"/>
      <c r="AE357"/>
      <c r="AF357"/>
    </row>
    <row r="358" spans="7:32">
      <c r="G358" s="6"/>
      <c r="AA358"/>
      <c r="AB358"/>
      <c r="AC358"/>
      <c r="AD358"/>
      <c r="AE358"/>
      <c r="AF358"/>
    </row>
    <row r="359" spans="7:32">
      <c r="G359" s="6"/>
      <c r="AA359"/>
      <c r="AB359"/>
      <c r="AC359"/>
      <c r="AD359"/>
      <c r="AE359"/>
      <c r="AF359"/>
    </row>
    <row r="360" spans="7:32">
      <c r="G360" s="6"/>
      <c r="AA360"/>
      <c r="AB360"/>
      <c r="AC360"/>
      <c r="AD360"/>
      <c r="AE360"/>
      <c r="AF360"/>
    </row>
    <row r="361" spans="7:32">
      <c r="G361" s="6"/>
      <c r="AA361"/>
      <c r="AB361"/>
      <c r="AC361"/>
      <c r="AD361"/>
      <c r="AE361"/>
      <c r="AF361"/>
    </row>
    <row r="362" spans="7:32">
      <c r="G362" s="6"/>
      <c r="AA362"/>
      <c r="AB362"/>
      <c r="AC362"/>
      <c r="AD362"/>
      <c r="AE362"/>
      <c r="AF362"/>
    </row>
    <row r="363" spans="7:32">
      <c r="G363" s="6"/>
      <c r="AA363"/>
      <c r="AB363"/>
      <c r="AC363"/>
      <c r="AD363"/>
      <c r="AE363"/>
      <c r="AF363"/>
    </row>
    <row r="364" spans="7:32">
      <c r="G364" s="6"/>
      <c r="AA364"/>
      <c r="AB364"/>
      <c r="AC364"/>
      <c r="AD364"/>
      <c r="AE364"/>
      <c r="AF364"/>
    </row>
    <row r="365" spans="7:32">
      <c r="G365" s="6"/>
      <c r="AA365"/>
      <c r="AB365"/>
      <c r="AC365"/>
      <c r="AD365"/>
      <c r="AE365"/>
      <c r="AF365"/>
    </row>
    <row r="366" spans="7:32">
      <c r="G366" s="6"/>
      <c r="AA366"/>
      <c r="AB366"/>
      <c r="AC366"/>
      <c r="AD366"/>
      <c r="AE366"/>
      <c r="AF366"/>
    </row>
    <row r="367" spans="7:32">
      <c r="G367" s="6"/>
      <c r="AA367"/>
      <c r="AB367"/>
      <c r="AC367"/>
      <c r="AD367"/>
      <c r="AE367"/>
      <c r="AF367"/>
    </row>
    <row r="368" spans="7:32">
      <c r="G368" s="6"/>
      <c r="AA368"/>
      <c r="AB368"/>
      <c r="AC368"/>
      <c r="AD368"/>
      <c r="AE368"/>
      <c r="AF368"/>
    </row>
    <row r="369" spans="7:32">
      <c r="G369" s="6"/>
      <c r="AA369"/>
      <c r="AB369"/>
      <c r="AC369"/>
      <c r="AD369"/>
      <c r="AE369"/>
      <c r="AF369"/>
    </row>
    <row r="370" spans="7:32">
      <c r="G370" s="6"/>
      <c r="AA370"/>
      <c r="AB370"/>
      <c r="AC370"/>
      <c r="AD370"/>
      <c r="AE370"/>
      <c r="AF370"/>
    </row>
    <row r="371" spans="7:32">
      <c r="G371" s="6"/>
      <c r="AA371"/>
      <c r="AB371"/>
      <c r="AC371"/>
      <c r="AD371"/>
      <c r="AE371"/>
      <c r="AF371"/>
    </row>
    <row r="372" spans="7:32">
      <c r="G372" s="6"/>
      <c r="AA372"/>
      <c r="AB372"/>
      <c r="AC372"/>
      <c r="AD372"/>
      <c r="AE372"/>
      <c r="AF372"/>
    </row>
    <row r="373" spans="7:32">
      <c r="G373" s="6"/>
      <c r="AA373"/>
      <c r="AB373"/>
      <c r="AC373"/>
      <c r="AD373"/>
      <c r="AE373"/>
      <c r="AF373"/>
    </row>
    <row r="374" spans="7:32">
      <c r="G374" s="6"/>
      <c r="AA374"/>
      <c r="AB374"/>
      <c r="AC374"/>
      <c r="AD374"/>
      <c r="AE374"/>
      <c r="AF374"/>
    </row>
    <row r="375" spans="7:32">
      <c r="G375" s="6"/>
      <c r="AA375"/>
      <c r="AB375"/>
      <c r="AC375"/>
      <c r="AD375"/>
      <c r="AE375"/>
      <c r="AF375"/>
    </row>
    <row r="376" spans="7:32">
      <c r="G376" s="6"/>
      <c r="AA376"/>
      <c r="AB376"/>
      <c r="AC376"/>
      <c r="AD376"/>
      <c r="AE376"/>
      <c r="AF376"/>
    </row>
    <row r="377" spans="7:32">
      <c r="G377" s="6"/>
      <c r="AA377"/>
      <c r="AB377"/>
      <c r="AC377"/>
      <c r="AD377"/>
      <c r="AE377"/>
      <c r="AF377"/>
    </row>
    <row r="378" spans="7:32">
      <c r="G378" s="6"/>
      <c r="AA378"/>
      <c r="AB378"/>
      <c r="AC378"/>
      <c r="AD378"/>
      <c r="AE378"/>
      <c r="AF378"/>
    </row>
    <row r="379" spans="7:32">
      <c r="G379" s="6"/>
      <c r="AA379"/>
      <c r="AB379"/>
      <c r="AC379"/>
      <c r="AD379"/>
      <c r="AE379"/>
      <c r="AF379"/>
    </row>
    <row r="380" spans="7:32">
      <c r="G380" s="6"/>
      <c r="AA380"/>
      <c r="AB380"/>
      <c r="AC380"/>
      <c r="AD380"/>
      <c r="AE380"/>
      <c r="AF380"/>
    </row>
    <row r="381" spans="7:32">
      <c r="G381" s="6"/>
      <c r="AA381"/>
      <c r="AB381"/>
      <c r="AC381"/>
      <c r="AD381"/>
      <c r="AE381"/>
      <c r="AF381"/>
    </row>
    <row r="382" spans="7:32">
      <c r="G382" s="6"/>
      <c r="AA382"/>
      <c r="AB382"/>
      <c r="AC382"/>
      <c r="AD382"/>
      <c r="AE382"/>
      <c r="AF382"/>
    </row>
    <row r="383" spans="7:32">
      <c r="G383" s="6"/>
      <c r="AA383"/>
      <c r="AB383"/>
      <c r="AC383"/>
      <c r="AD383"/>
      <c r="AE383"/>
      <c r="AF383"/>
    </row>
    <row r="384" spans="7:32">
      <c r="G384" s="6"/>
      <c r="AA384"/>
      <c r="AB384"/>
      <c r="AC384"/>
      <c r="AD384"/>
      <c r="AE384"/>
      <c r="AF384"/>
    </row>
    <row r="385" spans="7:32">
      <c r="G385" s="6"/>
      <c r="AA385"/>
      <c r="AB385"/>
      <c r="AC385"/>
      <c r="AD385"/>
      <c r="AE385"/>
      <c r="AF385"/>
    </row>
    <row r="386" spans="7:32">
      <c r="G386" s="6"/>
      <c r="AA386"/>
      <c r="AB386"/>
      <c r="AC386"/>
      <c r="AD386"/>
      <c r="AE386"/>
      <c r="AF386"/>
    </row>
    <row r="387" spans="7:32">
      <c r="G387" s="6"/>
      <c r="AA387"/>
      <c r="AB387"/>
      <c r="AC387"/>
      <c r="AD387"/>
      <c r="AE387"/>
      <c r="AF387"/>
    </row>
    <row r="388" spans="7:32">
      <c r="G388" s="6"/>
      <c r="AA388"/>
      <c r="AB388"/>
      <c r="AC388"/>
      <c r="AD388"/>
      <c r="AE388"/>
      <c r="AF388"/>
    </row>
    <row r="389" spans="7:32">
      <c r="G389" s="6"/>
      <c r="AA389"/>
      <c r="AB389"/>
      <c r="AC389"/>
      <c r="AD389"/>
      <c r="AE389"/>
      <c r="AF389"/>
    </row>
    <row r="390" spans="7:32">
      <c r="G390" s="6"/>
      <c r="AA390"/>
      <c r="AB390"/>
      <c r="AC390"/>
      <c r="AD390"/>
      <c r="AE390"/>
      <c r="AF390"/>
    </row>
    <row r="391" spans="7:32">
      <c r="G391" s="6"/>
      <c r="AA391"/>
      <c r="AB391"/>
      <c r="AC391"/>
      <c r="AD391"/>
      <c r="AE391"/>
      <c r="AF391"/>
    </row>
    <row r="392" spans="7:32">
      <c r="G392" s="6"/>
      <c r="AA392"/>
      <c r="AB392"/>
      <c r="AC392"/>
      <c r="AD392"/>
      <c r="AE392"/>
      <c r="AF392"/>
    </row>
    <row r="393" spans="7:32">
      <c r="G393" s="6"/>
      <c r="AA393"/>
      <c r="AB393"/>
      <c r="AC393"/>
      <c r="AD393"/>
      <c r="AE393"/>
      <c r="AF393"/>
    </row>
    <row r="394" spans="7:32">
      <c r="G394" s="6"/>
      <c r="AA394"/>
      <c r="AB394"/>
      <c r="AC394"/>
      <c r="AD394"/>
      <c r="AE394"/>
      <c r="AF394"/>
    </row>
    <row r="395" spans="7:32">
      <c r="G395" s="6"/>
      <c r="AA395"/>
      <c r="AB395"/>
      <c r="AC395"/>
      <c r="AD395"/>
      <c r="AE395"/>
      <c r="AF395"/>
    </row>
    <row r="396" spans="7:32">
      <c r="G396" s="6"/>
      <c r="AA396"/>
      <c r="AB396"/>
      <c r="AC396"/>
      <c r="AD396"/>
      <c r="AE396"/>
      <c r="AF396"/>
    </row>
    <row r="397" spans="7:32">
      <c r="G397" s="6"/>
      <c r="AA397"/>
      <c r="AB397"/>
      <c r="AC397"/>
      <c r="AD397"/>
      <c r="AE397"/>
      <c r="AF397"/>
    </row>
    <row r="398" spans="7:32">
      <c r="G398" s="6"/>
      <c r="AA398"/>
      <c r="AB398"/>
      <c r="AC398"/>
      <c r="AD398"/>
      <c r="AE398"/>
      <c r="AF398"/>
    </row>
    <row r="399" spans="7:32">
      <c r="G399" s="6"/>
      <c r="AA399"/>
      <c r="AB399"/>
      <c r="AC399"/>
      <c r="AD399"/>
      <c r="AE399"/>
      <c r="AF399"/>
    </row>
    <row r="400" spans="7:32">
      <c r="G400" s="6"/>
      <c r="AA400"/>
      <c r="AB400"/>
      <c r="AC400"/>
      <c r="AD400"/>
      <c r="AE400"/>
      <c r="AF400"/>
    </row>
    <row r="401" spans="7:32">
      <c r="G401" s="6"/>
      <c r="AA401"/>
      <c r="AB401"/>
      <c r="AC401"/>
      <c r="AD401"/>
      <c r="AE401"/>
      <c r="AF401"/>
    </row>
    <row r="402" spans="7:32">
      <c r="G402" s="6"/>
      <c r="AA402"/>
      <c r="AB402"/>
      <c r="AC402"/>
      <c r="AD402"/>
      <c r="AE402"/>
      <c r="AF402"/>
    </row>
    <row r="403" spans="7:32">
      <c r="G403" s="6"/>
      <c r="AA403"/>
      <c r="AB403"/>
      <c r="AC403"/>
      <c r="AD403"/>
      <c r="AE403"/>
      <c r="AF403"/>
    </row>
    <row r="404" spans="7:32">
      <c r="G404" s="6"/>
      <c r="AA404"/>
      <c r="AB404"/>
      <c r="AC404"/>
      <c r="AD404"/>
      <c r="AE404"/>
      <c r="AF404"/>
    </row>
    <row r="405" spans="7:32">
      <c r="G405" s="6"/>
      <c r="AA405"/>
      <c r="AB405"/>
      <c r="AC405"/>
      <c r="AD405"/>
      <c r="AE405"/>
      <c r="AF405"/>
    </row>
    <row r="406" spans="7:32">
      <c r="G406" s="6"/>
      <c r="AA406"/>
      <c r="AB406"/>
      <c r="AC406"/>
      <c r="AD406"/>
      <c r="AE406"/>
      <c r="AF406"/>
    </row>
    <row r="407" spans="7:32">
      <c r="G407" s="6"/>
      <c r="AA407"/>
      <c r="AB407"/>
      <c r="AC407"/>
      <c r="AD407"/>
      <c r="AE407"/>
      <c r="AF407"/>
    </row>
    <row r="408" spans="7:32">
      <c r="G408" s="6"/>
      <c r="AA408"/>
      <c r="AB408"/>
      <c r="AC408"/>
      <c r="AD408"/>
      <c r="AE408"/>
      <c r="AF408"/>
    </row>
    <row r="409" spans="7:32">
      <c r="G409" s="6"/>
      <c r="AA409"/>
      <c r="AB409"/>
      <c r="AC409"/>
      <c r="AD409"/>
      <c r="AE409"/>
      <c r="AF409"/>
    </row>
    <row r="410" spans="7:32">
      <c r="G410" s="6"/>
      <c r="AA410"/>
      <c r="AB410"/>
      <c r="AC410"/>
      <c r="AD410"/>
      <c r="AE410"/>
      <c r="AF410"/>
    </row>
    <row r="411" spans="7:32">
      <c r="G411" s="6"/>
      <c r="AA411"/>
      <c r="AB411"/>
      <c r="AC411"/>
      <c r="AD411"/>
      <c r="AE411"/>
      <c r="AF411"/>
    </row>
    <row r="412" spans="7:32">
      <c r="G412" s="6"/>
      <c r="AA412"/>
      <c r="AB412"/>
      <c r="AC412"/>
      <c r="AD412"/>
      <c r="AE412"/>
      <c r="AF412"/>
    </row>
    <row r="413" spans="7:32">
      <c r="G413" s="6"/>
      <c r="AA413"/>
      <c r="AB413"/>
      <c r="AC413"/>
      <c r="AD413"/>
      <c r="AE413"/>
      <c r="AF413"/>
    </row>
    <row r="414" spans="7:32">
      <c r="G414" s="6"/>
      <c r="AA414"/>
      <c r="AB414"/>
      <c r="AC414"/>
      <c r="AD414"/>
      <c r="AE414"/>
      <c r="AF414"/>
    </row>
    <row r="415" spans="7:32">
      <c r="G415" s="6"/>
      <c r="AA415"/>
      <c r="AB415"/>
      <c r="AC415"/>
      <c r="AD415"/>
      <c r="AE415"/>
      <c r="AF415"/>
    </row>
    <row r="416" spans="7:32">
      <c r="G416" s="6"/>
      <c r="AA416"/>
      <c r="AB416"/>
      <c r="AC416"/>
      <c r="AD416"/>
      <c r="AE416"/>
      <c r="AF416"/>
    </row>
    <row r="417" spans="7:32">
      <c r="G417" s="6"/>
      <c r="AA417"/>
      <c r="AB417"/>
      <c r="AC417"/>
      <c r="AD417"/>
      <c r="AE417"/>
      <c r="AF417"/>
    </row>
    <row r="418" spans="7:32">
      <c r="G418" s="6"/>
      <c r="AA418"/>
      <c r="AB418"/>
      <c r="AC418"/>
      <c r="AD418"/>
      <c r="AE418"/>
      <c r="AF418"/>
    </row>
    <row r="419" spans="7:32">
      <c r="G419" s="6"/>
      <c r="AA419"/>
      <c r="AB419"/>
      <c r="AC419"/>
      <c r="AD419"/>
      <c r="AE419"/>
      <c r="AF419"/>
    </row>
    <row r="420" spans="7:32">
      <c r="G420" s="6"/>
      <c r="AA420"/>
      <c r="AB420"/>
      <c r="AC420"/>
      <c r="AD420"/>
      <c r="AE420"/>
      <c r="AF420"/>
    </row>
    <row r="421" spans="7:32">
      <c r="G421" s="6"/>
      <c r="AA421"/>
      <c r="AB421"/>
      <c r="AC421"/>
      <c r="AD421"/>
      <c r="AE421"/>
      <c r="AF421"/>
    </row>
    <row r="422" spans="7:32">
      <c r="G422" s="6"/>
      <c r="AA422"/>
      <c r="AB422"/>
      <c r="AC422"/>
      <c r="AD422"/>
      <c r="AE422"/>
      <c r="AF422"/>
    </row>
    <row r="423" spans="7:32">
      <c r="G423" s="6"/>
      <c r="AA423"/>
      <c r="AB423"/>
      <c r="AC423"/>
      <c r="AD423"/>
      <c r="AE423"/>
      <c r="AF423"/>
    </row>
    <row r="424" spans="7:32">
      <c r="G424" s="6"/>
      <c r="AA424"/>
      <c r="AB424"/>
      <c r="AC424"/>
      <c r="AD424"/>
      <c r="AE424"/>
      <c r="AF424"/>
    </row>
    <row r="425" spans="7:32">
      <c r="G425" s="6"/>
      <c r="AA425"/>
      <c r="AB425"/>
      <c r="AC425"/>
      <c r="AD425"/>
      <c r="AE425"/>
      <c r="AF425"/>
    </row>
    <row r="426" spans="7:32">
      <c r="G426" s="6"/>
      <c r="AA426"/>
      <c r="AB426"/>
      <c r="AC426"/>
      <c r="AD426"/>
      <c r="AE426"/>
      <c r="AF426"/>
    </row>
    <row r="427" spans="7:32">
      <c r="G427" s="6"/>
      <c r="AA427"/>
      <c r="AB427"/>
      <c r="AC427"/>
      <c r="AD427"/>
      <c r="AE427"/>
      <c r="AF427"/>
    </row>
    <row r="428" spans="7:32">
      <c r="G428" s="6"/>
      <c r="AA428"/>
      <c r="AB428"/>
      <c r="AC428"/>
      <c r="AD428"/>
      <c r="AE428"/>
      <c r="AF428"/>
    </row>
    <row r="429" spans="7:32">
      <c r="G429" s="6"/>
      <c r="AA429"/>
      <c r="AB429"/>
      <c r="AC429"/>
      <c r="AD429"/>
      <c r="AE429"/>
      <c r="AF429"/>
    </row>
    <row r="430" spans="7:32">
      <c r="G430" s="6"/>
      <c r="AA430"/>
      <c r="AB430"/>
      <c r="AC430"/>
      <c r="AD430"/>
      <c r="AE430"/>
      <c r="AF430"/>
    </row>
    <row r="431" spans="7:32">
      <c r="G431" s="6"/>
      <c r="AA431"/>
      <c r="AB431"/>
      <c r="AC431"/>
      <c r="AD431"/>
      <c r="AE431"/>
      <c r="AF431"/>
    </row>
    <row r="432" spans="7:32">
      <c r="G432" s="6"/>
      <c r="AA432"/>
      <c r="AB432"/>
      <c r="AC432"/>
      <c r="AD432"/>
      <c r="AE432"/>
      <c r="AF432"/>
    </row>
    <row r="433" spans="7:32">
      <c r="G433" s="6"/>
      <c r="AA433"/>
      <c r="AB433"/>
      <c r="AC433"/>
      <c r="AD433"/>
      <c r="AE433"/>
      <c r="AF433"/>
    </row>
    <row r="434" spans="7:32">
      <c r="G434" s="6"/>
      <c r="AA434"/>
      <c r="AB434"/>
      <c r="AC434"/>
      <c r="AD434"/>
      <c r="AE434"/>
      <c r="AF434"/>
    </row>
    <row r="435" spans="7:32">
      <c r="G435" s="6"/>
      <c r="AA435"/>
      <c r="AB435"/>
      <c r="AC435"/>
      <c r="AD435"/>
      <c r="AE435"/>
      <c r="AF435"/>
    </row>
    <row r="436" spans="7:32">
      <c r="G436" s="6"/>
      <c r="AA436"/>
      <c r="AB436"/>
      <c r="AC436"/>
      <c r="AD436"/>
      <c r="AE436"/>
      <c r="AF436"/>
    </row>
    <row r="437" spans="7:32">
      <c r="G437" s="6"/>
      <c r="AA437"/>
      <c r="AB437"/>
      <c r="AC437"/>
      <c r="AD437"/>
      <c r="AE437"/>
      <c r="AF437"/>
    </row>
    <row r="438" spans="7:32">
      <c r="G438" s="6"/>
      <c r="AA438"/>
      <c r="AB438"/>
      <c r="AC438"/>
      <c r="AD438"/>
      <c r="AE438"/>
      <c r="AF438"/>
    </row>
    <row r="439" spans="7:32">
      <c r="G439" s="6"/>
      <c r="AA439"/>
      <c r="AB439"/>
      <c r="AC439"/>
      <c r="AD439"/>
      <c r="AE439"/>
      <c r="AF439"/>
    </row>
    <row r="440" spans="7:32">
      <c r="G440" s="6"/>
      <c r="AA440"/>
      <c r="AB440"/>
      <c r="AC440"/>
      <c r="AD440"/>
      <c r="AE440"/>
      <c r="AF440"/>
    </row>
    <row r="441" spans="7:32">
      <c r="G441" s="6"/>
      <c r="AA441"/>
      <c r="AB441"/>
      <c r="AC441"/>
      <c r="AD441"/>
      <c r="AE441"/>
      <c r="AF441"/>
    </row>
    <row r="442" spans="7:32">
      <c r="G442" s="6"/>
      <c r="AA442"/>
      <c r="AB442"/>
      <c r="AC442"/>
      <c r="AD442"/>
      <c r="AE442"/>
      <c r="AF442"/>
    </row>
    <row r="443" spans="7:32">
      <c r="G443" s="6"/>
      <c r="AA443"/>
      <c r="AB443"/>
      <c r="AC443"/>
      <c r="AD443"/>
      <c r="AE443"/>
      <c r="AF443"/>
    </row>
    <row r="444" spans="7:32">
      <c r="G444" s="6"/>
      <c r="AA444"/>
      <c r="AB444"/>
      <c r="AC444"/>
      <c r="AD444"/>
      <c r="AE444"/>
      <c r="AF444"/>
    </row>
    <row r="445" spans="7:32">
      <c r="G445" s="6"/>
      <c r="AA445"/>
      <c r="AB445"/>
      <c r="AC445"/>
      <c r="AD445"/>
      <c r="AE445"/>
      <c r="AF445"/>
    </row>
    <row r="446" spans="7:32">
      <c r="G446" s="6"/>
      <c r="AA446"/>
      <c r="AB446"/>
      <c r="AC446"/>
      <c r="AD446"/>
      <c r="AE446"/>
      <c r="AF446"/>
    </row>
    <row r="447" spans="7:32">
      <c r="G447" s="6"/>
      <c r="AA447"/>
      <c r="AB447"/>
      <c r="AC447"/>
      <c r="AD447"/>
      <c r="AE447"/>
      <c r="AF447"/>
    </row>
    <row r="448" spans="7:32">
      <c r="G448" s="6"/>
      <c r="AA448"/>
      <c r="AB448"/>
      <c r="AC448"/>
      <c r="AD448"/>
      <c r="AE448"/>
      <c r="AF448"/>
    </row>
    <row r="449" spans="7:32">
      <c r="G449" s="6"/>
      <c r="AA449"/>
      <c r="AB449"/>
      <c r="AC449"/>
      <c r="AD449"/>
      <c r="AE449"/>
      <c r="AF449"/>
    </row>
    <row r="450" spans="7:32">
      <c r="G450" s="6"/>
      <c r="AA450"/>
      <c r="AB450"/>
      <c r="AC450"/>
      <c r="AD450"/>
      <c r="AE450"/>
      <c r="AF450"/>
    </row>
    <row r="451" spans="7:32">
      <c r="G451" s="6"/>
      <c r="AA451"/>
      <c r="AB451"/>
      <c r="AC451"/>
      <c r="AD451"/>
      <c r="AE451"/>
      <c r="AF451"/>
    </row>
    <row r="452" spans="7:32">
      <c r="G452" s="6"/>
      <c r="AA452"/>
      <c r="AB452"/>
      <c r="AC452"/>
      <c r="AD452"/>
      <c r="AE452"/>
      <c r="AF452"/>
    </row>
    <row r="453" spans="7:32">
      <c r="G453" s="6"/>
      <c r="AA453"/>
      <c r="AB453"/>
      <c r="AC453"/>
      <c r="AD453"/>
      <c r="AE453"/>
      <c r="AF453"/>
    </row>
    <row r="454" spans="7:32">
      <c r="G454" s="6"/>
      <c r="AA454"/>
      <c r="AB454"/>
      <c r="AC454"/>
      <c r="AD454"/>
      <c r="AE454"/>
      <c r="AF454"/>
    </row>
    <row r="455" spans="7:32">
      <c r="G455" s="6"/>
      <c r="AA455"/>
      <c r="AB455"/>
      <c r="AC455"/>
      <c r="AD455"/>
      <c r="AE455"/>
      <c r="AF455"/>
    </row>
    <row r="456" spans="7:32">
      <c r="G456" s="6"/>
      <c r="AA456"/>
      <c r="AB456"/>
      <c r="AC456"/>
      <c r="AD456"/>
      <c r="AE456"/>
      <c r="AF456"/>
    </row>
    <row r="457" spans="7:32">
      <c r="G457" s="6"/>
      <c r="AA457"/>
      <c r="AB457"/>
      <c r="AC457"/>
      <c r="AD457"/>
      <c r="AE457"/>
      <c r="AF457"/>
    </row>
    <row r="458" spans="7:32">
      <c r="G458" s="6"/>
      <c r="AA458"/>
      <c r="AB458"/>
      <c r="AC458"/>
      <c r="AD458"/>
      <c r="AE458"/>
      <c r="AF458"/>
    </row>
    <row r="459" spans="7:32">
      <c r="G459" s="6"/>
      <c r="AA459"/>
      <c r="AB459"/>
      <c r="AC459"/>
      <c r="AD459"/>
      <c r="AE459"/>
      <c r="AF459"/>
    </row>
    <row r="460" spans="7:32">
      <c r="G460" s="6"/>
      <c r="AA460"/>
      <c r="AB460"/>
      <c r="AC460"/>
      <c r="AD460"/>
      <c r="AE460"/>
      <c r="AF460"/>
    </row>
    <row r="461" spans="7:32">
      <c r="G461" s="6"/>
      <c r="AA461"/>
      <c r="AB461"/>
      <c r="AC461"/>
      <c r="AD461"/>
      <c r="AE461"/>
      <c r="AF461"/>
    </row>
    <row r="462" spans="7:32">
      <c r="G462" s="6"/>
      <c r="AA462"/>
      <c r="AB462"/>
      <c r="AC462"/>
      <c r="AD462"/>
      <c r="AE462"/>
      <c r="AF462"/>
    </row>
    <row r="463" spans="7:32">
      <c r="G463" s="6"/>
      <c r="AA463"/>
      <c r="AB463"/>
      <c r="AC463"/>
      <c r="AD463"/>
      <c r="AE463"/>
      <c r="AF463"/>
    </row>
    <row r="464" spans="7:32">
      <c r="G464" s="6"/>
      <c r="AA464"/>
      <c r="AB464"/>
      <c r="AC464"/>
      <c r="AD464"/>
      <c r="AE464"/>
      <c r="AF464"/>
    </row>
    <row r="465" spans="7:32">
      <c r="G465" s="6"/>
      <c r="AA465"/>
      <c r="AB465"/>
      <c r="AC465"/>
      <c r="AD465"/>
      <c r="AE465"/>
      <c r="AF465"/>
    </row>
    <row r="466" spans="7:32">
      <c r="G466" s="6"/>
      <c r="AA466"/>
      <c r="AB466"/>
      <c r="AC466"/>
      <c r="AD466"/>
      <c r="AE466"/>
      <c r="AF466"/>
    </row>
    <row r="467" spans="7:32">
      <c r="G467" s="6"/>
      <c r="AA467"/>
      <c r="AB467"/>
      <c r="AC467"/>
      <c r="AD467"/>
      <c r="AE467"/>
      <c r="AF467"/>
    </row>
    <row r="468" spans="7:32">
      <c r="G468" s="6"/>
      <c r="AA468"/>
      <c r="AB468"/>
      <c r="AC468"/>
      <c r="AD468"/>
      <c r="AE468"/>
      <c r="AF468"/>
    </row>
    <row r="469" spans="7:32">
      <c r="G469" s="6"/>
      <c r="AA469"/>
      <c r="AB469"/>
      <c r="AC469"/>
      <c r="AD469"/>
      <c r="AE469"/>
      <c r="AF469"/>
    </row>
    <row r="470" spans="7:32">
      <c r="G470" s="6"/>
      <c r="AA470"/>
      <c r="AB470"/>
      <c r="AC470"/>
      <c r="AD470"/>
      <c r="AE470"/>
      <c r="AF470"/>
    </row>
    <row r="471" spans="7:32">
      <c r="G471" s="6"/>
      <c r="AA471"/>
      <c r="AB471"/>
      <c r="AC471"/>
      <c r="AD471"/>
      <c r="AE471"/>
      <c r="AF471"/>
    </row>
    <row r="472" spans="7:32">
      <c r="G472" s="6"/>
      <c r="AA472"/>
      <c r="AB472"/>
      <c r="AC472"/>
      <c r="AD472"/>
      <c r="AE472"/>
      <c r="AF472"/>
    </row>
    <row r="473" spans="7:32">
      <c r="G473" s="6"/>
      <c r="AA473"/>
      <c r="AB473"/>
      <c r="AC473"/>
      <c r="AD473"/>
      <c r="AE473"/>
      <c r="AF473"/>
    </row>
    <row r="474" spans="7:32">
      <c r="G474" s="6"/>
      <c r="AA474"/>
      <c r="AB474"/>
      <c r="AC474"/>
      <c r="AD474"/>
      <c r="AE474"/>
      <c r="AF474"/>
    </row>
    <row r="475" spans="7:32">
      <c r="G475" s="6"/>
      <c r="AA475"/>
      <c r="AB475"/>
      <c r="AC475"/>
      <c r="AD475"/>
      <c r="AE475"/>
      <c r="AF475"/>
    </row>
    <row r="476" spans="7:32">
      <c r="G476" s="6"/>
      <c r="AA476"/>
      <c r="AB476"/>
      <c r="AC476"/>
      <c r="AD476"/>
      <c r="AE476"/>
      <c r="AF476"/>
    </row>
    <row r="477" spans="7:32">
      <c r="G477" s="6"/>
      <c r="AA477"/>
      <c r="AB477"/>
      <c r="AC477"/>
      <c r="AD477"/>
      <c r="AE477"/>
      <c r="AF477"/>
    </row>
    <row r="478" spans="7:32">
      <c r="G478" s="6"/>
      <c r="AA478"/>
      <c r="AB478"/>
      <c r="AC478"/>
      <c r="AD478"/>
      <c r="AE478"/>
      <c r="AF478"/>
    </row>
    <row r="479" spans="7:32">
      <c r="G479" s="6"/>
      <c r="AA479"/>
      <c r="AB479"/>
      <c r="AC479"/>
      <c r="AD479"/>
      <c r="AE479"/>
      <c r="AF479"/>
    </row>
    <row r="480" spans="7:32">
      <c r="G480" s="6"/>
      <c r="AA480"/>
      <c r="AB480"/>
      <c r="AC480"/>
      <c r="AD480"/>
      <c r="AE480"/>
      <c r="AF480"/>
    </row>
    <row r="481" spans="7:32">
      <c r="G481" s="6"/>
      <c r="AA481"/>
      <c r="AB481"/>
      <c r="AC481"/>
      <c r="AD481"/>
      <c r="AE481"/>
      <c r="AF481"/>
    </row>
    <row r="482" spans="7:32">
      <c r="G482" s="6"/>
      <c r="AA482"/>
      <c r="AB482"/>
      <c r="AC482"/>
      <c r="AD482"/>
      <c r="AE482"/>
      <c r="AF482"/>
    </row>
    <row r="483" spans="7:32">
      <c r="G483" s="6"/>
      <c r="AA483"/>
      <c r="AB483"/>
      <c r="AC483"/>
      <c r="AD483"/>
      <c r="AE483"/>
      <c r="AF483"/>
    </row>
    <row r="484" spans="7:32">
      <c r="G484" s="6"/>
      <c r="AA484"/>
      <c r="AB484"/>
      <c r="AC484"/>
      <c r="AD484"/>
      <c r="AE484"/>
      <c r="AF484"/>
    </row>
    <row r="485" spans="7:32">
      <c r="G485" s="6"/>
      <c r="AA485"/>
      <c r="AB485"/>
      <c r="AC485"/>
      <c r="AD485"/>
      <c r="AE485"/>
      <c r="AF485"/>
    </row>
    <row r="486" spans="7:32">
      <c r="G486" s="6"/>
      <c r="AA486"/>
      <c r="AB486"/>
      <c r="AC486"/>
      <c r="AD486"/>
      <c r="AE486"/>
      <c r="AF486"/>
    </row>
    <row r="487" spans="7:32">
      <c r="G487" s="6"/>
      <c r="AA487"/>
      <c r="AB487"/>
      <c r="AC487"/>
      <c r="AD487"/>
      <c r="AE487"/>
      <c r="AF487"/>
    </row>
    <row r="488" spans="7:32">
      <c r="G488" s="6"/>
      <c r="AA488"/>
      <c r="AB488"/>
      <c r="AC488"/>
      <c r="AD488"/>
      <c r="AE488"/>
      <c r="AF488"/>
    </row>
    <row r="489" spans="7:32">
      <c r="G489" s="6"/>
      <c r="AA489"/>
      <c r="AB489"/>
      <c r="AC489"/>
      <c r="AD489"/>
      <c r="AE489"/>
      <c r="AF489"/>
    </row>
    <row r="490" spans="7:32">
      <c r="G490" s="6"/>
      <c r="AA490"/>
      <c r="AB490"/>
      <c r="AC490"/>
      <c r="AD490"/>
      <c r="AE490"/>
      <c r="AF490"/>
    </row>
    <row r="491" spans="7:32">
      <c r="G491" s="6"/>
      <c r="AA491"/>
      <c r="AB491"/>
      <c r="AC491"/>
      <c r="AD491"/>
      <c r="AE491"/>
      <c r="AF491"/>
    </row>
    <row r="492" spans="7:32">
      <c r="G492" s="6"/>
      <c r="AA492"/>
      <c r="AB492"/>
      <c r="AC492"/>
      <c r="AD492"/>
      <c r="AE492"/>
      <c r="AF492"/>
    </row>
    <row r="493" spans="7:32">
      <c r="G493" s="6"/>
      <c r="AA493"/>
      <c r="AB493"/>
      <c r="AC493"/>
      <c r="AD493"/>
      <c r="AE493"/>
      <c r="AF493"/>
    </row>
    <row r="494" spans="7:32">
      <c r="G494" s="6"/>
      <c r="AA494"/>
      <c r="AB494"/>
      <c r="AC494"/>
      <c r="AD494"/>
      <c r="AE494"/>
      <c r="AF494"/>
    </row>
    <row r="495" spans="7:32">
      <c r="G495" s="6"/>
      <c r="AA495"/>
      <c r="AB495"/>
      <c r="AC495"/>
      <c r="AD495"/>
      <c r="AE495"/>
      <c r="AF495"/>
    </row>
    <row r="496" spans="7:32">
      <c r="G496" s="6"/>
      <c r="AA496"/>
      <c r="AB496"/>
      <c r="AC496"/>
      <c r="AD496"/>
      <c r="AE496"/>
      <c r="AF496"/>
    </row>
    <row r="497" spans="7:32">
      <c r="G497" s="6"/>
      <c r="AA497"/>
      <c r="AB497"/>
      <c r="AC497"/>
      <c r="AD497"/>
      <c r="AE497"/>
      <c r="AF497"/>
    </row>
    <row r="498" spans="7:32">
      <c r="G498" s="6"/>
      <c r="AA498"/>
      <c r="AB498"/>
      <c r="AC498"/>
      <c r="AD498"/>
      <c r="AE498"/>
      <c r="AF498"/>
    </row>
    <row r="499" spans="7:32">
      <c r="G499" s="6"/>
      <c r="AA499"/>
      <c r="AB499"/>
      <c r="AC499"/>
      <c r="AD499"/>
      <c r="AE499"/>
      <c r="AF499"/>
    </row>
    <row r="500" spans="7:32">
      <c r="G500" s="6"/>
      <c r="AA500"/>
      <c r="AB500"/>
      <c r="AC500"/>
      <c r="AD500"/>
      <c r="AE500"/>
      <c r="AF500"/>
    </row>
    <row r="501" spans="7:32">
      <c r="G501" s="6"/>
      <c r="AA501"/>
      <c r="AB501"/>
      <c r="AC501"/>
      <c r="AD501"/>
      <c r="AE501"/>
      <c r="AF501"/>
    </row>
    <row r="502" spans="7:32">
      <c r="G502" s="6"/>
      <c r="AA502"/>
      <c r="AB502"/>
      <c r="AC502"/>
      <c r="AD502"/>
      <c r="AE502"/>
      <c r="AF502"/>
    </row>
    <row r="503" spans="7:32">
      <c r="G503" s="6"/>
      <c r="AA503"/>
      <c r="AB503"/>
      <c r="AC503"/>
      <c r="AD503"/>
      <c r="AE503"/>
      <c r="AF503"/>
    </row>
    <row r="504" spans="7:32">
      <c r="G504" s="6"/>
      <c r="AA504"/>
      <c r="AB504"/>
      <c r="AC504"/>
      <c r="AD504"/>
      <c r="AE504"/>
      <c r="AF504"/>
    </row>
    <row r="505" spans="7:32">
      <c r="G505" s="6"/>
      <c r="AA505"/>
      <c r="AB505"/>
      <c r="AC505"/>
      <c r="AD505"/>
      <c r="AE505"/>
      <c r="AF505"/>
    </row>
    <row r="506" spans="7:32">
      <c r="G506" s="6"/>
      <c r="AA506"/>
      <c r="AB506"/>
      <c r="AC506"/>
      <c r="AD506"/>
      <c r="AE506"/>
      <c r="AF506"/>
    </row>
    <row r="507" spans="7:32">
      <c r="G507" s="6"/>
      <c r="AA507"/>
      <c r="AB507"/>
      <c r="AC507"/>
      <c r="AD507"/>
      <c r="AE507"/>
      <c r="AF507"/>
    </row>
    <row r="508" spans="7:32">
      <c r="G508" s="6"/>
      <c r="AA508"/>
      <c r="AB508"/>
      <c r="AC508"/>
      <c r="AD508"/>
      <c r="AE508"/>
      <c r="AF508"/>
    </row>
    <row r="509" spans="7:32">
      <c r="G509" s="6"/>
      <c r="AA509"/>
      <c r="AB509"/>
      <c r="AC509"/>
      <c r="AD509"/>
      <c r="AE509"/>
      <c r="AF509"/>
    </row>
    <row r="510" spans="7:32">
      <c r="G510" s="6"/>
      <c r="AA510"/>
      <c r="AB510"/>
      <c r="AC510"/>
      <c r="AD510"/>
      <c r="AE510"/>
      <c r="AF510"/>
    </row>
    <row r="511" spans="7:32">
      <c r="G511" s="6"/>
      <c r="AA511"/>
      <c r="AB511"/>
      <c r="AC511"/>
      <c r="AD511"/>
      <c r="AE511"/>
      <c r="AF511"/>
    </row>
    <row r="512" spans="7:32">
      <c r="G512" s="6"/>
      <c r="AA512"/>
      <c r="AB512"/>
      <c r="AC512"/>
      <c r="AD512"/>
      <c r="AE512"/>
      <c r="AF512"/>
    </row>
    <row r="513" spans="7:32">
      <c r="G513" s="6"/>
      <c r="AA513"/>
      <c r="AB513"/>
      <c r="AC513"/>
      <c r="AD513"/>
      <c r="AE513"/>
      <c r="AF513"/>
    </row>
    <row r="514" spans="7:32">
      <c r="G514" s="6"/>
      <c r="AA514"/>
      <c r="AB514"/>
      <c r="AC514"/>
      <c r="AD514"/>
      <c r="AE514"/>
      <c r="AF514"/>
    </row>
    <row r="515" spans="7:32">
      <c r="G515" s="6"/>
      <c r="AA515"/>
      <c r="AB515"/>
      <c r="AC515"/>
      <c r="AD515"/>
      <c r="AE515"/>
      <c r="AF515"/>
    </row>
    <row r="516" spans="7:32">
      <c r="G516" s="6"/>
      <c r="AA516"/>
      <c r="AB516"/>
      <c r="AC516"/>
      <c r="AD516"/>
      <c r="AE516"/>
      <c r="AF516"/>
    </row>
    <row r="517" spans="7:32">
      <c r="G517" s="6"/>
      <c r="AA517"/>
      <c r="AB517"/>
      <c r="AC517"/>
      <c r="AD517"/>
      <c r="AE517"/>
      <c r="AF517"/>
    </row>
    <row r="518" spans="7:32">
      <c r="G518" s="6"/>
      <c r="AA518"/>
      <c r="AB518"/>
      <c r="AC518"/>
      <c r="AD518"/>
      <c r="AE518"/>
      <c r="AF518"/>
    </row>
    <row r="519" spans="7:32">
      <c r="G519" s="6"/>
      <c r="AA519"/>
      <c r="AB519"/>
      <c r="AC519"/>
      <c r="AD519"/>
      <c r="AE519"/>
      <c r="AF519"/>
    </row>
    <row r="520" spans="7:32">
      <c r="G520" s="6"/>
      <c r="AA520"/>
      <c r="AB520"/>
      <c r="AC520"/>
      <c r="AD520"/>
      <c r="AE520"/>
      <c r="AF520"/>
    </row>
    <row r="521" spans="7:32">
      <c r="G521" s="6"/>
      <c r="AA521"/>
      <c r="AB521"/>
      <c r="AC521"/>
      <c r="AD521"/>
      <c r="AE521"/>
      <c r="AF521"/>
    </row>
    <row r="522" spans="7:32">
      <c r="G522" s="6"/>
      <c r="AA522"/>
      <c r="AB522"/>
      <c r="AC522"/>
      <c r="AD522"/>
      <c r="AE522"/>
      <c r="AF522"/>
    </row>
    <row r="523" spans="7:32">
      <c r="G523" s="6"/>
      <c r="AA523"/>
      <c r="AB523"/>
      <c r="AC523"/>
      <c r="AD523"/>
      <c r="AE523"/>
      <c r="AF523"/>
    </row>
    <row r="524" spans="7:32">
      <c r="G524" s="6"/>
      <c r="AA524"/>
      <c r="AB524"/>
      <c r="AC524"/>
      <c r="AD524"/>
      <c r="AE524"/>
      <c r="AF524"/>
    </row>
    <row r="525" spans="7:32">
      <c r="G525" s="6"/>
      <c r="AA525"/>
      <c r="AB525"/>
      <c r="AC525"/>
      <c r="AD525"/>
      <c r="AE525"/>
      <c r="AF525"/>
    </row>
    <row r="526" spans="7:32">
      <c r="G526" s="6"/>
      <c r="AA526"/>
      <c r="AB526"/>
      <c r="AC526"/>
      <c r="AD526"/>
      <c r="AE526"/>
      <c r="AF526"/>
    </row>
    <row r="527" spans="7:32">
      <c r="G527" s="6"/>
      <c r="AA527"/>
      <c r="AB527"/>
      <c r="AC527"/>
      <c r="AD527"/>
      <c r="AE527"/>
      <c r="AF527"/>
    </row>
    <row r="528" spans="7:32">
      <c r="G528" s="6"/>
      <c r="AA528"/>
      <c r="AB528"/>
      <c r="AC528"/>
      <c r="AD528"/>
      <c r="AE528"/>
      <c r="AF528"/>
    </row>
    <row r="529" spans="7:32">
      <c r="G529" s="6"/>
      <c r="AA529"/>
      <c r="AB529"/>
      <c r="AC529"/>
      <c r="AD529"/>
      <c r="AE529"/>
      <c r="AF529"/>
    </row>
    <row r="530" spans="7:32">
      <c r="G530" s="6"/>
      <c r="AA530"/>
      <c r="AB530"/>
      <c r="AC530"/>
      <c r="AD530"/>
      <c r="AE530"/>
      <c r="AF530"/>
    </row>
    <row r="531" spans="7:32">
      <c r="G531" s="6"/>
      <c r="AA531"/>
      <c r="AB531"/>
      <c r="AC531"/>
      <c r="AD531"/>
      <c r="AE531"/>
      <c r="AF531"/>
    </row>
    <row r="532" spans="7:32">
      <c r="G532" s="6"/>
      <c r="AA532"/>
      <c r="AB532"/>
      <c r="AC532"/>
      <c r="AD532"/>
      <c r="AE532"/>
      <c r="AF532"/>
    </row>
    <row r="533" spans="7:32">
      <c r="G533" s="6"/>
      <c r="AA533"/>
      <c r="AB533"/>
      <c r="AC533"/>
      <c r="AD533"/>
      <c r="AE533"/>
      <c r="AF533"/>
    </row>
    <row r="534" spans="7:32">
      <c r="G534" s="6"/>
      <c r="AA534"/>
      <c r="AB534"/>
      <c r="AC534"/>
      <c r="AD534"/>
      <c r="AE534"/>
      <c r="AF534"/>
    </row>
    <row r="535" spans="7:32">
      <c r="G535" s="6"/>
      <c r="AA535"/>
      <c r="AB535"/>
      <c r="AC535"/>
      <c r="AD535"/>
      <c r="AE535"/>
      <c r="AF535"/>
    </row>
    <row r="536" spans="7:32">
      <c r="G536" s="6"/>
      <c r="AA536"/>
      <c r="AB536"/>
      <c r="AC536"/>
      <c r="AD536"/>
      <c r="AE536"/>
      <c r="AF536"/>
    </row>
    <row r="537" spans="7:32">
      <c r="G537" s="6"/>
      <c r="AA537"/>
      <c r="AB537"/>
      <c r="AC537"/>
      <c r="AD537"/>
      <c r="AE537"/>
      <c r="AF537"/>
    </row>
    <row r="538" spans="7:32">
      <c r="G538" s="6"/>
      <c r="AA538"/>
      <c r="AB538"/>
      <c r="AC538"/>
      <c r="AD538"/>
      <c r="AE538"/>
      <c r="AF538"/>
    </row>
    <row r="539" spans="7:32">
      <c r="G539" s="6"/>
      <c r="AA539"/>
      <c r="AB539"/>
      <c r="AC539"/>
      <c r="AD539"/>
      <c r="AE539"/>
      <c r="AF539"/>
    </row>
    <row r="540" spans="7:32">
      <c r="G540" s="6"/>
      <c r="AA540"/>
      <c r="AB540"/>
      <c r="AC540"/>
      <c r="AD540"/>
      <c r="AE540"/>
      <c r="AF540"/>
    </row>
    <row r="541" spans="7:32">
      <c r="G541" s="6"/>
      <c r="AA541"/>
      <c r="AB541"/>
      <c r="AC541"/>
      <c r="AD541"/>
      <c r="AE541"/>
      <c r="AF541"/>
    </row>
    <row r="542" spans="7:32">
      <c r="G542" s="6"/>
      <c r="AA542"/>
      <c r="AB542"/>
      <c r="AC542"/>
      <c r="AD542"/>
      <c r="AE542"/>
      <c r="AF542"/>
    </row>
    <row r="543" spans="7:32">
      <c r="G543" s="6"/>
      <c r="AA543"/>
      <c r="AB543"/>
      <c r="AC543"/>
      <c r="AD543"/>
      <c r="AE543"/>
      <c r="AF543"/>
    </row>
    <row r="544" spans="7:32">
      <c r="G544" s="6"/>
      <c r="AA544"/>
      <c r="AB544"/>
      <c r="AC544"/>
      <c r="AD544"/>
      <c r="AE544"/>
      <c r="AF544"/>
    </row>
    <row r="545" spans="7:32">
      <c r="G545" s="6"/>
      <c r="AA545"/>
      <c r="AB545"/>
      <c r="AC545"/>
      <c r="AD545"/>
      <c r="AE545"/>
      <c r="AF545"/>
    </row>
    <row r="546" spans="7:32">
      <c r="G546" s="6"/>
      <c r="AA546"/>
      <c r="AB546"/>
      <c r="AC546"/>
      <c r="AD546"/>
      <c r="AE546"/>
      <c r="AF546"/>
    </row>
    <row r="547" spans="7:32">
      <c r="G547" s="6"/>
      <c r="AA547"/>
      <c r="AB547"/>
      <c r="AC547"/>
      <c r="AD547"/>
      <c r="AE547"/>
      <c r="AF547"/>
    </row>
    <row r="548" spans="7:32">
      <c r="G548" s="6"/>
      <c r="AA548"/>
      <c r="AB548"/>
      <c r="AC548"/>
      <c r="AD548"/>
      <c r="AE548"/>
      <c r="AF548"/>
    </row>
    <row r="549" spans="7:32">
      <c r="G549" s="6"/>
      <c r="AA549"/>
      <c r="AB549"/>
      <c r="AC549"/>
      <c r="AD549"/>
      <c r="AE549"/>
      <c r="AF549"/>
    </row>
    <row r="550" spans="7:32">
      <c r="G550" s="6"/>
      <c r="AA550"/>
      <c r="AB550"/>
      <c r="AC550"/>
      <c r="AD550"/>
      <c r="AE550"/>
      <c r="AF550"/>
    </row>
    <row r="551" spans="7:32">
      <c r="G551" s="6"/>
      <c r="AA551"/>
      <c r="AB551"/>
      <c r="AC551"/>
      <c r="AD551"/>
      <c r="AE551"/>
      <c r="AF551"/>
    </row>
    <row r="552" spans="7:32">
      <c r="G552" s="6"/>
      <c r="AA552"/>
      <c r="AB552"/>
      <c r="AC552"/>
      <c r="AD552"/>
      <c r="AE552"/>
      <c r="AF552"/>
    </row>
    <row r="553" spans="7:32">
      <c r="G553" s="6"/>
      <c r="AA553"/>
      <c r="AB553"/>
      <c r="AC553"/>
      <c r="AD553"/>
      <c r="AE553"/>
      <c r="AF553"/>
    </row>
    <row r="554" spans="7:32">
      <c r="G554" s="6"/>
      <c r="AA554"/>
      <c r="AB554"/>
      <c r="AC554"/>
      <c r="AD554"/>
      <c r="AE554"/>
      <c r="AF554"/>
    </row>
    <row r="555" spans="7:32">
      <c r="G555" s="6"/>
      <c r="AA555"/>
      <c r="AB555"/>
      <c r="AC555"/>
      <c r="AD555"/>
      <c r="AE555"/>
      <c r="AF555"/>
    </row>
    <row r="556" spans="7:32">
      <c r="G556" s="6"/>
      <c r="AA556"/>
      <c r="AB556"/>
      <c r="AC556"/>
      <c r="AD556"/>
      <c r="AE556"/>
      <c r="AF556"/>
    </row>
    <row r="557" spans="7:32">
      <c r="G557" s="6"/>
      <c r="AA557"/>
      <c r="AB557"/>
      <c r="AC557"/>
      <c r="AD557"/>
      <c r="AE557"/>
      <c r="AF557"/>
    </row>
    <row r="558" spans="7:32">
      <c r="G558" s="6"/>
      <c r="AA558"/>
      <c r="AB558"/>
      <c r="AC558"/>
      <c r="AD558"/>
      <c r="AE558"/>
      <c r="AF558"/>
    </row>
    <row r="559" spans="7:32">
      <c r="G559" s="6"/>
      <c r="AA559"/>
      <c r="AB559"/>
      <c r="AC559"/>
      <c r="AD559"/>
      <c r="AE559"/>
      <c r="AF559"/>
    </row>
    <row r="560" spans="7:32">
      <c r="G560" s="6"/>
      <c r="AA560"/>
      <c r="AB560"/>
      <c r="AC560"/>
      <c r="AD560"/>
      <c r="AE560"/>
      <c r="AF560"/>
    </row>
    <row r="561" spans="7:32">
      <c r="G561" s="6"/>
      <c r="AA561"/>
      <c r="AB561"/>
      <c r="AC561"/>
      <c r="AD561"/>
      <c r="AE561"/>
      <c r="AF561"/>
    </row>
    <row r="562" spans="7:32">
      <c r="G562" s="6"/>
      <c r="AA562"/>
      <c r="AB562"/>
      <c r="AC562"/>
      <c r="AD562"/>
      <c r="AE562"/>
      <c r="AF562"/>
    </row>
    <row r="563" spans="7:32">
      <c r="G563" s="6"/>
      <c r="AA563"/>
      <c r="AB563"/>
      <c r="AC563"/>
      <c r="AD563"/>
      <c r="AE563"/>
      <c r="AF563"/>
    </row>
    <row r="564" spans="7:32">
      <c r="G564" s="6"/>
      <c r="AA564"/>
      <c r="AB564"/>
      <c r="AC564"/>
      <c r="AD564"/>
      <c r="AE564"/>
      <c r="AF564"/>
    </row>
    <row r="565" spans="7:32">
      <c r="G565" s="6"/>
      <c r="AA565"/>
      <c r="AB565"/>
      <c r="AC565"/>
      <c r="AD565"/>
      <c r="AE565"/>
      <c r="AF565"/>
    </row>
    <row r="566" spans="7:32">
      <c r="G566" s="6"/>
      <c r="AA566"/>
      <c r="AB566"/>
      <c r="AC566"/>
      <c r="AD566"/>
      <c r="AE566"/>
      <c r="AF566"/>
    </row>
    <row r="567" spans="7:32">
      <c r="G567" s="6"/>
      <c r="AA567"/>
      <c r="AB567"/>
      <c r="AC567"/>
      <c r="AD567"/>
      <c r="AE567"/>
      <c r="AF567"/>
    </row>
  </sheetData>
  <mergeCells count="1">
    <mergeCell ref="A1:A3"/>
  </mergeCells>
  <conditionalFormatting sqref="AV3">
    <cfRule type="cellIs" dxfId="11" priority="17" operator="equal">
      <formula>#REF!</formula>
    </cfRule>
    <cfRule type="cellIs" dxfId="10" priority="18" operator="equal">
      <formula>#REF!</formula>
    </cfRule>
  </conditionalFormatting>
  <conditionalFormatting sqref="AV3">
    <cfRule type="cellIs" dxfId="9" priority="19" operator="equal">
      <formula>#REF!</formula>
    </cfRule>
    <cfRule type="cellIs" dxfId="8" priority="20" operator="equal">
      <formula>#REF!</formula>
    </cfRule>
  </conditionalFormatting>
  <conditionalFormatting sqref="G3:AU3">
    <cfRule type="cellIs" dxfId="7" priority="5" operator="equal">
      <formula>#REF!</formula>
    </cfRule>
    <cfRule type="cellIs" dxfId="6" priority="6" operator="equal">
      <formula>#REF!</formula>
    </cfRule>
  </conditionalFormatting>
  <conditionalFormatting sqref="G3:AU3">
    <cfRule type="cellIs" dxfId="5" priority="7" operator="equal">
      <formula>#REF!</formula>
    </cfRule>
    <cfRule type="cellIs" dxfId="4" priority="8" operator="equal">
      <formula>#REF!</formula>
    </cfRule>
  </conditionalFormatting>
  <conditionalFormatting sqref="D3:AU3">
    <cfRule type="cellIs" dxfId="3" priority="1" operator="equal">
      <formula>#REF!</formula>
    </cfRule>
    <cfRule type="cellIs" dxfId="2" priority="2" operator="equal">
      <formula>#REF!</formula>
    </cfRule>
  </conditionalFormatting>
  <conditionalFormatting sqref="D3:AU3">
    <cfRule type="cellIs" dxfId="1" priority="3" operator="equal">
      <formula>#REF!</formula>
    </cfRule>
    <cfRule type="cellIs" dxfId="0" priority="4" operator="equal">
      <formula>#REF!</formula>
    </cfRule>
  </conditionalFormatting>
  <pageMargins left="0.7" right="0.7" top="0.75" bottom="0.75" header="0.3" footer="0.3"/>
  <pageSetup orientation="portrait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A1:T40"/>
  <sheetViews>
    <sheetView showOutlineSymbols="0" showWhiteSpace="0" topLeftCell="B3" zoomScale="83" zoomScaleNormal="60" workbookViewId="0">
      <selection activeCell="H20" sqref="H20"/>
    </sheetView>
  </sheetViews>
  <sheetFormatPr defaultColWidth="8.85546875" defaultRowHeight="52.35" customHeight="1"/>
  <cols>
    <col min="1" max="1" width="39.42578125" style="1" customWidth="1"/>
    <col min="2" max="2" width="15" style="1" customWidth="1"/>
    <col min="3" max="3" width="15" style="1" bestFit="1" customWidth="1"/>
    <col min="4" max="4" width="33.140625" style="1" bestFit="1" customWidth="1"/>
    <col min="5" max="5" width="16.85546875" style="1" bestFit="1" customWidth="1"/>
    <col min="6" max="6" width="29.7109375" style="1" customWidth="1"/>
    <col min="7" max="7" width="15" style="1" bestFit="1" customWidth="1"/>
    <col min="8" max="8" width="20.140625" style="1" bestFit="1" customWidth="1"/>
    <col min="9" max="9" width="18.85546875" style="1" bestFit="1" customWidth="1"/>
    <col min="10" max="10" width="17.140625" style="1" bestFit="1" customWidth="1"/>
    <col min="11" max="11" width="15.5703125" style="1" customWidth="1"/>
    <col min="12" max="12" width="18" style="1" customWidth="1"/>
    <col min="13" max="13" width="14.5703125" style="1" bestFit="1" customWidth="1"/>
    <col min="14" max="14" width="14.85546875" style="1" customWidth="1"/>
    <col min="15" max="15" width="20.42578125" style="1" bestFit="1" customWidth="1"/>
    <col min="16" max="16" width="20.5703125" style="1" bestFit="1" customWidth="1"/>
    <col min="17" max="17" width="17" style="1" bestFit="1" customWidth="1"/>
    <col min="18" max="18" width="17" style="1" customWidth="1"/>
    <col min="19" max="19" width="22.140625" style="1" customWidth="1"/>
    <col min="20" max="16384" width="8.85546875" style="1"/>
  </cols>
  <sheetData>
    <row r="1" spans="1:20" ht="40.5" customHeight="1">
      <c r="A1" s="401" t="s">
        <v>138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3"/>
      <c r="O1" s="174"/>
      <c r="P1" s="174"/>
      <c r="Q1" s="174"/>
    </row>
    <row r="2" spans="1:20" ht="33.6" customHeight="1" thickBot="1">
      <c r="A2" s="404"/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6"/>
      <c r="T2" s="74"/>
    </row>
    <row r="3" spans="1:20" ht="96.6" customHeight="1">
      <c r="A3" s="193" t="s">
        <v>139</v>
      </c>
      <c r="B3" s="194" t="s">
        <v>140</v>
      </c>
      <c r="C3" s="194" t="s">
        <v>141</v>
      </c>
      <c r="D3" s="195" t="s">
        <v>142</v>
      </c>
      <c r="E3" s="196" t="s">
        <v>143</v>
      </c>
      <c r="F3" s="197" t="s">
        <v>144</v>
      </c>
      <c r="G3" s="194" t="s">
        <v>145</v>
      </c>
      <c r="H3" s="195" t="s">
        <v>146</v>
      </c>
      <c r="I3" s="194" t="s">
        <v>147</v>
      </c>
      <c r="J3" s="194" t="s">
        <v>148</v>
      </c>
      <c r="K3" s="196" t="s">
        <v>149</v>
      </c>
      <c r="L3" s="198" t="s">
        <v>150</v>
      </c>
      <c r="M3" s="194" t="s">
        <v>151</v>
      </c>
      <c r="N3" s="336" t="s">
        <v>152</v>
      </c>
    </row>
    <row r="4" spans="1:20" ht="15.6">
      <c r="A4" s="533" t="s">
        <v>153</v>
      </c>
      <c r="B4" s="534" t="s">
        <v>154</v>
      </c>
      <c r="C4" s="535">
        <v>54279.03</v>
      </c>
      <c r="D4" s="536" t="s">
        <v>155</v>
      </c>
      <c r="E4" s="537">
        <f>'A Financial'!B11</f>
        <v>12</v>
      </c>
      <c r="F4" s="538">
        <v>0</v>
      </c>
      <c r="G4" s="539">
        <v>3</v>
      </c>
      <c r="H4" s="540">
        <f>'A Financial'!D32</f>
        <v>10276083</v>
      </c>
      <c r="I4" s="540">
        <f>'A Financial'!C57</f>
        <v>8553566.3641170617</v>
      </c>
      <c r="J4" s="541">
        <f>'A Financial'!B68</f>
        <v>3421426.5456468249</v>
      </c>
      <c r="K4" s="541">
        <f>'A Financial'!B67</f>
        <v>5132139.8184702368</v>
      </c>
      <c r="L4" s="542">
        <f>IF('A Financial'!B61&gt;0,0,'A Financial'!B61)</f>
        <v>0</v>
      </c>
      <c r="M4" s="543">
        <f>'A Financial'!B86</f>
        <v>9.8485274178135906E-2</v>
      </c>
      <c r="N4" s="544">
        <f>'A Draw'!B43</f>
        <v>5.9154020297051524E-2</v>
      </c>
      <c r="O4" s="282"/>
      <c r="P4" s="282"/>
    </row>
    <row r="5" spans="1:20" ht="35.450000000000003" customHeight="1">
      <c r="A5" s="545" t="s">
        <v>156</v>
      </c>
      <c r="B5" s="546" t="s">
        <v>157</v>
      </c>
      <c r="C5" s="546">
        <v>255668.21</v>
      </c>
      <c r="D5" s="536" t="s">
        <v>158</v>
      </c>
      <c r="E5" s="547">
        <f>SUM('B Financial'!B8:B10)</f>
        <v>132</v>
      </c>
      <c r="F5" s="548">
        <v>0</v>
      </c>
      <c r="G5" s="549">
        <v>5</v>
      </c>
      <c r="H5" s="550">
        <f>'B Financial'!D43</f>
        <v>164315955.11329645</v>
      </c>
      <c r="I5" s="550">
        <f>'B Financial'!C68</f>
        <v>133722442.33276522</v>
      </c>
      <c r="J5" s="550">
        <f>'B Financial'!B79</f>
        <v>53489000</v>
      </c>
      <c r="K5" s="550">
        <f>'B Financial'!B78</f>
        <v>80233000</v>
      </c>
      <c r="L5" s="551">
        <f>'B Financial'!B76</f>
        <v>0</v>
      </c>
      <c r="M5" s="552">
        <f>'B Financial'!B97</f>
        <v>0.13382507729453086</v>
      </c>
      <c r="N5" s="553">
        <f>'B Draw'!B44</f>
        <v>7.9158034769562624E-2</v>
      </c>
      <c r="O5" s="282"/>
    </row>
    <row r="6" spans="1:20" ht="14.1">
      <c r="A6" s="414"/>
      <c r="B6" s="413"/>
      <c r="C6" s="413"/>
      <c r="D6" s="554" t="s">
        <v>159</v>
      </c>
      <c r="E6" s="547">
        <f>SUM('B Financial'!B4:B7)</f>
        <v>443</v>
      </c>
      <c r="F6" s="411"/>
      <c r="G6" s="549"/>
      <c r="H6" s="550"/>
      <c r="I6" s="550"/>
      <c r="J6" s="550"/>
      <c r="K6" s="550"/>
      <c r="L6" s="410"/>
      <c r="M6" s="552"/>
      <c r="N6" s="407"/>
    </row>
    <row r="7" spans="1:20" ht="15.6">
      <c r="A7" s="533" t="s">
        <v>81</v>
      </c>
      <c r="B7" s="555" t="s">
        <v>160</v>
      </c>
      <c r="C7" s="556">
        <f>32251.06+30248.32</f>
        <v>62499.380000000005</v>
      </c>
      <c r="D7" s="557" t="s">
        <v>161</v>
      </c>
      <c r="E7" s="558">
        <v>0</v>
      </c>
      <c r="F7" s="559">
        <f>'CD Financial'!B17</f>
        <v>108994.73</v>
      </c>
      <c r="G7" s="539">
        <v>3</v>
      </c>
      <c r="H7" s="541">
        <f>'CD Financial'!D42</f>
        <v>61624241.187128924</v>
      </c>
      <c r="I7" s="541">
        <f>'CD Financial'!C67</f>
        <v>37141249.160290495</v>
      </c>
      <c r="J7" s="541">
        <f>'CD Financial'!B78</f>
        <v>14856000</v>
      </c>
      <c r="K7" s="541">
        <f>'CD Financial'!B77</f>
        <v>22285000</v>
      </c>
      <c r="L7" s="560">
        <f>'CD Financial'!B75</f>
        <v>0</v>
      </c>
      <c r="M7" s="543">
        <f>'CD Financial'!B96</f>
        <v>0.25603535322080306</v>
      </c>
      <c r="N7" s="544">
        <f>'CD Draw'!B44</f>
        <v>0.17507911855835268</v>
      </c>
    </row>
    <row r="8" spans="1:20" ht="15.6">
      <c r="A8" s="561" t="s">
        <v>162</v>
      </c>
      <c r="B8" s="562" t="s">
        <v>163</v>
      </c>
      <c r="C8" s="563">
        <f>55223.58+67191.51</f>
        <v>122415.09</v>
      </c>
      <c r="D8" s="554" t="s">
        <v>164</v>
      </c>
      <c r="E8" s="564">
        <v>0</v>
      </c>
      <c r="F8" s="565">
        <f>'EF Financial'!B16</f>
        <v>112613.17</v>
      </c>
      <c r="G8" s="566">
        <v>3</v>
      </c>
      <c r="H8" s="567">
        <f>'EF Financial'!D41</f>
        <v>147234909.21036458</v>
      </c>
      <c r="I8" s="567">
        <f>'EF Financial'!C66</f>
        <v>44949658.064275317</v>
      </c>
      <c r="J8" s="568">
        <f>'EF Financial'!B77</f>
        <v>17980000</v>
      </c>
      <c r="K8" s="569">
        <f>'EF Financial'!B76</f>
        <v>26970000</v>
      </c>
      <c r="L8" s="569">
        <f>'EF Financial'!B74</f>
        <v>0</v>
      </c>
      <c r="M8" s="543">
        <f>'EF Financial'!B95</f>
        <v>0.53318576495270698</v>
      </c>
      <c r="N8" s="544">
        <f>'EF Draw'!B44</f>
        <v>0.46062283682056093</v>
      </c>
    </row>
    <row r="9" spans="1:20" ht="15.6">
      <c r="A9" s="570" t="s">
        <v>165</v>
      </c>
      <c r="B9" s="571" t="s">
        <v>166</v>
      </c>
      <c r="C9" s="563">
        <f>15970.84+12034.6</f>
        <v>28005.440000000002</v>
      </c>
      <c r="D9" s="554" t="s">
        <v>164</v>
      </c>
      <c r="E9" s="547">
        <v>0</v>
      </c>
      <c r="F9" s="565">
        <f>'GH Financial'!B16</f>
        <v>5805</v>
      </c>
      <c r="G9" s="566">
        <v>2</v>
      </c>
      <c r="H9" s="567">
        <f>'GH Financial'!D40</f>
        <v>6950954.0322580626</v>
      </c>
      <c r="I9" s="567">
        <f>'GH Financial'!C65</f>
        <v>3896040.9133048491</v>
      </c>
      <c r="J9" s="568">
        <f>'GH Financial'!B76</f>
        <v>1558000</v>
      </c>
      <c r="K9" s="568">
        <f>'GH Financial'!B75</f>
        <v>2338000</v>
      </c>
      <c r="L9" s="569">
        <f>'GH Financial'!B73</f>
        <v>0</v>
      </c>
      <c r="M9" s="543">
        <f>'GH Financial'!B94</f>
        <v>0.31212214796455662</v>
      </c>
      <c r="N9" s="544">
        <f>'GH Draw'!B44</f>
        <v>0.26971518134392336</v>
      </c>
    </row>
    <row r="10" spans="1:20" ht="14.1">
      <c r="A10" s="572" t="s">
        <v>167</v>
      </c>
      <c r="B10" s="573" t="s">
        <v>168</v>
      </c>
      <c r="C10" s="573">
        <f>227890.03+87466.82+54137.83+57924.35</f>
        <v>427419.02999999997</v>
      </c>
      <c r="D10" s="536" t="s">
        <v>158</v>
      </c>
      <c r="E10" s="547">
        <f>SUM('IJKL Financial'!B8:B10)</f>
        <v>71</v>
      </c>
      <c r="F10" s="574">
        <f>'IJKL Financial'!B21</f>
        <v>36921.339999999997</v>
      </c>
      <c r="G10" s="575">
        <v>5</v>
      </c>
      <c r="H10" s="550">
        <f>'IJKL Financial'!D47</f>
        <v>130032568.11166668</v>
      </c>
      <c r="I10" s="550">
        <f>'IJKL Financial'!C72</f>
        <v>103215494.31511302</v>
      </c>
      <c r="J10" s="550">
        <f>'IJKL Financial'!B83</f>
        <v>41286000</v>
      </c>
      <c r="K10" s="550">
        <f>'IJKL Financial'!B82</f>
        <v>61929000</v>
      </c>
      <c r="L10" s="551">
        <f>'IJKL Financial'!B80</f>
        <v>0</v>
      </c>
      <c r="M10" s="576">
        <f>'IJKL Financial'!B101</f>
        <v>0.14598380511914777</v>
      </c>
      <c r="N10" s="553">
        <f>'IJKL Draw'!B44</f>
        <v>0.11018226873322123</v>
      </c>
    </row>
    <row r="11" spans="1:20" ht="14.1">
      <c r="A11" s="417"/>
      <c r="B11" s="415"/>
      <c r="C11" s="415"/>
      <c r="D11" s="536" t="s">
        <v>52</v>
      </c>
      <c r="E11" s="547">
        <f>SUM('IJKL Financial'!B11:B12)</f>
        <v>26</v>
      </c>
      <c r="F11" s="419"/>
      <c r="G11" s="421"/>
      <c r="H11" s="550"/>
      <c r="I11" s="550"/>
      <c r="J11" s="550"/>
      <c r="K11" s="550"/>
      <c r="L11" s="412"/>
      <c r="M11" s="576"/>
      <c r="N11" s="408"/>
    </row>
    <row r="12" spans="1:20" ht="14.1">
      <c r="A12" s="418"/>
      <c r="B12" s="416"/>
      <c r="C12" s="416"/>
      <c r="D12" s="557" t="s">
        <v>159</v>
      </c>
      <c r="E12" s="547">
        <f>SUM('IJKL Financial'!B4:B7,'IJKL Financial'!B14)</f>
        <v>233</v>
      </c>
      <c r="F12" s="420"/>
      <c r="G12" s="422"/>
      <c r="H12" s="550"/>
      <c r="I12" s="550"/>
      <c r="J12" s="550"/>
      <c r="K12" s="550"/>
      <c r="L12" s="410"/>
      <c r="M12" s="576"/>
      <c r="N12" s="407"/>
    </row>
    <row r="13" spans="1:20" ht="14.45" customHeight="1">
      <c r="A13" s="572" t="s">
        <v>169</v>
      </c>
      <c r="B13" s="573" t="s">
        <v>170</v>
      </c>
      <c r="C13" s="577">
        <f>27748.325+43605.779</f>
        <v>71354.104000000007</v>
      </c>
      <c r="D13" s="557" t="str">
        <f>D4</f>
        <v>RES-Market-Sale</v>
      </c>
      <c r="E13" s="537">
        <f>SUM('MN Financial'!B5,'MN Financial'!B7)</f>
        <v>0</v>
      </c>
      <c r="F13" s="574">
        <v>0</v>
      </c>
      <c r="G13" s="575">
        <v>3</v>
      </c>
      <c r="H13" s="578">
        <f>'MN Financial'!D32</f>
        <v>9989310.9065024368</v>
      </c>
      <c r="I13" s="578">
        <f>'MN Financial'!C57</f>
        <v>21350375.528121635</v>
      </c>
      <c r="J13" s="578">
        <f>'MN Financial'!B68</f>
        <v>3329750.2112486544</v>
      </c>
      <c r="K13" s="578">
        <f>'MN Financial'!B67</f>
        <v>4994625.3168729814</v>
      </c>
      <c r="L13" s="551">
        <f>'MN Financial'!B61</f>
        <v>-13026000</v>
      </c>
      <c r="M13" s="576">
        <f>'MN Financial'!B86</f>
        <v>5.3086835344337224E-2</v>
      </c>
      <c r="N13" s="553">
        <f>'MN Draw'!B43</f>
        <v>1.8502203712940535E-2</v>
      </c>
    </row>
    <row r="14" spans="1:20" ht="14.1">
      <c r="A14" s="418"/>
      <c r="B14" s="416"/>
      <c r="C14" s="426"/>
      <c r="D14" s="557" t="s">
        <v>171</v>
      </c>
      <c r="E14" s="537">
        <f>SUM('MN Financial'!B6,'MN Financial'!B8)</f>
        <v>38</v>
      </c>
      <c r="F14" s="420"/>
      <c r="G14" s="422"/>
      <c r="H14" s="409"/>
      <c r="I14" s="409"/>
      <c r="J14" s="409"/>
      <c r="K14" s="409"/>
      <c r="L14" s="410"/>
      <c r="M14" s="576"/>
      <c r="N14" s="407"/>
    </row>
    <row r="15" spans="1:20" ht="30.95" customHeight="1" thickBot="1">
      <c r="A15" s="579" t="s">
        <v>172</v>
      </c>
      <c r="B15" s="233"/>
      <c r="C15" s="580">
        <f>SUM(C4:C13)</f>
        <v>1021640.284</v>
      </c>
      <c r="D15" s="581"/>
      <c r="E15" s="582">
        <f>SUM(E4:E14)</f>
        <v>955</v>
      </c>
      <c r="F15" s="583">
        <f>SUM(F4:F14)</f>
        <v>264334.24</v>
      </c>
      <c r="G15" s="584"/>
      <c r="H15" s="585">
        <f>SUM(H4:H14)</f>
        <v>530424021.56121713</v>
      </c>
      <c r="I15" s="585">
        <f>SUM(I4:I14)</f>
        <v>352828826.67798764</v>
      </c>
      <c r="J15" s="585">
        <f>SUM(J4:J14)</f>
        <v>135920176.75689548</v>
      </c>
      <c r="K15" s="585">
        <f>SUM(K4:K14)</f>
        <v>203881765.13534322</v>
      </c>
      <c r="L15" s="586">
        <f>SUM(L4:L14)</f>
        <v>-13026000</v>
      </c>
      <c r="M15" s="587">
        <f>'All Components Draw'!B6</f>
        <v>0.23026118443060906</v>
      </c>
      <c r="N15" s="588">
        <f>'All Components Draw'!B10</f>
        <v>0.16000153154745145</v>
      </c>
    </row>
    <row r="16" spans="1:20" ht="30.6" customHeight="1">
      <c r="A16" s="398" t="s">
        <v>173</v>
      </c>
      <c r="B16" s="399"/>
      <c r="C16" s="399"/>
      <c r="D16" s="399"/>
      <c r="E16" s="399"/>
      <c r="F16" s="399"/>
      <c r="G16" s="399"/>
      <c r="H16" s="399"/>
      <c r="I16" s="400"/>
      <c r="J16" s="387"/>
      <c r="K16" s="234"/>
      <c r="L16" s="386"/>
      <c r="M16" s="234"/>
      <c r="N16" s="234"/>
      <c r="O16" s="234"/>
      <c r="P16" s="234"/>
    </row>
    <row r="17" spans="1:16" ht="29.1">
      <c r="A17" s="589" t="s">
        <v>174</v>
      </c>
      <c r="B17" s="590" t="s">
        <v>175</v>
      </c>
      <c r="C17" s="591" t="s">
        <v>176</v>
      </c>
      <c r="D17" s="591" t="s">
        <v>177</v>
      </c>
      <c r="E17" s="591" t="s">
        <v>178</v>
      </c>
      <c r="F17" s="592" t="s">
        <v>179</v>
      </c>
      <c r="G17" s="591" t="s">
        <v>39</v>
      </c>
      <c r="H17" s="591" t="s">
        <v>180</v>
      </c>
      <c r="I17" s="593" t="s">
        <v>181</v>
      </c>
      <c r="J17" s="387"/>
      <c r="K17" s="235"/>
      <c r="L17" s="235"/>
      <c r="M17" s="235"/>
      <c r="N17" s="235"/>
      <c r="O17" s="235"/>
      <c r="P17" s="235"/>
    </row>
    <row r="18" spans="1:16" ht="18">
      <c r="A18" s="594" t="s">
        <v>182</v>
      </c>
      <c r="B18" s="595">
        <f>SUM(C18:P18)</f>
        <v>394607</v>
      </c>
      <c r="C18" s="595">
        <v>247520</v>
      </c>
      <c r="D18" s="595">
        <v>712</v>
      </c>
      <c r="E18" s="595">
        <f>134118*0.4</f>
        <v>53647.200000000004</v>
      </c>
      <c r="F18" s="595">
        <f>134118*0.4</f>
        <v>53647.200000000004</v>
      </c>
      <c r="G18" s="595">
        <f>134118*0.2</f>
        <v>26823.600000000002</v>
      </c>
      <c r="H18" s="595">
        <f>10367+945</f>
        <v>11312</v>
      </c>
      <c r="I18" s="596">
        <v>945</v>
      </c>
      <c r="J18" s="387"/>
      <c r="K18" s="236"/>
      <c r="L18" s="236"/>
      <c r="M18" s="236"/>
      <c r="N18" s="236"/>
      <c r="O18" s="236"/>
      <c r="P18" s="236"/>
    </row>
    <row r="19" spans="1:16" ht="18">
      <c r="A19" s="594" t="s">
        <v>183</v>
      </c>
      <c r="B19" s="595">
        <v>100000</v>
      </c>
      <c r="C19" s="595">
        <f>B19*0.3</f>
        <v>30000</v>
      </c>
      <c r="D19" s="595">
        <v>0</v>
      </c>
      <c r="E19" s="595">
        <f>B19*0.1</f>
        <v>10000</v>
      </c>
      <c r="F19" s="595">
        <f>B19*0.1</f>
        <v>10000</v>
      </c>
      <c r="G19" s="595">
        <f>B19*0.3</f>
        <v>30000</v>
      </c>
      <c r="H19" s="595">
        <v>0.6</v>
      </c>
      <c r="I19" s="596">
        <f>B19*0.05</f>
        <v>5000</v>
      </c>
      <c r="J19" s="387"/>
      <c r="K19" s="236"/>
      <c r="L19" s="236"/>
      <c r="M19" s="236"/>
      <c r="N19" s="236"/>
      <c r="O19" s="236"/>
      <c r="P19" s="236"/>
    </row>
    <row r="20" spans="1:16" ht="18">
      <c r="A20" s="594" t="s">
        <v>184</v>
      </c>
      <c r="B20" s="595">
        <v>900000</v>
      </c>
      <c r="C20" s="595">
        <f>B20*0.05</f>
        <v>45000</v>
      </c>
      <c r="D20" s="595">
        <f>B20*0.3</f>
        <v>270000</v>
      </c>
      <c r="E20" s="595">
        <f>B20*0.125</f>
        <v>112500</v>
      </c>
      <c r="F20" s="595">
        <f>B20*0.15</f>
        <v>135000</v>
      </c>
      <c r="G20" s="595">
        <f>B20*0.025</f>
        <v>22500</v>
      </c>
      <c r="H20" s="595">
        <f>B20*0.3</f>
        <v>270000</v>
      </c>
      <c r="I20" s="596">
        <f>B20*0.05</f>
        <v>45000</v>
      </c>
      <c r="J20" s="387"/>
      <c r="K20" s="237"/>
      <c r="L20" s="237"/>
      <c r="M20" s="237"/>
      <c r="N20" s="237"/>
      <c r="O20" s="237"/>
      <c r="P20" s="237"/>
    </row>
    <row r="21" spans="1:16" ht="14.1">
      <c r="A21" s="594" t="s">
        <v>185</v>
      </c>
      <c r="B21" s="595">
        <f>Assumptions!F45+Assumptions!F46</f>
        <v>17200</v>
      </c>
      <c r="C21" s="595">
        <f>0.2*Assumptions!$F$45</f>
        <v>1320</v>
      </c>
      <c r="D21" s="595">
        <f>0.2*Assumptions!$F$45</f>
        <v>1320</v>
      </c>
      <c r="E21" s="595">
        <f>0.2*Assumptions!$F$45</f>
        <v>1320</v>
      </c>
      <c r="F21" s="595">
        <f>0.2*Assumptions!$F$45</f>
        <v>1320</v>
      </c>
      <c r="G21" s="595">
        <f>0.2*Assumptions!$F$45</f>
        <v>1320</v>
      </c>
      <c r="H21" s="595">
        <f>Assumptions!$F$46</f>
        <v>10600</v>
      </c>
      <c r="I21" s="596">
        <v>0</v>
      </c>
      <c r="J21" s="237"/>
      <c r="K21" s="237"/>
      <c r="L21" s="237"/>
      <c r="M21" s="237"/>
      <c r="N21" s="237"/>
      <c r="O21" s="237"/>
      <c r="P21" s="237"/>
    </row>
    <row r="22" spans="1:16" ht="14.1">
      <c r="A22" s="594" t="s">
        <v>186</v>
      </c>
      <c r="B22" s="595">
        <v>2400000</v>
      </c>
      <c r="C22" s="595">
        <f>B22*0.025</f>
        <v>60000</v>
      </c>
      <c r="D22" s="595">
        <f>B22*0.25</f>
        <v>600000</v>
      </c>
      <c r="E22" s="595">
        <f>B22*0.1</f>
        <v>240000</v>
      </c>
      <c r="F22" s="595">
        <f>B22*0.1</f>
        <v>240000</v>
      </c>
      <c r="G22" s="595">
        <f>B22*0.025</f>
        <v>60000</v>
      </c>
      <c r="H22" s="595">
        <f>B22*0.4</f>
        <v>960000</v>
      </c>
      <c r="I22" s="596">
        <f>B22*0.1</f>
        <v>240000</v>
      </c>
      <c r="J22" s="237"/>
      <c r="K22" s="237"/>
      <c r="L22" s="237"/>
      <c r="M22" s="237"/>
      <c r="N22" s="237"/>
      <c r="O22" s="237"/>
      <c r="P22" s="237"/>
    </row>
    <row r="23" spans="1:16" ht="14.45" thickBot="1">
      <c r="A23" s="597" t="s">
        <v>187</v>
      </c>
      <c r="B23" s="598">
        <v>85020</v>
      </c>
      <c r="C23" s="598">
        <f>B23*0.0125</f>
        <v>1062.75</v>
      </c>
      <c r="D23" s="598">
        <f>B23*0.2</f>
        <v>17004</v>
      </c>
      <c r="E23" s="598">
        <f>B23*0.1875</f>
        <v>15941.25</v>
      </c>
      <c r="F23" s="598">
        <f>B23*0.1875</f>
        <v>15941.25</v>
      </c>
      <c r="G23" s="598">
        <f>B23*0.1</f>
        <v>8502</v>
      </c>
      <c r="H23" s="598">
        <f>B23*0.2875</f>
        <v>24443.249999999996</v>
      </c>
      <c r="I23" s="599">
        <f>B23*0.025</f>
        <v>2125.5</v>
      </c>
      <c r="J23" s="237"/>
      <c r="K23" s="237"/>
      <c r="L23" s="237"/>
      <c r="M23" s="237"/>
      <c r="N23" s="237"/>
      <c r="O23" s="237"/>
      <c r="P23" s="237"/>
    </row>
    <row r="24" spans="1:16" ht="15" thickTop="1" thickBot="1">
      <c r="A24" s="330" t="s">
        <v>188</v>
      </c>
      <c r="B24" s="331">
        <f>SUM(B18:B23)</f>
        <v>3896827</v>
      </c>
      <c r="C24" s="331">
        <f t="shared" ref="C24:F24" si="0">SUM(C18:C23)</f>
        <v>384902.75</v>
      </c>
      <c r="D24" s="331">
        <f t="shared" si="0"/>
        <v>889036</v>
      </c>
      <c r="E24" s="331">
        <f t="shared" si="0"/>
        <v>433408.45</v>
      </c>
      <c r="F24" s="331">
        <f t="shared" si="0"/>
        <v>455908.45</v>
      </c>
      <c r="G24" s="331">
        <f t="shared" ref="G24:I24" si="1">SUM(G18:G23)</f>
        <v>149145.60000000001</v>
      </c>
      <c r="H24" s="331">
        <f t="shared" si="1"/>
        <v>1276355.8500000001</v>
      </c>
      <c r="I24" s="385">
        <f t="shared" si="1"/>
        <v>293070.5</v>
      </c>
      <c r="J24" s="236"/>
      <c r="K24" s="236"/>
      <c r="L24" s="236"/>
      <c r="M24" s="236"/>
      <c r="N24" s="236"/>
      <c r="O24" s="236"/>
      <c r="P24" s="236"/>
    </row>
    <row r="25" spans="1:16" ht="52.35" hidden="1" customHeight="1" thickTop="1" thickBot="1"/>
    <row r="26" spans="1:16" ht="52.35" customHeight="1" thickBot="1">
      <c r="A26" s="423" t="s">
        <v>189</v>
      </c>
      <c r="B26" s="424"/>
      <c r="C26" s="424"/>
      <c r="D26" s="424"/>
      <c r="E26" s="424"/>
      <c r="F26" s="425"/>
    </row>
    <row r="27" spans="1:16" ht="27.95">
      <c r="A27" s="600" t="s">
        <v>139</v>
      </c>
      <c r="B27" s="601" t="s">
        <v>190</v>
      </c>
      <c r="C27" s="601" t="s">
        <v>191</v>
      </c>
      <c r="D27" s="601" t="s">
        <v>192</v>
      </c>
      <c r="E27" s="601" t="s">
        <v>193</v>
      </c>
      <c r="F27" s="602" t="s">
        <v>194</v>
      </c>
      <c r="H27" s="352" t="s">
        <v>195</v>
      </c>
      <c r="I27" s="353" t="s">
        <v>196</v>
      </c>
      <c r="J27" s="354" t="s">
        <v>197</v>
      </c>
    </row>
    <row r="28" spans="1:16" ht="27.95">
      <c r="A28" s="603" t="str">
        <f>A4</f>
        <v>Creekside Homes</v>
      </c>
      <c r="B28" s="604" t="s">
        <v>198</v>
      </c>
      <c r="C28" s="605" t="s">
        <v>199</v>
      </c>
      <c r="D28" s="605" t="s">
        <v>200</v>
      </c>
      <c r="E28" s="606" t="s">
        <v>201</v>
      </c>
      <c r="F28" s="607">
        <f>_xlfn.DAYS(RIGHT(D28,10),LEFT(D28,9))/365</f>
        <v>3.0794520547945203</v>
      </c>
      <c r="H28" s="347" t="s">
        <v>202</v>
      </c>
      <c r="I28" s="350">
        <f>J28/$J$30</f>
        <v>0.77569060773480658</v>
      </c>
      <c r="J28" s="335">
        <f>SUM(E6,E11,E12)</f>
        <v>702</v>
      </c>
      <c r="L28" s="282"/>
    </row>
    <row r="29" spans="1:16" ht="28.5" thickBot="1">
      <c r="A29" s="603" t="str">
        <f>A5</f>
        <v>Apartments</v>
      </c>
      <c r="B29" s="604" t="s">
        <v>203</v>
      </c>
      <c r="C29" s="608" t="s">
        <v>204</v>
      </c>
      <c r="D29" s="605" t="s">
        <v>205</v>
      </c>
      <c r="E29" s="606" t="s">
        <v>206</v>
      </c>
      <c r="F29" s="607">
        <f>_xlfn.DAYS(RIGHT(D29,9),LEFT(D29,8))/365</f>
        <v>2.9972602739726026</v>
      </c>
      <c r="H29" s="358" t="s">
        <v>41</v>
      </c>
      <c r="I29" s="359">
        <f>J29/$J$30</f>
        <v>0.22430939226519336</v>
      </c>
      <c r="J29" s="360">
        <f>SUM(E5,E10)</f>
        <v>203</v>
      </c>
      <c r="K29" s="282"/>
    </row>
    <row r="30" spans="1:16" ht="28.5" thickTop="1">
      <c r="A30" s="603" t="str">
        <f>A7</f>
        <v>Retail/Office</v>
      </c>
      <c r="B30" s="604" t="s">
        <v>207</v>
      </c>
      <c r="C30" s="608" t="s">
        <v>208</v>
      </c>
      <c r="D30" s="605" t="s">
        <v>209</v>
      </c>
      <c r="E30" s="606" t="s">
        <v>210</v>
      </c>
      <c r="F30" s="607">
        <f t="shared" ref="F30:F34" si="2">_xlfn.DAYS(RIGHT(D30,10),LEFT(D30,9))/365</f>
        <v>2.495890410958904</v>
      </c>
      <c r="H30" s="348" t="s">
        <v>211</v>
      </c>
      <c r="I30" s="351">
        <f>SUM(I28:I29)</f>
        <v>1</v>
      </c>
      <c r="J30" s="355">
        <f>SUM(J28:J29)</f>
        <v>905</v>
      </c>
    </row>
    <row r="31" spans="1:16" ht="27.95">
      <c r="A31" s="603" t="str">
        <f>A8</f>
        <v>Retail/Hotel</v>
      </c>
      <c r="B31" s="604" t="s">
        <v>212</v>
      </c>
      <c r="C31" s="608" t="s">
        <v>213</v>
      </c>
      <c r="D31" s="605" t="s">
        <v>214</v>
      </c>
      <c r="E31" s="606" t="s">
        <v>215</v>
      </c>
      <c r="F31" s="607">
        <f t="shared" si="2"/>
        <v>3</v>
      </c>
      <c r="H31" s="348"/>
      <c r="I31" s="351"/>
      <c r="J31" s="355"/>
    </row>
    <row r="32" spans="1:16" ht="27.95">
      <c r="A32" s="603" t="str">
        <f>A9</f>
        <v>Tree Hotel</v>
      </c>
      <c r="B32" s="604" t="s">
        <v>216</v>
      </c>
      <c r="C32" s="605" t="s">
        <v>199</v>
      </c>
      <c r="D32" s="605" t="s">
        <v>215</v>
      </c>
      <c r="E32" s="606" t="s">
        <v>217</v>
      </c>
      <c r="F32" s="607">
        <f t="shared" si="2"/>
        <v>1.4958904109589042</v>
      </c>
      <c r="H32" s="347" t="s">
        <v>218</v>
      </c>
      <c r="I32" s="350">
        <f>J32/$J$34</f>
        <v>0.24</v>
      </c>
      <c r="J32" s="335">
        <f>E4</f>
        <v>12</v>
      </c>
    </row>
    <row r="33" spans="1:10" ht="28.5" thickBot="1">
      <c r="A33" s="603" t="str">
        <f>A10</f>
        <v>Retail/Apartments/Senior Housing</v>
      </c>
      <c r="B33" s="604" t="s">
        <v>219</v>
      </c>
      <c r="C33" s="608" t="s">
        <v>213</v>
      </c>
      <c r="D33" s="605" t="s">
        <v>220</v>
      </c>
      <c r="E33" s="606" t="s">
        <v>221</v>
      </c>
      <c r="F33" s="607">
        <f t="shared" si="2"/>
        <v>4</v>
      </c>
      <c r="H33" s="358" t="s">
        <v>222</v>
      </c>
      <c r="I33" s="359">
        <f>J33/$J$34</f>
        <v>0.76</v>
      </c>
      <c r="J33" s="360">
        <f>E14</f>
        <v>38</v>
      </c>
    </row>
    <row r="34" spans="1:10" ht="52.35" customHeight="1" thickTop="1" thickBot="1">
      <c r="A34" s="609" t="str">
        <f>A13</f>
        <v>Duplexes/Townhomes</v>
      </c>
      <c r="B34" s="610" t="s">
        <v>219</v>
      </c>
      <c r="C34" s="611" t="s">
        <v>213</v>
      </c>
      <c r="D34" s="612" t="s">
        <v>223</v>
      </c>
      <c r="E34" s="611" t="s">
        <v>224</v>
      </c>
      <c r="F34" s="613">
        <f t="shared" si="2"/>
        <v>4</v>
      </c>
      <c r="H34" s="349" t="s">
        <v>211</v>
      </c>
      <c r="I34" s="356">
        <f>SUM(I32:I33)</f>
        <v>1</v>
      </c>
      <c r="J34" s="357">
        <f>SUM(J32:J33)</f>
        <v>50</v>
      </c>
    </row>
    <row r="35" spans="1:10" ht="52.35" customHeight="1">
      <c r="A35" s="228"/>
      <c r="B35" s="261"/>
      <c r="C35" s="262"/>
      <c r="D35" s="262"/>
      <c r="E35" s="262"/>
    </row>
    <row r="36" spans="1:10" ht="52.35" customHeight="1">
      <c r="A36" s="228"/>
    </row>
    <row r="37" spans="1:10" ht="52.35" customHeight="1">
      <c r="A37" s="228"/>
    </row>
    <row r="38" spans="1:10" ht="52.35" customHeight="1">
      <c r="A38" s="228"/>
    </row>
    <row r="39" spans="1:10" ht="52.35" customHeight="1">
      <c r="A39" s="228"/>
    </row>
    <row r="40" spans="1:10" ht="52.35" customHeight="1">
      <c r="A40" s="228"/>
    </row>
  </sheetData>
  <mergeCells count="39">
    <mergeCell ref="J10:J12"/>
    <mergeCell ref="G13:G14"/>
    <mergeCell ref="A26:F26"/>
    <mergeCell ref="A13:A14"/>
    <mergeCell ref="B13:B14"/>
    <mergeCell ref="C13:C14"/>
    <mergeCell ref="F13:F14"/>
    <mergeCell ref="I5:I6"/>
    <mergeCell ref="L10:L12"/>
    <mergeCell ref="M10:M12"/>
    <mergeCell ref="B5:B6"/>
    <mergeCell ref="A5:A6"/>
    <mergeCell ref="C5:C6"/>
    <mergeCell ref="G5:G6"/>
    <mergeCell ref="B10:B12"/>
    <mergeCell ref="A10:A12"/>
    <mergeCell ref="C10:C12"/>
    <mergeCell ref="F10:F12"/>
    <mergeCell ref="G10:G12"/>
    <mergeCell ref="H5:H6"/>
    <mergeCell ref="H10:H12"/>
    <mergeCell ref="I10:I12"/>
    <mergeCell ref="K5:K6"/>
    <mergeCell ref="J5:J6"/>
    <mergeCell ref="K10:K12"/>
    <mergeCell ref="M13:M14"/>
    <mergeCell ref="A16:I16"/>
    <mergeCell ref="A1:N2"/>
    <mergeCell ref="N5:N6"/>
    <mergeCell ref="N10:N12"/>
    <mergeCell ref="N13:N14"/>
    <mergeCell ref="H13:H14"/>
    <mergeCell ref="I13:I14"/>
    <mergeCell ref="J13:J14"/>
    <mergeCell ref="K13:K14"/>
    <mergeCell ref="L13:L14"/>
    <mergeCell ref="L5:L6"/>
    <mergeCell ref="M5:M6"/>
    <mergeCell ref="F5:F6"/>
  </mergeCells>
  <phoneticPr fontId="167" type="noConversion"/>
  <printOptions horizontalCentered="1" verticalCentered="1"/>
  <pageMargins left="0.7" right="0.7" top="0.75" bottom="0.75" header="0.3" footer="0.3"/>
  <pageSetup scale="43" fitToHeight="0" orientation="landscape" r:id="rId1"/>
  <headerFooter>
    <oddHeader>&amp;C&amp;"Times New Roman Bold,Bold"&amp;14&amp;K000000INVESTOR SHEET
&amp;"Times New Roman Bold,Regular"&amp;10Team 2023_8682</oddHeader>
    <oddFooter>&amp;CPage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B55DB-C451-4C97-ABC6-15C1DC88E0C1}">
  <sheetPr>
    <tabColor rgb="FFC00000"/>
  </sheetPr>
  <dimension ref="A1"/>
  <sheetViews>
    <sheetView topLeftCell="A34" zoomScale="80" workbookViewId="0">
      <selection activeCell="S28" sqref="S28"/>
    </sheetView>
  </sheetViews>
  <sheetFormatPr defaultRowHeight="14.45"/>
  <sheetData/>
  <pageMargins left="0.7" right="0.7" top="0.75" bottom="0.75" header="0.3" footer="0.3"/>
  <pageSetup orientation="portrait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0E439-5F07-45DC-BDD0-CB9D23DE94D9}">
  <sheetPr>
    <tabColor rgb="FFC00000"/>
    <pageSetUpPr fitToPage="1"/>
  </sheetPr>
  <dimension ref="A1:J39"/>
  <sheetViews>
    <sheetView workbookViewId="0">
      <selection activeCell="E6" sqref="E6"/>
    </sheetView>
  </sheetViews>
  <sheetFormatPr defaultRowHeight="14.45"/>
  <cols>
    <col min="2" max="2" width="20.42578125" bestFit="1" customWidth="1"/>
    <col min="3" max="3" width="25.5703125" bestFit="1" customWidth="1"/>
    <col min="4" max="4" width="19.5703125" bestFit="1" customWidth="1"/>
    <col min="5" max="5" width="20" bestFit="1" customWidth="1"/>
    <col min="6" max="6" width="28.140625" bestFit="1" customWidth="1"/>
    <col min="7" max="7" width="30.42578125" bestFit="1" customWidth="1"/>
    <col min="8" max="8" width="18.42578125" bestFit="1" customWidth="1"/>
    <col min="9" max="9" width="18.5703125" customWidth="1"/>
    <col min="10" max="10" width="11.140625" bestFit="1" customWidth="1"/>
  </cols>
  <sheetData>
    <row r="1" spans="1:7">
      <c r="B1" s="614" t="s">
        <v>225</v>
      </c>
      <c r="C1" s="614"/>
      <c r="D1" s="614"/>
      <c r="E1" s="614"/>
      <c r="F1" s="614"/>
      <c r="G1" s="614"/>
    </row>
    <row r="2" spans="1:7" s="231" customFormat="1">
      <c r="A2" s="615" t="s">
        <v>226</v>
      </c>
      <c r="B2" s="616" t="s">
        <v>227</v>
      </c>
      <c r="C2" s="616" t="s">
        <v>228</v>
      </c>
      <c r="D2" s="616" t="s">
        <v>229</v>
      </c>
      <c r="E2" s="616" t="s">
        <v>230</v>
      </c>
      <c r="F2" s="616" t="s">
        <v>231</v>
      </c>
      <c r="G2" s="616" t="s">
        <v>232</v>
      </c>
    </row>
    <row r="3" spans="1:7">
      <c r="A3" s="617" t="s">
        <v>233</v>
      </c>
      <c r="B3" s="618">
        <f>E3/D3*C3</f>
        <v>802.85714285714289</v>
      </c>
      <c r="C3" s="617">
        <v>5</v>
      </c>
      <c r="D3" s="617">
        <v>7</v>
      </c>
      <c r="E3" s="617">
        <f>'Development Program'!F28*365</f>
        <v>1124</v>
      </c>
      <c r="F3" s="619">
        <f t="shared" ref="F3:F9" si="0">E3/365</f>
        <v>3.0794520547945203</v>
      </c>
      <c r="G3" s="617">
        <f t="shared" ref="G3:G9" si="1">ROUNDUP((F3*12),0)</f>
        <v>37</v>
      </c>
    </row>
    <row r="4" spans="1:7">
      <c r="A4" s="617" t="s">
        <v>234</v>
      </c>
      <c r="B4" s="618">
        <f t="shared" ref="B4:B9" si="2">E4/D4*C4</f>
        <v>781.42857142857133</v>
      </c>
      <c r="C4" s="617">
        <v>5</v>
      </c>
      <c r="D4" s="617">
        <v>7</v>
      </c>
      <c r="E4" s="617">
        <f>'Development Program'!F29*365</f>
        <v>1094</v>
      </c>
      <c r="F4" s="619">
        <f t="shared" si="0"/>
        <v>2.9972602739726026</v>
      </c>
      <c r="G4" s="617">
        <f t="shared" si="1"/>
        <v>36</v>
      </c>
    </row>
    <row r="5" spans="1:7">
      <c r="A5" s="617" t="s">
        <v>235</v>
      </c>
      <c r="B5" s="618">
        <f t="shared" si="2"/>
        <v>650.71428571428567</v>
      </c>
      <c r="C5" s="617">
        <v>5</v>
      </c>
      <c r="D5" s="617">
        <v>7</v>
      </c>
      <c r="E5" s="617">
        <f>'Development Program'!F30*365</f>
        <v>911</v>
      </c>
      <c r="F5" s="619">
        <f t="shared" si="0"/>
        <v>2.495890410958904</v>
      </c>
      <c r="G5" s="617">
        <f t="shared" si="1"/>
        <v>30</v>
      </c>
    </row>
    <row r="6" spans="1:7">
      <c r="A6" s="617" t="s">
        <v>236</v>
      </c>
      <c r="B6" s="618">
        <f t="shared" si="2"/>
        <v>782.14285714285711</v>
      </c>
      <c r="C6" s="617">
        <v>5</v>
      </c>
      <c r="D6" s="617">
        <v>7</v>
      </c>
      <c r="E6" s="617">
        <f>'Development Program'!F31*365</f>
        <v>1095</v>
      </c>
      <c r="F6" s="619">
        <f t="shared" si="0"/>
        <v>3</v>
      </c>
      <c r="G6" s="617">
        <f t="shared" si="1"/>
        <v>36</v>
      </c>
    </row>
    <row r="7" spans="1:7">
      <c r="A7" s="617" t="s">
        <v>237</v>
      </c>
      <c r="B7" s="618">
        <f t="shared" si="2"/>
        <v>390</v>
      </c>
      <c r="C7" s="617">
        <v>5</v>
      </c>
      <c r="D7" s="617">
        <v>7</v>
      </c>
      <c r="E7" s="617">
        <f>'Development Program'!F32*365</f>
        <v>546</v>
      </c>
      <c r="F7" s="619">
        <f t="shared" si="0"/>
        <v>1.4958904109589042</v>
      </c>
      <c r="G7" s="617">
        <f t="shared" si="1"/>
        <v>18</v>
      </c>
    </row>
    <row r="8" spans="1:7">
      <c r="A8" s="617" t="s">
        <v>238</v>
      </c>
      <c r="B8" s="618">
        <f t="shared" si="2"/>
        <v>1042.8571428571429</v>
      </c>
      <c r="C8" s="617">
        <v>5</v>
      </c>
      <c r="D8" s="617">
        <v>7</v>
      </c>
      <c r="E8" s="617">
        <f>'Development Program'!F33*365</f>
        <v>1460</v>
      </c>
      <c r="F8" s="619">
        <f t="shared" si="0"/>
        <v>4</v>
      </c>
      <c r="G8" s="617">
        <f t="shared" si="1"/>
        <v>48</v>
      </c>
    </row>
    <row r="9" spans="1:7">
      <c r="A9" s="617" t="s">
        <v>239</v>
      </c>
      <c r="B9" s="618">
        <f t="shared" si="2"/>
        <v>1042.8571428571429</v>
      </c>
      <c r="C9" s="617">
        <v>5</v>
      </c>
      <c r="D9" s="617">
        <v>7</v>
      </c>
      <c r="E9" s="617">
        <f>'Development Program'!F34*365</f>
        <v>1460</v>
      </c>
      <c r="F9" s="619">
        <f t="shared" si="0"/>
        <v>4</v>
      </c>
      <c r="G9" s="617">
        <f t="shared" si="1"/>
        <v>48</v>
      </c>
    </row>
    <row r="11" spans="1:7">
      <c r="B11" s="620" t="s">
        <v>240</v>
      </c>
      <c r="C11" s="620"/>
      <c r="D11" s="620"/>
      <c r="E11" s="620"/>
      <c r="F11" s="620"/>
    </row>
    <row r="12" spans="1:7" s="231" customFormat="1">
      <c r="B12" s="616" t="s">
        <v>241</v>
      </c>
      <c r="C12" s="616" t="s">
        <v>242</v>
      </c>
      <c r="D12" s="616" t="s">
        <v>243</v>
      </c>
      <c r="E12" s="616" t="s">
        <v>244</v>
      </c>
      <c r="F12" s="616" t="s">
        <v>245</v>
      </c>
    </row>
    <row r="13" spans="1:7">
      <c r="B13" s="621">
        <v>100000</v>
      </c>
      <c r="C13" s="622">
        <v>2.5000000000000001E-2</v>
      </c>
      <c r="D13" s="621">
        <f>B13*C13</f>
        <v>2500</v>
      </c>
      <c r="E13" s="621">
        <f>B13</f>
        <v>100000</v>
      </c>
      <c r="F13" s="621">
        <f>D13</f>
        <v>2500</v>
      </c>
    </row>
    <row r="14" spans="1:7">
      <c r="B14" s="621">
        <v>400000</v>
      </c>
      <c r="C14" s="622">
        <v>1.4999999999999999E-2</v>
      </c>
      <c r="D14" s="621">
        <f>B14*C14</f>
        <v>6000</v>
      </c>
      <c r="E14" s="621">
        <f>SUM(B13:B14)</f>
        <v>500000</v>
      </c>
      <c r="F14" s="621">
        <f>SUM(D13:D14)</f>
        <v>8500</v>
      </c>
    </row>
    <row r="15" spans="1:7">
      <c r="B15" s="621">
        <v>2000000</v>
      </c>
      <c r="C15" s="622">
        <v>0.01</v>
      </c>
      <c r="D15" s="621">
        <f t="shared" ref="D15:D18" si="3">B15*C15</f>
        <v>20000</v>
      </c>
      <c r="E15" s="621">
        <f>SUM(B13:B15)</f>
        <v>2500000</v>
      </c>
      <c r="F15" s="621">
        <f>SUM(D13:D15)</f>
        <v>28500</v>
      </c>
    </row>
    <row r="16" spans="1:7">
      <c r="B16" s="621">
        <v>2500000</v>
      </c>
      <c r="C16" s="622">
        <v>7.4999999999999997E-3</v>
      </c>
      <c r="D16" s="621">
        <f t="shared" si="3"/>
        <v>18750</v>
      </c>
      <c r="E16" s="621">
        <f>SUM(B13:B16)</f>
        <v>5000000</v>
      </c>
      <c r="F16" s="621">
        <f>SUM(D13:D16)</f>
        <v>47250</v>
      </c>
    </row>
    <row r="17" spans="1:10">
      <c r="B17" s="621">
        <v>2500000</v>
      </c>
      <c r="C17" s="622">
        <v>7.0000000000000001E-3</v>
      </c>
      <c r="D17" s="621">
        <f t="shared" si="3"/>
        <v>17500</v>
      </c>
      <c r="E17" s="621">
        <f>SUM(B13:B17)</f>
        <v>7500000</v>
      </c>
      <c r="F17" s="621">
        <f>SUM(D13:D17)</f>
        <v>64750</v>
      </c>
    </row>
    <row r="18" spans="1:10">
      <c r="B18" s="621">
        <v>2500000</v>
      </c>
      <c r="C18" s="622">
        <v>6.4999999999999997E-3</v>
      </c>
      <c r="D18" s="621">
        <f t="shared" si="3"/>
        <v>16250</v>
      </c>
      <c r="E18" s="621">
        <f>SUM(B13:B18)</f>
        <v>10000000</v>
      </c>
      <c r="F18" s="621">
        <f>SUM(D13:D18)</f>
        <v>81000</v>
      </c>
    </row>
    <row r="19" spans="1:10">
      <c r="F19" t="s">
        <v>246</v>
      </c>
    </row>
    <row r="20" spans="1:10">
      <c r="A20" s="617"/>
      <c r="B20" s="620" t="s">
        <v>240</v>
      </c>
      <c r="C20" s="620"/>
      <c r="D20" s="620"/>
      <c r="E20" s="620"/>
      <c r="F20" s="620"/>
      <c r="G20" s="620"/>
      <c r="H20" s="620"/>
      <c r="I20" s="623"/>
      <c r="J20" s="623"/>
    </row>
    <row r="21" spans="1:10" s="231" customFormat="1" ht="29.1">
      <c r="A21" s="615" t="s">
        <v>247</v>
      </c>
      <c r="B21" s="616" t="s">
        <v>248</v>
      </c>
      <c r="C21" s="624" t="s">
        <v>249</v>
      </c>
      <c r="D21" s="624" t="s">
        <v>250</v>
      </c>
      <c r="E21" s="616" t="s">
        <v>251</v>
      </c>
      <c r="F21" s="616" t="s">
        <v>252</v>
      </c>
      <c r="G21" s="616" t="s">
        <v>253</v>
      </c>
      <c r="H21" s="615" t="s">
        <v>245</v>
      </c>
      <c r="I21" s="624" t="s">
        <v>254</v>
      </c>
      <c r="J21" s="615" t="s">
        <v>255</v>
      </c>
    </row>
    <row r="22" spans="1:10">
      <c r="A22" s="617" t="s">
        <v>233</v>
      </c>
      <c r="B22" s="621">
        <f>'A Financial'!C35+'A Financial'!C37+'A Financial'!C47</f>
        <v>6401397.5999999996</v>
      </c>
      <c r="C22" s="621">
        <v>5000000</v>
      </c>
      <c r="D22" s="621">
        <f>IF(C22=$E$13,$F$13,IF(C22=$E$14,$F$14,IF(C22=$E$15,$F$15,IF(C22=$E$16,$F$16,IF(C22=$E$17,$F$17,IF(C22=$E$18,$F$18))))))</f>
        <v>47250</v>
      </c>
      <c r="E22" s="621">
        <f t="shared" ref="E22:E28" si="4">B22-C22</f>
        <v>1401397.5999999996</v>
      </c>
      <c r="F22" s="625" t="str">
        <f t="shared" ref="F22:F28" si="5">IF(B22&lt;100000,"2.50%",IF(B22&lt;500000,"1.50%",IF(B22&lt;2500000,"1.00%",IF(B22&lt;5000000,"0.75%",IF(B22&lt;7500000,"0.70%",IF(B22&gt;7500000,"0.65%"))))))</f>
        <v>0.70%</v>
      </c>
      <c r="G22" s="621">
        <f t="shared" ref="G22:G28" si="6">E22*F22</f>
        <v>9809.783199999998</v>
      </c>
      <c r="H22" s="621">
        <f t="shared" ref="H22:H28" si="7">SUM(D22,G22)</f>
        <v>57059.783199999998</v>
      </c>
      <c r="I22" s="621">
        <f>IF(G3=12,0,IF(G3&gt;12,(H22*0.01*(G3-12))))</f>
        <v>14264.945800000001</v>
      </c>
      <c r="J22" s="621">
        <f t="shared" ref="J22:J28" si="8">SUM(H22:I22)</f>
        <v>71324.728999999992</v>
      </c>
    </row>
    <row r="23" spans="1:10">
      <c r="A23" s="617" t="s">
        <v>234</v>
      </c>
      <c r="B23" s="621">
        <f>'B Financial'!C46+'B Financial'!C48+'B Financial'!C58</f>
        <v>111347634.95999999</v>
      </c>
      <c r="C23" s="621">
        <v>10000000</v>
      </c>
      <c r="D23" s="621">
        <f t="shared" ref="D23:D28" si="9">IF(C23=$E$13,$F$13,IF(C23=$E$14,$F$14,IF(C23=$E$15,$F$15,IF(C23=$E$16,$F$16,IF(C23=$E$17,$F$17,IF(C23=$E$18,$F$18))))))</f>
        <v>81000</v>
      </c>
      <c r="E23" s="621">
        <f t="shared" si="4"/>
        <v>101347634.95999999</v>
      </c>
      <c r="F23" s="625" t="str">
        <f t="shared" si="5"/>
        <v>0.65%</v>
      </c>
      <c r="G23" s="621">
        <f t="shared" si="6"/>
        <v>658759.62723999994</v>
      </c>
      <c r="H23" s="621">
        <f t="shared" si="7"/>
        <v>739759.62723999994</v>
      </c>
      <c r="I23" s="621">
        <f>IF(G4=12,0,IF(G4&gt;12,(H23*0.01*(G4-12))))</f>
        <v>177542.31053759999</v>
      </c>
      <c r="J23" s="621">
        <f t="shared" si="8"/>
        <v>917301.9377775999</v>
      </c>
    </row>
    <row r="24" spans="1:10">
      <c r="A24" s="617" t="s">
        <v>235</v>
      </c>
      <c r="B24" s="621">
        <f>'CD Financial'!C45+'CD Financial'!C47+'CD Financial'!C57</f>
        <v>24854199.075576</v>
      </c>
      <c r="C24" s="621">
        <v>10000000</v>
      </c>
      <c r="D24" s="621">
        <f t="shared" si="9"/>
        <v>81000</v>
      </c>
      <c r="E24" s="621">
        <f t="shared" si="4"/>
        <v>14854199.075576</v>
      </c>
      <c r="F24" s="625" t="str">
        <f t="shared" si="5"/>
        <v>0.65%</v>
      </c>
      <c r="G24" s="621">
        <f t="shared" si="6"/>
        <v>96552.293991243991</v>
      </c>
      <c r="H24" s="621">
        <f t="shared" si="7"/>
        <v>177552.29399124399</v>
      </c>
      <c r="I24" s="621">
        <f t="shared" ref="I24:I28" si="10">IF(G5=12,0,IF(G5&gt;12,(H24*0.01*(G5-12))))</f>
        <v>31959.412918423921</v>
      </c>
      <c r="J24" s="621">
        <f t="shared" si="8"/>
        <v>209511.7069096679</v>
      </c>
    </row>
    <row r="25" spans="1:10">
      <c r="A25" s="617" t="s">
        <v>236</v>
      </c>
      <c r="B25" s="621">
        <f>'EF Financial'!C44+'EF Financial'!C46+'EF Financial'!C56</f>
        <v>26868173.526594002</v>
      </c>
      <c r="C25" s="621">
        <v>10000000</v>
      </c>
      <c r="D25" s="621">
        <f t="shared" si="9"/>
        <v>81000</v>
      </c>
      <c r="E25" s="621">
        <f t="shared" si="4"/>
        <v>16868173.526594002</v>
      </c>
      <c r="F25" s="625" t="str">
        <f t="shared" si="5"/>
        <v>0.65%</v>
      </c>
      <c r="G25" s="621">
        <f t="shared" si="6"/>
        <v>109643.12792286101</v>
      </c>
      <c r="H25" s="621">
        <f t="shared" si="7"/>
        <v>190643.12792286102</v>
      </c>
      <c r="I25" s="621">
        <f t="shared" si="10"/>
        <v>45754.350701486648</v>
      </c>
      <c r="J25" s="621">
        <f t="shared" si="8"/>
        <v>236397.47862434766</v>
      </c>
    </row>
    <row r="26" spans="1:10">
      <c r="A26" s="617" t="s">
        <v>237</v>
      </c>
      <c r="B26" s="621">
        <f>'GH Financial'!C43+'GH Financial'!C45+'GH Financial'!C55</f>
        <v>1372984.3008000001</v>
      </c>
      <c r="C26" s="621">
        <v>500000</v>
      </c>
      <c r="D26" s="621">
        <f t="shared" si="9"/>
        <v>8500</v>
      </c>
      <c r="E26" s="621">
        <f t="shared" si="4"/>
        <v>872984.30080000008</v>
      </c>
      <c r="F26" s="625" t="str">
        <f t="shared" si="5"/>
        <v>1.00%</v>
      </c>
      <c r="G26" s="621">
        <f t="shared" si="6"/>
        <v>8729.8430080000016</v>
      </c>
      <c r="H26" s="621">
        <f t="shared" si="7"/>
        <v>17229.843008000003</v>
      </c>
      <c r="I26" s="621">
        <f t="shared" si="10"/>
        <v>1033.7905804800002</v>
      </c>
      <c r="J26" s="621">
        <f t="shared" si="8"/>
        <v>18263.633588480003</v>
      </c>
    </row>
    <row r="27" spans="1:10">
      <c r="A27" s="617" t="s">
        <v>238</v>
      </c>
      <c r="B27" s="621">
        <f>'IJKL Financial'!C50+'IJKL Financial'!C52+'IJKL Financial'!C62</f>
        <v>80659501.625807986</v>
      </c>
      <c r="C27" s="621">
        <v>10000000</v>
      </c>
      <c r="D27" s="621">
        <f t="shared" si="9"/>
        <v>81000</v>
      </c>
      <c r="E27" s="621">
        <f t="shared" si="4"/>
        <v>70659501.625807986</v>
      </c>
      <c r="F27" s="625" t="str">
        <f t="shared" si="5"/>
        <v>0.65%</v>
      </c>
      <c r="G27" s="621">
        <f t="shared" si="6"/>
        <v>459286.76056775189</v>
      </c>
      <c r="H27" s="621">
        <f t="shared" si="7"/>
        <v>540286.76056775195</v>
      </c>
      <c r="I27" s="621">
        <f t="shared" si="10"/>
        <v>194503.23380439071</v>
      </c>
      <c r="J27" s="621">
        <f t="shared" si="8"/>
        <v>734789.99437214271</v>
      </c>
    </row>
    <row r="28" spans="1:10">
      <c r="A28" s="617" t="s">
        <v>239</v>
      </c>
      <c r="B28" s="621">
        <f>'MN Financial'!C35+'MN Financial'!C37+'MN Financial'!C47</f>
        <v>17013110.399999999</v>
      </c>
      <c r="C28" s="621">
        <v>500000</v>
      </c>
      <c r="D28" s="621">
        <f t="shared" si="9"/>
        <v>8500</v>
      </c>
      <c r="E28" s="621">
        <f t="shared" si="4"/>
        <v>16513110.399999999</v>
      </c>
      <c r="F28" s="625" t="str">
        <f t="shared" si="5"/>
        <v>0.65%</v>
      </c>
      <c r="G28" s="621">
        <f t="shared" si="6"/>
        <v>107335.21759999999</v>
      </c>
      <c r="H28" s="621">
        <f t="shared" si="7"/>
        <v>115835.21759999999</v>
      </c>
      <c r="I28" s="621">
        <f t="shared" si="10"/>
        <v>41700.678335999997</v>
      </c>
      <c r="J28" s="621">
        <f t="shared" si="8"/>
        <v>157535.89593599999</v>
      </c>
    </row>
    <row r="29" spans="1:10">
      <c r="E29" s="230"/>
      <c r="F29" s="230"/>
    </row>
    <row r="30" spans="1:10">
      <c r="A30" s="617"/>
      <c r="B30" s="620" t="s">
        <v>256</v>
      </c>
      <c r="C30" s="620"/>
      <c r="D30" s="620"/>
      <c r="E30" s="620"/>
      <c r="F30" s="620"/>
      <c r="G30" s="620"/>
      <c r="H30" s="620"/>
      <c r="I30" s="620"/>
    </row>
    <row r="31" spans="1:10" ht="43.5">
      <c r="A31" s="615" t="s">
        <v>247</v>
      </c>
      <c r="B31" s="616" t="s">
        <v>248</v>
      </c>
      <c r="C31" s="616" t="s">
        <v>257</v>
      </c>
      <c r="D31" s="616" t="s">
        <v>258</v>
      </c>
      <c r="E31" s="624" t="s">
        <v>259</v>
      </c>
      <c r="F31" s="616" t="s">
        <v>260</v>
      </c>
      <c r="G31" s="616" t="s">
        <v>261</v>
      </c>
      <c r="H31" s="624" t="s">
        <v>262</v>
      </c>
      <c r="I31" s="624" t="s">
        <v>263</v>
      </c>
    </row>
    <row r="32" spans="1:10">
      <c r="A32" s="617" t="s">
        <v>233</v>
      </c>
      <c r="B32" s="621">
        <f>B22</f>
        <v>6401397.5999999996</v>
      </c>
      <c r="C32" s="621">
        <f>J22</f>
        <v>71324.728999999992</v>
      </c>
      <c r="D32" s="621">
        <f t="shared" ref="D32:D38" si="11">SUM(B32:C32)</f>
        <v>6472722.3289999999</v>
      </c>
      <c r="E32" s="626" t="s">
        <v>264</v>
      </c>
      <c r="F32" s="617">
        <f>G3</f>
        <v>37</v>
      </c>
      <c r="G32" s="627">
        <f>IF(E32="Standard",D32/100*0.015*F32,IF(E32="Preferred",D32/100*0.0075*F32))</f>
        <v>35923.60892595</v>
      </c>
      <c r="H32" s="621">
        <f t="shared" ref="H32:H36" si="12">SUM(D32,G32)</f>
        <v>6508645.9379259497</v>
      </c>
      <c r="I32" s="621">
        <f t="shared" ref="I32:I38" si="13">MROUND(H32,1000)</f>
        <v>6509000</v>
      </c>
    </row>
    <row r="33" spans="1:9">
      <c r="A33" s="617" t="s">
        <v>234</v>
      </c>
      <c r="B33" s="621">
        <f>B23</f>
        <v>111347634.95999999</v>
      </c>
      <c r="C33" s="621">
        <f>J23</f>
        <v>917301.9377775999</v>
      </c>
      <c r="D33" s="621">
        <f t="shared" si="11"/>
        <v>112264936.89777759</v>
      </c>
      <c r="E33" s="626" t="s">
        <v>264</v>
      </c>
      <c r="F33" s="617">
        <f t="shared" ref="F33:F38" si="14">G4</f>
        <v>36</v>
      </c>
      <c r="G33" s="627">
        <f>IF(E33="Standard",D33/100*0.015*F33,IF(E33="Preferred",D33/100*0.0075*F33))</f>
        <v>606230.65924799885</v>
      </c>
      <c r="H33" s="621">
        <f t="shared" si="12"/>
        <v>112871167.55702558</v>
      </c>
      <c r="I33" s="621">
        <f t="shared" si="13"/>
        <v>112871000</v>
      </c>
    </row>
    <row r="34" spans="1:9">
      <c r="A34" s="617" t="s">
        <v>235</v>
      </c>
      <c r="B34" s="621">
        <f t="shared" ref="B34:B38" si="15">B24</f>
        <v>24854199.075576</v>
      </c>
      <c r="C34" s="621">
        <f t="shared" ref="C34:C38" si="16">J24</f>
        <v>209511.7069096679</v>
      </c>
      <c r="D34" s="621">
        <f t="shared" si="11"/>
        <v>25063710.782485668</v>
      </c>
      <c r="E34" s="626" t="s">
        <v>264</v>
      </c>
      <c r="F34" s="617">
        <f t="shared" si="14"/>
        <v>30</v>
      </c>
      <c r="G34" s="627">
        <f>IF(E34="Standard",D34/100*0.015*F34,IF(E34="Preferred",D34/100*0.0075*F34))</f>
        <v>112786.69852118549</v>
      </c>
      <c r="H34" s="621">
        <f t="shared" si="12"/>
        <v>25176497.481006853</v>
      </c>
      <c r="I34" s="621">
        <f t="shared" si="13"/>
        <v>25176000</v>
      </c>
    </row>
    <row r="35" spans="1:9">
      <c r="A35" s="617" t="s">
        <v>236</v>
      </c>
      <c r="B35" s="621">
        <f t="shared" si="15"/>
        <v>26868173.526594002</v>
      </c>
      <c r="C35" s="621">
        <f t="shared" si="16"/>
        <v>236397.47862434766</v>
      </c>
      <c r="D35" s="621">
        <f t="shared" si="11"/>
        <v>27104571.005218349</v>
      </c>
      <c r="E35" s="626" t="s">
        <v>264</v>
      </c>
      <c r="F35" s="617">
        <f t="shared" si="14"/>
        <v>36</v>
      </c>
      <c r="G35" s="627">
        <f t="shared" ref="G35" si="17">IF(E35="Standard",D35/100*0.015*F35,IF(E35="Preferred",D35/100*0.0075*F35))</f>
        <v>146364.68342817907</v>
      </c>
      <c r="H35" s="621">
        <f t="shared" si="12"/>
        <v>27250935.688646529</v>
      </c>
      <c r="I35" s="621">
        <f t="shared" si="13"/>
        <v>27251000</v>
      </c>
    </row>
    <row r="36" spans="1:9">
      <c r="A36" s="617" t="s">
        <v>237</v>
      </c>
      <c r="B36" s="621">
        <f t="shared" si="15"/>
        <v>1372984.3008000001</v>
      </c>
      <c r="C36" s="621">
        <f t="shared" si="16"/>
        <v>18263.633588480003</v>
      </c>
      <c r="D36" s="621">
        <f t="shared" si="11"/>
        <v>1391247.9343884801</v>
      </c>
      <c r="E36" s="626" t="s">
        <v>264</v>
      </c>
      <c r="F36" s="617">
        <f t="shared" si="14"/>
        <v>18</v>
      </c>
      <c r="G36" s="627">
        <f>IF(E36="Standard",D36/100*0.015*F36,IF(E36="Preferred",D36/100*0.0075*F36))</f>
        <v>3756.3694228488962</v>
      </c>
      <c r="H36" s="621">
        <f t="shared" si="12"/>
        <v>1395004.303811329</v>
      </c>
      <c r="I36" s="621">
        <f t="shared" si="13"/>
        <v>1395000</v>
      </c>
    </row>
    <row r="37" spans="1:9">
      <c r="A37" s="617" t="s">
        <v>238</v>
      </c>
      <c r="B37" s="621">
        <f t="shared" si="15"/>
        <v>80659501.625807986</v>
      </c>
      <c r="C37" s="621">
        <f t="shared" si="16"/>
        <v>734789.99437214271</v>
      </c>
      <c r="D37" s="621">
        <f t="shared" si="11"/>
        <v>81394291.62018013</v>
      </c>
      <c r="E37" s="626" t="s">
        <v>264</v>
      </c>
      <c r="F37" s="617">
        <f t="shared" si="14"/>
        <v>48</v>
      </c>
      <c r="G37" s="627">
        <f>IF(E37="Standard",D37/100*0.015*F37,IF(E37="Preferred",D37/100*0.0075*F37))</f>
        <v>586038.89966529689</v>
      </c>
      <c r="H37" s="621">
        <f>SUM(D37,G37)</f>
        <v>81980330.519845426</v>
      </c>
      <c r="I37" s="621">
        <f t="shared" si="13"/>
        <v>81980000</v>
      </c>
    </row>
    <row r="38" spans="1:9">
      <c r="A38" s="617" t="s">
        <v>239</v>
      </c>
      <c r="B38" s="621">
        <f t="shared" si="15"/>
        <v>17013110.399999999</v>
      </c>
      <c r="C38" s="621">
        <f t="shared" si="16"/>
        <v>157535.89593599999</v>
      </c>
      <c r="D38" s="621">
        <f t="shared" si="11"/>
        <v>17170646.295936</v>
      </c>
      <c r="E38" s="626" t="s">
        <v>264</v>
      </c>
      <c r="F38" s="617">
        <f t="shared" si="14"/>
        <v>48</v>
      </c>
      <c r="G38" s="627">
        <f>IF(E38="Standard",D38/100*0.015*F38,IF(E38="Preferred",D38/100*0.0075*F38))</f>
        <v>123628.65333073918</v>
      </c>
      <c r="H38" s="621">
        <f>SUM(D38,G38)</f>
        <v>17294274.949266739</v>
      </c>
      <c r="I38" s="621">
        <f t="shared" si="13"/>
        <v>17294000</v>
      </c>
    </row>
    <row r="39" spans="1:9">
      <c r="B39" s="230"/>
      <c r="C39" s="230"/>
      <c r="D39" s="230"/>
      <c r="E39" s="327"/>
      <c r="G39" s="230"/>
      <c r="H39" s="230"/>
      <c r="I39" s="230"/>
    </row>
  </sheetData>
  <mergeCells count="4">
    <mergeCell ref="B1:G1"/>
    <mergeCell ref="B11:F11"/>
    <mergeCell ref="B20:J20"/>
    <mergeCell ref="B30:I30"/>
  </mergeCells>
  <pageMargins left="0.7" right="0.7" top="0.75" bottom="0.75" header="0.3" footer="0.3"/>
  <pageSetup scale="61" fitToHeight="0" orientation="landscape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02287-3E5C-4F33-AA71-912F767EADC7}">
  <sheetPr>
    <tabColor theme="6" tint="-0.249977111117893"/>
    <pageSetUpPr fitToPage="1"/>
  </sheetPr>
  <dimension ref="A1:P89"/>
  <sheetViews>
    <sheetView showOutlineSymbols="0" showWhiteSpace="0" topLeftCell="A2" workbookViewId="0">
      <selection activeCell="B61" sqref="B61"/>
    </sheetView>
  </sheetViews>
  <sheetFormatPr defaultColWidth="8.85546875" defaultRowHeight="52.35" customHeight="1"/>
  <cols>
    <col min="1" max="1" width="36.5703125" style="6" bestFit="1" customWidth="1"/>
    <col min="2" max="2" width="22.85546875" style="6" bestFit="1" customWidth="1"/>
    <col min="3" max="3" width="25.42578125" style="6" bestFit="1" customWidth="1"/>
    <col min="4" max="4" width="13.140625" style="6" customWidth="1"/>
    <col min="5" max="5" width="18.140625" style="6" bestFit="1" customWidth="1"/>
    <col min="6" max="6" width="26.140625" style="6" customWidth="1"/>
    <col min="7" max="7" width="13.140625" style="6" bestFit="1" customWidth="1"/>
    <col min="8" max="8" width="24.5703125" style="6" customWidth="1"/>
    <col min="9" max="9" width="12.140625" style="6" bestFit="1" customWidth="1"/>
    <col min="10" max="10" width="20.140625" style="6" customWidth="1"/>
    <col min="11" max="11" width="13.85546875" style="6" bestFit="1" customWidth="1"/>
    <col min="12" max="12" width="8.85546875" style="6" bestFit="1" customWidth="1"/>
    <col min="13" max="13" width="12.140625" style="6" bestFit="1" customWidth="1"/>
    <col min="14" max="14" width="9" style="6" bestFit="1" customWidth="1"/>
    <col min="15" max="15" width="13.85546875" style="6" bestFit="1" customWidth="1"/>
    <col min="16" max="16" width="13" style="6" bestFit="1" customWidth="1"/>
    <col min="17" max="17" width="8.85546875" style="6"/>
    <col min="18" max="18" width="12.7109375" style="6" bestFit="1" customWidth="1"/>
    <col min="19" max="16384" width="8.85546875" style="6"/>
  </cols>
  <sheetData>
    <row r="1" spans="1:5" ht="13.5" thickBot="1">
      <c r="A1" s="2"/>
      <c r="B1" s="3"/>
      <c r="C1" s="4"/>
      <c r="D1" s="5"/>
    </row>
    <row r="2" spans="1:5" ht="52.35" customHeight="1" thickBot="1">
      <c r="A2" s="428" t="s">
        <v>265</v>
      </c>
      <c r="B2" s="429"/>
      <c r="C2" s="429"/>
      <c r="D2" s="427" t="str">
        <f>'Development Program'!A4</f>
        <v>Creekside Homes</v>
      </c>
      <c r="E2" s="427"/>
    </row>
    <row r="3" spans="1:5" ht="12.95">
      <c r="A3" s="7"/>
      <c r="B3" s="8"/>
      <c r="C3" s="8"/>
      <c r="D3" s="628">
        <v>0</v>
      </c>
      <c r="E3" s="629" t="s">
        <v>266</v>
      </c>
    </row>
    <row r="4" spans="1:5" ht="12.95">
      <c r="A4" s="9" t="s">
        <v>267</v>
      </c>
      <c r="B4" s="10" t="s">
        <v>268</v>
      </c>
      <c r="C4" s="48" t="s">
        <v>269</v>
      </c>
      <c r="D4" s="10" t="s">
        <v>270</v>
      </c>
      <c r="E4" s="11" t="s">
        <v>271</v>
      </c>
    </row>
    <row r="5" spans="1:5" ht="13.5" thickBot="1">
      <c r="A5" s="630" t="s">
        <v>272</v>
      </c>
      <c r="B5" s="631">
        <v>12</v>
      </c>
      <c r="C5" s="631">
        <v>3725</v>
      </c>
      <c r="D5" s="632">
        <f>Assumptions!D17</f>
        <v>237</v>
      </c>
      <c r="E5" s="633">
        <f>D5*C5*B5</f>
        <v>10593900</v>
      </c>
    </row>
    <row r="6" spans="1:5" ht="52.35" hidden="1" customHeight="1">
      <c r="A6" s="630"/>
      <c r="B6" s="631"/>
      <c r="C6" s="634"/>
      <c r="D6" s="632"/>
      <c r="E6" s="633"/>
    </row>
    <row r="7" spans="1:5" ht="12.95" hidden="1">
      <c r="A7" s="232"/>
      <c r="B7" s="635"/>
      <c r="C7" s="636"/>
      <c r="D7" s="632"/>
      <c r="E7" s="633"/>
    </row>
    <row r="8" spans="1:5" ht="12.95" hidden="1">
      <c r="A8" s="232"/>
      <c r="B8" s="631"/>
      <c r="C8" s="634"/>
      <c r="D8" s="632"/>
      <c r="E8" s="633"/>
    </row>
    <row r="9" spans="1:5" ht="12.6" hidden="1">
      <c r="A9" s="232"/>
      <c r="B9" s="634"/>
      <c r="C9" s="634"/>
      <c r="D9" s="637"/>
      <c r="E9" s="633"/>
    </row>
    <row r="10" spans="1:5" ht="12.95" hidden="1" thickBot="1">
      <c r="A10" s="232"/>
      <c r="B10" s="634"/>
      <c r="C10" s="634"/>
      <c r="D10" s="637"/>
      <c r="E10" s="638"/>
    </row>
    <row r="11" spans="1:5" ht="14.1" thickTop="1" thickBot="1">
      <c r="A11" s="12" t="s">
        <v>273</v>
      </c>
      <c r="B11" s="13">
        <f>SUM(B5:B10)</f>
        <v>12</v>
      </c>
      <c r="C11" s="14">
        <f>B5*C5+B6*C6+B7*C7+B8*C8+B9*C9+B10*C10</f>
        <v>44700</v>
      </c>
      <c r="D11" s="15"/>
      <c r="E11" s="639">
        <f>SUM(E5:E10)</f>
        <v>10593900</v>
      </c>
    </row>
    <row r="12" spans="1:5" ht="14.1" thickTop="1" thickBot="1">
      <c r="A12" s="16" t="s">
        <v>274</v>
      </c>
      <c r="B12" s="17"/>
      <c r="C12" s="18">
        <f>C11/B11</f>
        <v>3725</v>
      </c>
      <c r="D12" s="19">
        <f>(E11/12)/C11</f>
        <v>19.75</v>
      </c>
      <c r="E12" s="20"/>
    </row>
    <row r="13" spans="1:5" ht="12.95">
      <c r="A13" s="21"/>
      <c r="B13" s="22"/>
      <c r="C13" s="23"/>
      <c r="D13" s="24"/>
    </row>
    <row r="14" spans="1:5" ht="12.95">
      <c r="A14" s="9" t="s">
        <v>275</v>
      </c>
      <c r="B14" s="10" t="s">
        <v>276</v>
      </c>
      <c r="C14" s="10" t="s">
        <v>277</v>
      </c>
      <c r="D14" s="10" t="s">
        <v>278</v>
      </c>
    </row>
    <row r="15" spans="1:5" ht="12.95">
      <c r="A15" s="640" t="s">
        <v>50</v>
      </c>
      <c r="B15" s="641">
        <v>0</v>
      </c>
      <c r="C15" s="642">
        <v>0</v>
      </c>
      <c r="D15" s="643">
        <f>B15*C15</f>
        <v>0</v>
      </c>
    </row>
    <row r="16" spans="1:5" ht="13.5" thickBot="1">
      <c r="A16" s="644" t="s">
        <v>29</v>
      </c>
      <c r="B16" s="645">
        <v>0</v>
      </c>
      <c r="C16" s="646">
        <v>0</v>
      </c>
      <c r="D16" s="647">
        <f>B16*C16</f>
        <v>0</v>
      </c>
    </row>
    <row r="17" spans="1:5" ht="13.5" thickTop="1" thickBot="1">
      <c r="A17" s="25" t="s">
        <v>279</v>
      </c>
      <c r="B17" s="648">
        <f>SUM(B15:B16)</f>
        <v>0</v>
      </c>
      <c r="C17" s="26">
        <f>IF(B17=0,0,D17/B17)</f>
        <v>0</v>
      </c>
      <c r="D17" s="27">
        <f>SUM(D15:D16)</f>
        <v>0</v>
      </c>
      <c r="E17" s="28"/>
    </row>
    <row r="18" spans="1:5" ht="12.95">
      <c r="A18" s="649" t="s">
        <v>280</v>
      </c>
      <c r="B18" s="650" t="str">
        <f>D2</f>
        <v>Creekside Homes</v>
      </c>
    </row>
    <row r="19" spans="1:5" ht="12.95">
      <c r="A19" s="514" t="s">
        <v>281</v>
      </c>
      <c r="B19" s="651">
        <v>24</v>
      </c>
      <c r="C19" s="29"/>
      <c r="D19" s="30"/>
    </row>
    <row r="20" spans="1:5" ht="13.5" thickBot="1">
      <c r="A20" s="515" t="s">
        <v>282</v>
      </c>
      <c r="B20" s="651">
        <v>26</v>
      </c>
      <c r="C20" s="310" t="s">
        <v>283</v>
      </c>
      <c r="D20" s="30"/>
    </row>
    <row r="21" spans="1:5" ht="13.5" thickTop="1" thickBot="1">
      <c r="A21" s="31" t="s">
        <v>284</v>
      </c>
      <c r="B21" s="32">
        <f>SUM(B19:B20)</f>
        <v>50</v>
      </c>
      <c r="C21" s="29"/>
      <c r="D21" s="30"/>
    </row>
    <row r="22" spans="1:5" ht="12.95">
      <c r="A22" s="652" t="s">
        <v>285</v>
      </c>
      <c r="B22" s="653" t="str">
        <f>D2</f>
        <v>Creekside Homes</v>
      </c>
      <c r="C22" s="33"/>
      <c r="D22" s="33"/>
      <c r="E22" s="33"/>
    </row>
    <row r="23" spans="1:5" ht="12.95">
      <c r="A23" s="654" t="s">
        <v>286</v>
      </c>
      <c r="B23" s="655">
        <f>'Development Program'!C4</f>
        <v>54279.03</v>
      </c>
      <c r="C23" s="34"/>
      <c r="D23" s="35"/>
      <c r="E23" s="33"/>
    </row>
    <row r="24" spans="1:5" ht="12.95">
      <c r="A24" s="654" t="s">
        <v>287</v>
      </c>
      <c r="B24" s="655">
        <f>C11+B17</f>
        <v>44700</v>
      </c>
      <c r="C24" s="34"/>
      <c r="D24" s="35"/>
      <c r="E24" s="33"/>
    </row>
    <row r="25" spans="1:5" ht="12.95">
      <c r="A25" s="656">
        <v>0</v>
      </c>
      <c r="B25" s="655">
        <v>0</v>
      </c>
      <c r="C25" s="34" t="s">
        <v>288</v>
      </c>
      <c r="D25" s="35"/>
      <c r="E25" s="33"/>
    </row>
    <row r="26" spans="1:5" ht="12.95">
      <c r="A26" s="657">
        <v>0.05</v>
      </c>
      <c r="B26" s="655">
        <f>(1+A26)*(B24+B25)</f>
        <v>46935</v>
      </c>
      <c r="D26" s="35"/>
      <c r="E26" s="33"/>
    </row>
    <row r="27" spans="1:5" ht="13.5" thickBot="1">
      <c r="A27" s="658">
        <f>3</f>
        <v>3</v>
      </c>
      <c r="B27" s="659">
        <f>B26/A27</f>
        <v>15645</v>
      </c>
      <c r="C27" s="34"/>
      <c r="D27" s="35"/>
      <c r="E27" s="33"/>
    </row>
    <row r="28" spans="1:5" ht="33.75" customHeight="1" thickBot="1">
      <c r="A28" s="436" t="s">
        <v>289</v>
      </c>
      <c r="B28" s="437"/>
      <c r="C28" s="660" t="str">
        <f>D2</f>
        <v>Creekside Homes</v>
      </c>
      <c r="D28" s="661"/>
      <c r="E28" s="33"/>
    </row>
    <row r="29" spans="1:5" ht="13.5" thickBot="1">
      <c r="A29" s="662" t="s">
        <v>290</v>
      </c>
      <c r="B29" s="663" t="s">
        <v>291</v>
      </c>
      <c r="C29" s="663" t="s">
        <v>292</v>
      </c>
      <c r="D29" s="664" t="s">
        <v>293</v>
      </c>
      <c r="E29" s="33"/>
    </row>
    <row r="30" spans="1:5" ht="12.6">
      <c r="A30" s="665" t="s">
        <v>294</v>
      </c>
      <c r="B30" s="666">
        <f>D30/B11</f>
        <v>882825</v>
      </c>
      <c r="C30" s="667">
        <f>D30/C11</f>
        <v>237</v>
      </c>
      <c r="D30" s="36">
        <f>E11</f>
        <v>10593900</v>
      </c>
      <c r="E30" s="33"/>
    </row>
    <row r="31" spans="1:5" ht="12.95" thickBot="1">
      <c r="A31" s="668">
        <v>0.03</v>
      </c>
      <c r="B31" s="669"/>
      <c r="C31" s="435"/>
      <c r="D31" s="670">
        <f>-A31*D30</f>
        <v>-317817</v>
      </c>
      <c r="E31" s="33"/>
    </row>
    <row r="32" spans="1:5" ht="14.1" thickTop="1" thickBot="1">
      <c r="A32" s="671"/>
      <c r="B32" s="672" t="s">
        <v>295</v>
      </c>
      <c r="C32" s="672"/>
      <c r="D32" s="673">
        <f>SUM(D30:D31)</f>
        <v>10276083</v>
      </c>
      <c r="E32" s="33"/>
    </row>
    <row r="33" spans="1:6" ht="13.5" thickBot="1">
      <c r="A33" s="438" t="s">
        <v>296</v>
      </c>
      <c r="B33" s="439"/>
      <c r="C33" s="430" t="str">
        <f>D2</f>
        <v>Creekside Homes</v>
      </c>
      <c r="D33" s="430"/>
    </row>
    <row r="34" spans="1:6" ht="13.5" thickBot="1">
      <c r="A34" s="652"/>
      <c r="B34" s="48" t="s">
        <v>297</v>
      </c>
      <c r="C34" s="48" t="s">
        <v>298</v>
      </c>
      <c r="D34" s="48" t="s">
        <v>291</v>
      </c>
    </row>
    <row r="35" spans="1:6" ht="12.6">
      <c r="A35" s="674" t="s">
        <v>299</v>
      </c>
      <c r="B35" s="675">
        <f>Assumptions!F25</f>
        <v>130</v>
      </c>
      <c r="C35" s="676">
        <f>B35*(C11+B17)</f>
        <v>5811000</v>
      </c>
      <c r="D35" s="677">
        <f t="shared" ref="D35:D40" si="0">C35/$B$11</f>
        <v>484250</v>
      </c>
    </row>
    <row r="36" spans="1:6" ht="12.6">
      <c r="A36" s="49" t="s">
        <v>288</v>
      </c>
      <c r="B36" s="678">
        <v>533.52</v>
      </c>
      <c r="C36" s="50">
        <f>B21*B36</f>
        <v>26676</v>
      </c>
      <c r="D36" s="677">
        <f t="shared" si="0"/>
        <v>2223</v>
      </c>
    </row>
    <row r="37" spans="1:6" ht="12.95">
      <c r="A37" s="49" t="s">
        <v>300</v>
      </c>
      <c r="B37" s="679">
        <v>0.08</v>
      </c>
      <c r="C37" s="50">
        <f>B37*C35</f>
        <v>464880</v>
      </c>
      <c r="D37" s="677">
        <f t="shared" si="0"/>
        <v>38740</v>
      </c>
    </row>
    <row r="38" spans="1:6" ht="12.95">
      <c r="A38" s="49" t="s">
        <v>191</v>
      </c>
      <c r="B38" s="679"/>
      <c r="C38" s="50"/>
      <c r="D38" s="677">
        <f t="shared" si="0"/>
        <v>0</v>
      </c>
    </row>
    <row r="39" spans="1:6" ht="12.6">
      <c r="A39" s="49" t="s">
        <v>301</v>
      </c>
      <c r="B39" s="680">
        <f>Assumptions!F43</f>
        <v>10.5</v>
      </c>
      <c r="C39" s="50">
        <f>B39*'Development Program'!C4</f>
        <v>569929.81499999994</v>
      </c>
      <c r="D39" s="677">
        <f t="shared" si="0"/>
        <v>47494.151249999995</v>
      </c>
      <c r="F39" s="311"/>
    </row>
    <row r="40" spans="1:6" ht="24.95">
      <c r="A40" s="49" t="str">
        <f>Assumptions!E27</f>
        <v>Stormwater Utility Fee</v>
      </c>
      <c r="B40" s="681" t="str">
        <f>Assumptions!F27</f>
        <v>(Non Residential SF/3000 ) * $72</v>
      </c>
      <c r="C40" s="50">
        <f>(B17/3000)*72</f>
        <v>0</v>
      </c>
      <c r="D40" s="677">
        <f t="shared" si="0"/>
        <v>0</v>
      </c>
      <c r="F40" s="311"/>
    </row>
    <row r="41" spans="1:6" ht="12.95">
      <c r="A41" s="49" t="s">
        <v>302</v>
      </c>
      <c r="B41" s="682" t="str">
        <f>Assumptions!F28</f>
        <v>Estimate Calculation</v>
      </c>
      <c r="C41" s="50">
        <f>1799.5+((C35-500000)/1000)*3</f>
        <v>17732.5</v>
      </c>
      <c r="D41" s="683">
        <f>C41/B11</f>
        <v>1477.7083333333333</v>
      </c>
    </row>
    <row r="42" spans="1:6" ht="12.6">
      <c r="A42" s="49" t="s">
        <v>303</v>
      </c>
      <c r="B42" s="684" t="s">
        <v>304</v>
      </c>
      <c r="C42" s="50">
        <f>'Development Program'!C18+'Development Program'!C19</f>
        <v>277520</v>
      </c>
      <c r="D42" s="677">
        <f>C42/$B$11</f>
        <v>23126.666666666668</v>
      </c>
    </row>
    <row r="43" spans="1:6" ht="12.6">
      <c r="A43" s="514" t="s">
        <v>88</v>
      </c>
      <c r="B43" s="685">
        <f>Assumptions!F30</f>
        <v>7.4999999999999997E-3</v>
      </c>
      <c r="C43" s="686">
        <f>B43*C35</f>
        <v>43582.5</v>
      </c>
      <c r="D43" s="677">
        <f t="shared" ref="D43:D44" si="1">C43/$B$11</f>
        <v>3631.875</v>
      </c>
    </row>
    <row r="44" spans="1:6" ht="12.6">
      <c r="A44" s="514" t="s">
        <v>90</v>
      </c>
      <c r="B44" s="687">
        <f>Assumptions!F31</f>
        <v>1.4999999999999999E-2</v>
      </c>
      <c r="C44" s="686">
        <f>C39*B44</f>
        <v>8548.9472249999981</v>
      </c>
      <c r="D44" s="677">
        <f t="shared" si="1"/>
        <v>712.41226874999984</v>
      </c>
      <c r="E44" s="51"/>
    </row>
    <row r="45" spans="1:6" ht="12.6">
      <c r="A45" s="514" t="s">
        <v>305</v>
      </c>
      <c r="B45" s="688">
        <f>Assumptions!F32</f>
        <v>7.0000000000000007E-2</v>
      </c>
      <c r="C45" s="686">
        <f>B45*(C35+C37)</f>
        <v>439311.60000000003</v>
      </c>
      <c r="D45" s="677">
        <f>C45/$B$11</f>
        <v>36609.300000000003</v>
      </c>
    </row>
    <row r="46" spans="1:6" ht="12.6">
      <c r="A46" s="514" t="s">
        <v>94</v>
      </c>
      <c r="B46" s="689">
        <v>0.03</v>
      </c>
      <c r="C46" s="690">
        <f>B46*SUM(C35:C45)</f>
        <v>229775.44086674997</v>
      </c>
      <c r="D46" s="677">
        <f>C46/$B$11</f>
        <v>19147.953405562497</v>
      </c>
    </row>
    <row r="47" spans="1:6" ht="12.6">
      <c r="A47" s="514" t="s">
        <v>306</v>
      </c>
      <c r="B47" s="688">
        <f>Assumptions!F34</f>
        <v>0.02</v>
      </c>
      <c r="C47" s="686">
        <f>B47*(C35+C37)</f>
        <v>125517.6</v>
      </c>
      <c r="D47" s="677">
        <f t="shared" ref="D47:D56" si="2">C47/$B$11</f>
        <v>10459.800000000001</v>
      </c>
    </row>
    <row r="48" spans="1:6" ht="12.6">
      <c r="A48" s="514" t="s">
        <v>307</v>
      </c>
      <c r="B48" s="691">
        <f>Assumptions!F35</f>
        <v>0.04</v>
      </c>
      <c r="C48" s="686">
        <f>B48*C39</f>
        <v>22797.192599999998</v>
      </c>
      <c r="D48" s="677">
        <f t="shared" si="2"/>
        <v>1899.76605</v>
      </c>
    </row>
    <row r="49" spans="1:16" ht="12.6">
      <c r="A49" s="514" t="s">
        <v>100</v>
      </c>
      <c r="B49" s="684" t="str">
        <f>Assumptions!F36</f>
        <v>Estimate</v>
      </c>
      <c r="C49" s="686">
        <f>'Insurance Calculations'!G32</f>
        <v>35923.60892595</v>
      </c>
      <c r="D49" s="677">
        <f t="shared" si="2"/>
        <v>2993.6340771625</v>
      </c>
      <c r="O49" s="324"/>
      <c r="P49" s="324"/>
    </row>
    <row r="50" spans="1:16" ht="12.95">
      <c r="A50" s="514" t="s">
        <v>308</v>
      </c>
      <c r="B50" s="692" t="s">
        <v>101</v>
      </c>
      <c r="C50" s="693">
        <v>7000</v>
      </c>
      <c r="D50" s="677">
        <f t="shared" si="2"/>
        <v>583.33333333333337</v>
      </c>
      <c r="O50" s="324"/>
      <c r="P50" s="324"/>
    </row>
    <row r="51" spans="1:16" ht="12.95">
      <c r="A51" s="514" t="s">
        <v>105</v>
      </c>
      <c r="B51" s="692"/>
      <c r="C51" s="693"/>
      <c r="D51" s="677">
        <v>0</v>
      </c>
      <c r="O51" s="324"/>
      <c r="P51" s="324"/>
    </row>
    <row r="52" spans="1:16" ht="12.95">
      <c r="A52" s="514" t="s">
        <v>309</v>
      </c>
      <c r="B52" s="173"/>
      <c r="C52" s="686"/>
      <c r="D52" s="677">
        <f t="shared" si="2"/>
        <v>0</v>
      </c>
      <c r="O52" s="324"/>
      <c r="P52" s="324"/>
    </row>
    <row r="53" spans="1:16" ht="12.95">
      <c r="A53" s="514" t="s">
        <v>310</v>
      </c>
      <c r="B53" s="485"/>
      <c r="C53" s="690"/>
      <c r="D53" s="677">
        <f t="shared" si="2"/>
        <v>0</v>
      </c>
      <c r="O53" s="324"/>
      <c r="P53" s="324"/>
    </row>
    <row r="54" spans="1:16" ht="12.95">
      <c r="A54" s="514" t="s">
        <v>108</v>
      </c>
      <c r="B54" s="486">
        <v>1.4999999999999999E-2</v>
      </c>
      <c r="C54" s="690">
        <v>83536.086970476012</v>
      </c>
      <c r="D54" s="677">
        <f t="shared" si="2"/>
        <v>6961.3405808730013</v>
      </c>
      <c r="E54" s="433" t="s">
        <v>311</v>
      </c>
      <c r="F54" s="434"/>
      <c r="G54" s="52">
        <f>B54*B67</f>
        <v>76982.097277053545</v>
      </c>
      <c r="O54" s="324"/>
      <c r="P54" s="324"/>
    </row>
    <row r="55" spans="1:16" ht="12.95">
      <c r="A55" s="694" t="s">
        <v>109</v>
      </c>
      <c r="B55" s="487">
        <v>7.0000000000000007E-2</v>
      </c>
      <c r="C55" s="690">
        <v>389835.07252888812</v>
      </c>
      <c r="D55" s="677">
        <f t="shared" si="2"/>
        <v>32486.256044074009</v>
      </c>
      <c r="E55" s="433" t="s">
        <v>311</v>
      </c>
      <c r="F55" s="434"/>
      <c r="G55" s="53">
        <f>B55*B67</f>
        <v>359249.78729291662</v>
      </c>
      <c r="O55" s="324"/>
      <c r="P55" s="324"/>
    </row>
    <row r="56" spans="1:16" ht="13.5" thickBot="1">
      <c r="A56" s="515" t="s">
        <v>312</v>
      </c>
      <c r="B56" s="695"/>
      <c r="C56" s="696"/>
      <c r="D56" s="697">
        <f t="shared" si="2"/>
        <v>0</v>
      </c>
      <c r="O56" s="324"/>
      <c r="P56" s="324"/>
    </row>
    <row r="57" spans="1:16" ht="14.1" thickTop="1" thickBot="1">
      <c r="A57" s="698" t="s">
        <v>313</v>
      </c>
      <c r="B57" s="699"/>
      <c r="C57" s="54">
        <f>SUM(C35:C56)</f>
        <v>8553566.3641170617</v>
      </c>
      <c r="D57" s="54">
        <f>ROUND(C57/$B$11,-3)</f>
        <v>713000</v>
      </c>
      <c r="O57" s="33"/>
      <c r="P57" s="33"/>
    </row>
    <row r="58" spans="1:16" ht="12.95">
      <c r="A58" s="700"/>
      <c r="B58" s="701"/>
      <c r="O58" s="33"/>
      <c r="P58" s="33"/>
    </row>
    <row r="59" spans="1:16" ht="12.95">
      <c r="A59" s="702" t="s">
        <v>314</v>
      </c>
      <c r="B59" s="703">
        <f>(D32/C57)-1</f>
        <v>0.20137993470291438</v>
      </c>
      <c r="C59" s="55"/>
      <c r="D59" s="56"/>
      <c r="O59" s="33"/>
      <c r="P59" s="33"/>
    </row>
    <row r="60" spans="1:16" ht="13.5" thickBot="1">
      <c r="A60" s="704">
        <v>0.2</v>
      </c>
      <c r="B60" s="705">
        <f>(D32/(1+A60))</f>
        <v>8563402.5</v>
      </c>
      <c r="O60" s="33"/>
      <c r="P60" s="33"/>
    </row>
    <row r="61" spans="1:16" ht="13.5" thickBot="1">
      <c r="A61" s="706">
        <v>0.2</v>
      </c>
      <c r="B61" s="705">
        <f>ROUND((D32/(1+A61)-C57),-3)</f>
        <v>10000</v>
      </c>
      <c r="C61" s="57" t="s">
        <v>315</v>
      </c>
      <c r="O61" s="33"/>
      <c r="P61" s="33"/>
    </row>
    <row r="62" spans="1:16" ht="13.5" thickBot="1">
      <c r="A62" s="58"/>
      <c r="B62" s="59"/>
      <c r="O62" s="33"/>
      <c r="P62" s="33"/>
    </row>
    <row r="63" spans="1:16" ht="33.75" customHeight="1" thickBot="1">
      <c r="A63" s="431" t="s">
        <v>316</v>
      </c>
      <c r="B63" s="432"/>
      <c r="C63" s="707" t="str">
        <f>D2</f>
        <v>Creekside Homes</v>
      </c>
      <c r="O63" s="33"/>
      <c r="P63" s="33"/>
    </row>
    <row r="64" spans="1:16" ht="13.5" thickBot="1">
      <c r="A64" s="708"/>
      <c r="B64" s="709" t="s">
        <v>211</v>
      </c>
      <c r="C64" s="710" t="s">
        <v>291</v>
      </c>
      <c r="O64" s="33"/>
      <c r="P64" s="33"/>
    </row>
    <row r="65" spans="1:16" ht="12.95">
      <c r="A65" s="60" t="s">
        <v>317</v>
      </c>
      <c r="B65" s="206">
        <f>IF(B61&lt;0,B61,0)</f>
        <v>0</v>
      </c>
      <c r="C65" s="711">
        <f>B65/B11</f>
        <v>0</v>
      </c>
      <c r="O65" s="33"/>
      <c r="P65" s="33"/>
    </row>
    <row r="66" spans="1:16" ht="12.95">
      <c r="A66" s="62" t="s">
        <v>318</v>
      </c>
      <c r="B66" s="206">
        <f>C57+B65</f>
        <v>8553566.3641170617</v>
      </c>
      <c r="C66" s="711">
        <f>B66/B11</f>
        <v>712797.19700975518</v>
      </c>
      <c r="O66" s="33"/>
      <c r="P66" s="33"/>
    </row>
    <row r="67" spans="1:16" ht="12.95">
      <c r="A67" s="712">
        <f>Assumptions!H16</f>
        <v>0.6</v>
      </c>
      <c r="B67" s="207">
        <f>A67*C$57</f>
        <v>5132139.8184702368</v>
      </c>
      <c r="C67" s="208">
        <f>B67/B11</f>
        <v>427678.31820585305</v>
      </c>
      <c r="D67" s="56"/>
      <c r="O67" s="33"/>
      <c r="P67" s="33"/>
    </row>
    <row r="68" spans="1:16" ht="12.95" thickBot="1">
      <c r="A68" s="713">
        <f>1-A67</f>
        <v>0.4</v>
      </c>
      <c r="B68" s="207">
        <f>A68*C$57</f>
        <v>3421426.5456468249</v>
      </c>
      <c r="C68" s="714">
        <f>B68/B11</f>
        <v>285118.87880390207</v>
      </c>
      <c r="D68" s="56"/>
      <c r="O68" s="325"/>
      <c r="P68" s="33"/>
    </row>
    <row r="69" spans="1:16" ht="13.5" thickTop="1">
      <c r="A69" s="97" t="s">
        <v>319</v>
      </c>
      <c r="B69" s="715">
        <f>B67+B68</f>
        <v>8553566.3641170617</v>
      </c>
      <c r="C69" s="209">
        <f>ROUND((C68+C67),-3)</f>
        <v>713000</v>
      </c>
      <c r="O69" s="33"/>
      <c r="P69" s="325"/>
    </row>
    <row r="70" spans="1:16" ht="13.5" thickBot="1">
      <c r="A70" s="716"/>
      <c r="B70" s="717"/>
      <c r="C70" s="718"/>
      <c r="P70" s="33"/>
    </row>
    <row r="71" spans="1:16" ht="33.75" customHeight="1" thickBot="1">
      <c r="A71" s="431" t="s">
        <v>320</v>
      </c>
      <c r="B71" s="432"/>
      <c r="C71" s="707" t="str">
        <f>D2</f>
        <v>Creekside Homes</v>
      </c>
    </row>
    <row r="72" spans="1:16" ht="13.5" thickBot="1">
      <c r="A72" s="66"/>
      <c r="B72" s="719" t="s">
        <v>321</v>
      </c>
      <c r="C72" s="719"/>
    </row>
    <row r="73" spans="1:16" ht="12.6">
      <c r="A73" s="720" t="s">
        <v>294</v>
      </c>
      <c r="B73" s="721">
        <f>ROUND(D32,-3)</f>
        <v>10276000</v>
      </c>
      <c r="C73" s="722"/>
    </row>
    <row r="74" spans="1:16" ht="13.5" thickBot="1">
      <c r="A74" s="723">
        <v>0.03</v>
      </c>
      <c r="B74" s="724">
        <f>-A74*B73</f>
        <v>-308280</v>
      </c>
      <c r="C74" s="725"/>
    </row>
    <row r="75" spans="1:16" ht="13.5" thickTop="1" thickBot="1">
      <c r="A75" s="726" t="s">
        <v>295</v>
      </c>
      <c r="B75" s="210">
        <f>B73+B74</f>
        <v>9967720</v>
      </c>
      <c r="C75" s="67"/>
      <c r="E75" s="68"/>
    </row>
    <row r="76" spans="1:16" ht="12.6">
      <c r="A76" s="720" t="s">
        <v>322</v>
      </c>
      <c r="B76" s="721">
        <f>-B67</f>
        <v>-5132139.8184702368</v>
      </c>
      <c r="C76" s="722"/>
    </row>
    <row r="77" spans="1:16" ht="12.95" thickBot="1">
      <c r="A77" s="727" t="s">
        <v>323</v>
      </c>
      <c r="B77" s="728">
        <f>-B68</f>
        <v>-3421426.5456468249</v>
      </c>
      <c r="C77" s="725"/>
    </row>
    <row r="78" spans="1:16" ht="14.1" thickTop="1" thickBot="1">
      <c r="A78" s="109" t="s">
        <v>324</v>
      </c>
      <c r="B78" s="211">
        <f>ROUND(B75+B76+B77,-2)</f>
        <v>1414200</v>
      </c>
      <c r="C78" s="69"/>
      <c r="D78" s="70"/>
    </row>
    <row r="79" spans="1:16" ht="13.5" thickBot="1">
      <c r="A79" s="729" t="s">
        <v>325</v>
      </c>
      <c r="B79" s="730"/>
      <c r="C79" s="731"/>
    </row>
    <row r="80" spans="1:16" ht="12.6">
      <c r="A80" s="732" t="s">
        <v>326</v>
      </c>
      <c r="B80" s="733">
        <f>ROUND((B73)/B$11,-2)</f>
        <v>856300</v>
      </c>
      <c r="C80" s="733"/>
    </row>
    <row r="81" spans="1:4" ht="12.95" thickBot="1">
      <c r="A81" s="734" t="s">
        <v>327</v>
      </c>
      <c r="B81" s="735">
        <f>ROUND((B75)/B$11,-2)</f>
        <v>830600</v>
      </c>
      <c r="C81" s="735"/>
    </row>
    <row r="82" spans="1:4" ht="12.95">
      <c r="A82" s="736" t="s">
        <v>328</v>
      </c>
      <c r="B82" s="737"/>
      <c r="C82" s="738"/>
    </row>
    <row r="83" spans="1:4" ht="13.5" thickBot="1">
      <c r="A83" s="716"/>
      <c r="B83" s="71"/>
      <c r="C83" s="71"/>
    </row>
    <row r="84" spans="1:4" ht="12.95">
      <c r="A84" s="72"/>
      <c r="B84" s="719" t="s">
        <v>321</v>
      </c>
      <c r="C84" s="719"/>
    </row>
    <row r="85" spans="1:4" ht="12.6">
      <c r="A85" s="739" t="s">
        <v>329</v>
      </c>
      <c r="B85" s="740">
        <f>(B78+B68)/B68</f>
        <v>1.4133363616411188</v>
      </c>
      <c r="C85" s="740"/>
    </row>
    <row r="86" spans="1:4" ht="12.95">
      <c r="A86" s="741" t="s">
        <v>330</v>
      </c>
      <c r="B86" s="742">
        <f>'A Draw'!B38</f>
        <v>9.8485274178135906E-2</v>
      </c>
      <c r="C86" s="742"/>
      <c r="D86" s="73"/>
    </row>
    <row r="87" spans="1:4" ht="12.95">
      <c r="A87" s="741" t="s">
        <v>331</v>
      </c>
      <c r="B87" s="742">
        <f>'A Draw'!B43</f>
        <v>5.9154020297051524E-2</v>
      </c>
      <c r="C87" s="742"/>
      <c r="D87" s="73"/>
    </row>
    <row r="88" spans="1:4" ht="12.6">
      <c r="A88" s="739" t="s">
        <v>332</v>
      </c>
      <c r="B88" s="743" t="s">
        <v>61</v>
      </c>
      <c r="C88" s="743"/>
    </row>
    <row r="89" spans="1:4" ht="12.6">
      <c r="A89" s="739" t="s">
        <v>333</v>
      </c>
      <c r="B89" s="744" t="s">
        <v>61</v>
      </c>
      <c r="C89" s="744"/>
    </row>
  </sheetData>
  <mergeCells count="13">
    <mergeCell ref="D2:E2"/>
    <mergeCell ref="A2:C2"/>
    <mergeCell ref="C33:D33"/>
    <mergeCell ref="A79:C79"/>
    <mergeCell ref="A82:C82"/>
    <mergeCell ref="B32:C32"/>
    <mergeCell ref="A63:B63"/>
    <mergeCell ref="A71:B71"/>
    <mergeCell ref="E54:F54"/>
    <mergeCell ref="E55:F55"/>
    <mergeCell ref="B31:C31"/>
    <mergeCell ref="A28:B28"/>
    <mergeCell ref="A33:B33"/>
  </mergeCells>
  <printOptions horizontalCentered="1" verticalCentered="1"/>
  <pageMargins left="0.7" right="0.7" top="0.75" bottom="0.75" header="0.3" footer="0.3"/>
  <pageSetup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2" manualBreakCount="2">
    <brk id="27" max="4" man="1"/>
    <brk id="57" max="4" man="1"/>
  </rowBreaks>
  <ignoredErrors>
    <ignoredError sqref="D41 C17" formula="1"/>
  </ignoredError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BX600"/>
  <sheetViews>
    <sheetView showOutlineSymbols="0" showWhiteSpace="0" topLeftCell="A31" workbookViewId="0">
      <selection activeCell="AX10" sqref="AV10:AX10"/>
    </sheetView>
  </sheetViews>
  <sheetFormatPr defaultColWidth="8.85546875" defaultRowHeight="14.45"/>
  <cols>
    <col min="1" max="1" width="45.5703125" style="6" customWidth="1"/>
    <col min="2" max="2" width="21.42578125" style="6" customWidth="1"/>
    <col min="3" max="3" width="19" style="6" bestFit="1" customWidth="1"/>
    <col min="4" max="4" width="15" style="6" customWidth="1"/>
    <col min="5" max="6" width="19" style="6" bestFit="1" customWidth="1"/>
    <col min="7" max="7" width="14.42578125" style="116" hidden="1" customWidth="1"/>
    <col min="8" max="8" width="19" style="6" hidden="1" customWidth="1"/>
    <col min="9" max="9" width="18.5703125" style="6" hidden="1" customWidth="1"/>
    <col min="10" max="10" width="16.42578125" style="6" hidden="1" customWidth="1"/>
    <col min="11" max="11" width="15" style="6" hidden="1" customWidth="1"/>
    <col min="12" max="12" width="14.140625" style="6" hidden="1" customWidth="1"/>
    <col min="13" max="13" width="14.42578125" style="6" hidden="1" customWidth="1"/>
    <col min="14" max="14" width="15.42578125" style="6" hidden="1" customWidth="1"/>
    <col min="15" max="15" width="16.140625" style="6" hidden="1" customWidth="1"/>
    <col min="16" max="16" width="15.42578125" style="6" hidden="1" customWidth="1"/>
    <col min="17" max="17" width="13.85546875" style="6" hidden="1" customWidth="1"/>
    <col min="18" max="18" width="6.5703125" style="6" hidden="1" customWidth="1"/>
    <col min="19" max="19" width="20.5703125" style="6" bestFit="1" customWidth="1"/>
    <col min="20" max="20" width="17.140625" style="6" bestFit="1" customWidth="1"/>
    <col min="21" max="27" width="14.42578125" style="6" customWidth="1"/>
    <col min="28" max="28" width="15.42578125" style="6" bestFit="1" customWidth="1"/>
    <col min="29" max="29" width="14.42578125" style="6" bestFit="1" customWidth="1"/>
    <col min="30" max="31" width="14.42578125" style="6" customWidth="1"/>
    <col min="32" max="32" width="15.42578125" style="6" bestFit="1" customWidth="1"/>
    <col min="33" max="36" width="14.42578125" style="6" customWidth="1"/>
    <col min="37" max="42" width="14.42578125" style="6" hidden="1" customWidth="1"/>
    <col min="43" max="43" width="12.5703125" style="6" hidden="1" customWidth="1"/>
    <col min="44" max="44" width="17" style="6" hidden="1" customWidth="1"/>
    <col min="45" max="45" width="16.42578125" style="6" hidden="1" customWidth="1"/>
    <col min="46" max="46" width="13.42578125" style="6" hidden="1" customWidth="1"/>
    <col min="47" max="47" width="15" style="6" hidden="1" customWidth="1"/>
    <col min="48" max="48" width="20.42578125" style="6" customWidth="1"/>
    <col min="49" max="73" width="17" style="6" customWidth="1"/>
    <col min="74" max="74" width="16.5703125" style="6" customWidth="1"/>
    <col min="75" max="75" width="15" customWidth="1"/>
    <col min="76" max="76" width="17.85546875" bestFit="1" customWidth="1"/>
    <col min="77" max="77" width="9.5703125" style="6" bestFit="1" customWidth="1"/>
    <col min="78" max="78" width="11.85546875" style="6" bestFit="1" customWidth="1"/>
    <col min="79" max="80" width="9.5703125" style="6" bestFit="1" customWidth="1"/>
    <col min="81" max="16384" width="8.85546875" style="6"/>
  </cols>
  <sheetData>
    <row r="1" spans="1:74" ht="15" thickBot="1">
      <c r="A1" s="440" t="str">
        <f>'Development Program'!A28</f>
        <v>Creekside Homes</v>
      </c>
      <c r="B1" s="199" t="s">
        <v>334</v>
      </c>
      <c r="C1" s="184" t="str">
        <f>'Development Program'!B27</f>
        <v>Pre-Development</v>
      </c>
      <c r="D1" s="184" t="str">
        <f>'Development Program'!C27</f>
        <v>Demolition</v>
      </c>
      <c r="E1" s="184" t="str">
        <f>'Development Program'!D27</f>
        <v>Construction</v>
      </c>
      <c r="F1" s="184" t="str">
        <f>'Development Program'!E27</f>
        <v>Close-out</v>
      </c>
      <c r="G1" s="56"/>
    </row>
    <row r="2" spans="1:74" ht="15" thickBot="1">
      <c r="A2" s="441"/>
      <c r="B2" s="745" t="s">
        <v>335</v>
      </c>
      <c r="C2" s="746" t="str">
        <f>'Development Program'!B28</f>
        <v>1/1/2028 to 5/31/2028</v>
      </c>
      <c r="D2" s="747" t="str">
        <f>'Development Program'!C28</f>
        <v>None</v>
      </c>
      <c r="E2" s="746" t="str">
        <f>'Development Program'!D28</f>
        <v>6/1/2028 to 6/30/2031</v>
      </c>
      <c r="F2" s="748" t="str">
        <f>'Development Program'!E28</f>
        <v>7/1/2031 to 3/31/2032</v>
      </c>
      <c r="G2" s="6"/>
      <c r="H2" s="263"/>
      <c r="I2" s="263"/>
      <c r="S2" s="266" t="s">
        <v>336</v>
      </c>
      <c r="T2" s="264" t="s">
        <v>337</v>
      </c>
      <c r="U2" s="216"/>
      <c r="V2" s="216"/>
      <c r="W2" s="216"/>
      <c r="X2" s="216"/>
      <c r="Y2" s="216"/>
      <c r="Z2" s="216"/>
      <c r="AA2" s="216"/>
      <c r="AD2" s="216"/>
      <c r="AE2" s="216"/>
      <c r="AF2" s="264" t="s">
        <v>338</v>
      </c>
      <c r="AG2" s="265" t="s">
        <v>339</v>
      </c>
      <c r="AH2" s="216"/>
      <c r="AI2" s="216"/>
      <c r="AJ2" s="219" t="s">
        <v>340</v>
      </c>
      <c r="AK2" s="216"/>
      <c r="AL2" s="216"/>
      <c r="AM2" s="216"/>
      <c r="AN2" s="216"/>
      <c r="AO2" s="216"/>
      <c r="AP2" s="216"/>
      <c r="AV2" s="443" t="s">
        <v>341</v>
      </c>
      <c r="AW2" s="443"/>
      <c r="AX2" s="443"/>
    </row>
    <row r="3" spans="1:74" ht="15" thickBot="1">
      <c r="A3" s="442"/>
      <c r="B3" s="120" t="s">
        <v>188</v>
      </c>
      <c r="C3" s="186">
        <v>45292</v>
      </c>
      <c r="D3" s="187">
        <f>EOMONTH(C3,3)</f>
        <v>45412</v>
      </c>
      <c r="E3" s="187">
        <f t="shared" ref="E3:AK3" si="0">EOMONTH(D3,3)</f>
        <v>45504</v>
      </c>
      <c r="F3" s="217">
        <f t="shared" si="0"/>
        <v>45596</v>
      </c>
      <c r="G3" s="749">
        <f t="shared" si="0"/>
        <v>45688</v>
      </c>
      <c r="H3" s="749">
        <f t="shared" si="0"/>
        <v>45777</v>
      </c>
      <c r="I3" s="749">
        <f t="shared" si="0"/>
        <v>45869</v>
      </c>
      <c r="J3" s="749">
        <f t="shared" si="0"/>
        <v>45961</v>
      </c>
      <c r="K3" s="749">
        <f t="shared" si="0"/>
        <v>46053</v>
      </c>
      <c r="L3" s="749">
        <f t="shared" si="0"/>
        <v>46142</v>
      </c>
      <c r="M3" s="749">
        <f t="shared" si="0"/>
        <v>46234</v>
      </c>
      <c r="N3" s="749">
        <f t="shared" si="0"/>
        <v>46326</v>
      </c>
      <c r="O3" s="749">
        <f t="shared" si="0"/>
        <v>46418</v>
      </c>
      <c r="P3" s="749">
        <f t="shared" si="0"/>
        <v>46507</v>
      </c>
      <c r="Q3" s="749">
        <f t="shared" si="0"/>
        <v>46599</v>
      </c>
      <c r="R3" s="749">
        <f t="shared" si="0"/>
        <v>46691</v>
      </c>
      <c r="S3" s="187">
        <f t="shared" si="0"/>
        <v>46783</v>
      </c>
      <c r="T3" s="217">
        <f t="shared" si="0"/>
        <v>46873</v>
      </c>
      <c r="U3" s="750">
        <f t="shared" si="0"/>
        <v>46965</v>
      </c>
      <c r="V3" s="751">
        <f t="shared" si="0"/>
        <v>47057</v>
      </c>
      <c r="W3" s="752">
        <f t="shared" si="0"/>
        <v>47149</v>
      </c>
      <c r="X3" s="749">
        <f t="shared" si="0"/>
        <v>47238</v>
      </c>
      <c r="Y3" s="749">
        <f t="shared" si="0"/>
        <v>47330</v>
      </c>
      <c r="Z3" s="749">
        <f t="shared" si="0"/>
        <v>47422</v>
      </c>
      <c r="AA3" s="749">
        <f t="shared" si="0"/>
        <v>47514</v>
      </c>
      <c r="AB3" s="753">
        <f t="shared" si="0"/>
        <v>47603</v>
      </c>
      <c r="AC3" s="753">
        <f t="shared" si="0"/>
        <v>47695</v>
      </c>
      <c r="AD3" s="749">
        <f t="shared" si="0"/>
        <v>47787</v>
      </c>
      <c r="AE3" s="749">
        <f t="shared" si="0"/>
        <v>47879</v>
      </c>
      <c r="AF3" s="749">
        <f t="shared" si="0"/>
        <v>47968</v>
      </c>
      <c r="AG3" s="749">
        <f t="shared" si="0"/>
        <v>48060</v>
      </c>
      <c r="AH3" s="749">
        <f t="shared" si="0"/>
        <v>48152</v>
      </c>
      <c r="AI3" s="749">
        <f t="shared" si="0"/>
        <v>48244</v>
      </c>
      <c r="AJ3" s="749">
        <f t="shared" si="0"/>
        <v>48334</v>
      </c>
      <c r="AK3" s="749">
        <f t="shared" si="0"/>
        <v>48426</v>
      </c>
      <c r="AL3" s="749">
        <f>EOMONTH(AK3,3)</f>
        <v>48518</v>
      </c>
      <c r="AM3" s="749">
        <f t="shared" ref="AM3:AU3" si="1">EOMONTH(AL3,3)</f>
        <v>48610</v>
      </c>
      <c r="AN3" s="749">
        <f t="shared" si="1"/>
        <v>48699</v>
      </c>
      <c r="AO3" s="749">
        <f t="shared" si="1"/>
        <v>48791</v>
      </c>
      <c r="AP3" s="749">
        <f t="shared" si="1"/>
        <v>48883</v>
      </c>
      <c r="AQ3" s="749">
        <f t="shared" si="1"/>
        <v>48975</v>
      </c>
      <c r="AR3" s="749">
        <f t="shared" si="1"/>
        <v>49064</v>
      </c>
      <c r="AS3" s="749">
        <f>EOMONTH(AR3,3)</f>
        <v>49156</v>
      </c>
      <c r="AT3" s="749">
        <f t="shared" si="1"/>
        <v>49248</v>
      </c>
      <c r="AU3" s="749">
        <f t="shared" si="1"/>
        <v>49340</v>
      </c>
      <c r="AV3" s="754" t="s">
        <v>342</v>
      </c>
      <c r="AW3" s="755" t="s">
        <v>343</v>
      </c>
      <c r="AX3" s="754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</row>
    <row r="4" spans="1:74" ht="15" thickBot="1">
      <c r="A4" s="756" t="s">
        <v>344</v>
      </c>
      <c r="B4" s="757">
        <v>1</v>
      </c>
      <c r="C4" s="213">
        <v>0</v>
      </c>
      <c r="D4" s="213">
        <v>0</v>
      </c>
      <c r="E4" s="213">
        <v>0</v>
      </c>
      <c r="F4" s="213">
        <v>0</v>
      </c>
      <c r="G4" s="213">
        <v>0</v>
      </c>
      <c r="H4" s="213">
        <v>0</v>
      </c>
      <c r="I4" s="213">
        <v>0</v>
      </c>
      <c r="J4" s="213">
        <v>0</v>
      </c>
      <c r="K4" s="213">
        <v>0</v>
      </c>
      <c r="L4" s="213">
        <v>0</v>
      </c>
      <c r="M4" s="213">
        <v>0</v>
      </c>
      <c r="N4" s="213">
        <v>0</v>
      </c>
      <c r="O4" s="213">
        <v>0</v>
      </c>
      <c r="P4" s="213">
        <v>0</v>
      </c>
      <c r="Q4" s="213">
        <v>0</v>
      </c>
      <c r="R4" s="213">
        <v>0</v>
      </c>
      <c r="S4" s="213">
        <v>0</v>
      </c>
      <c r="T4" s="213">
        <v>0.05</v>
      </c>
      <c r="U4" s="213">
        <v>0.05</v>
      </c>
      <c r="V4" s="212">
        <v>0.05</v>
      </c>
      <c r="W4" s="213">
        <v>0.05</v>
      </c>
      <c r="X4" s="213">
        <v>0.1</v>
      </c>
      <c r="Y4" s="213">
        <v>0.1</v>
      </c>
      <c r="Z4" s="213">
        <v>0.1</v>
      </c>
      <c r="AA4" s="213">
        <v>0.1</v>
      </c>
      <c r="AB4" s="212">
        <v>0.1</v>
      </c>
      <c r="AC4" s="212">
        <v>0.1</v>
      </c>
      <c r="AD4" s="213">
        <v>0.1</v>
      </c>
      <c r="AE4" s="213">
        <v>0.05</v>
      </c>
      <c r="AF4" s="213">
        <v>0.05</v>
      </c>
      <c r="AG4" s="213"/>
      <c r="AH4" s="213"/>
      <c r="AI4" s="213"/>
      <c r="AJ4" s="213"/>
      <c r="AK4" s="213"/>
      <c r="AL4" s="213"/>
      <c r="AM4" s="213"/>
      <c r="AN4" s="213"/>
      <c r="AO4" s="213"/>
      <c r="AP4" s="213"/>
      <c r="AQ4" s="213"/>
      <c r="AR4" s="213"/>
      <c r="AS4" s="213"/>
      <c r="AT4" s="213"/>
      <c r="AU4" s="213"/>
      <c r="AV4" s="758">
        <f>SUM(C4:AU4)</f>
        <v>1</v>
      </c>
      <c r="AW4" s="759"/>
      <c r="AX4" s="760" t="s">
        <v>345</v>
      </c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</row>
    <row r="5" spans="1:74">
      <c r="A5" s="761" t="str">
        <f>'A Financial'!A35</f>
        <v>Hard Costs for Construction</v>
      </c>
      <c r="B5" s="762">
        <f>'A Financial'!C35</f>
        <v>5811000</v>
      </c>
      <c r="C5" s="763"/>
      <c r="D5" s="763"/>
      <c r="E5" s="763"/>
      <c r="F5" s="763"/>
      <c r="G5" s="763"/>
      <c r="H5" s="763"/>
      <c r="I5" s="763"/>
      <c r="J5" s="763"/>
      <c r="K5" s="763"/>
      <c r="L5" s="763"/>
      <c r="M5" s="763"/>
      <c r="N5" s="763"/>
      <c r="O5" s="763"/>
      <c r="P5" s="763"/>
      <c r="Q5" s="763"/>
      <c r="R5" s="763"/>
      <c r="S5" s="763"/>
      <c r="T5" s="763">
        <f>$B$5*T4</f>
        <v>290550</v>
      </c>
      <c r="U5" s="763">
        <f t="shared" ref="U5:AF5" si="2">$B$5*U4</f>
        <v>290550</v>
      </c>
      <c r="V5" s="763">
        <f t="shared" si="2"/>
        <v>290550</v>
      </c>
      <c r="W5" s="763">
        <f t="shared" si="2"/>
        <v>290550</v>
      </c>
      <c r="X5" s="763">
        <f t="shared" si="2"/>
        <v>581100</v>
      </c>
      <c r="Y5" s="763">
        <f t="shared" si="2"/>
        <v>581100</v>
      </c>
      <c r="Z5" s="763">
        <f t="shared" si="2"/>
        <v>581100</v>
      </c>
      <c r="AA5" s="763">
        <f t="shared" si="2"/>
        <v>581100</v>
      </c>
      <c r="AB5" s="763">
        <f t="shared" si="2"/>
        <v>581100</v>
      </c>
      <c r="AC5" s="763">
        <f t="shared" si="2"/>
        <v>581100</v>
      </c>
      <c r="AD5" s="763">
        <f t="shared" si="2"/>
        <v>581100</v>
      </c>
      <c r="AE5" s="763">
        <f t="shared" si="2"/>
        <v>290550</v>
      </c>
      <c r="AF5" s="763">
        <f t="shared" si="2"/>
        <v>290550</v>
      </c>
      <c r="AG5" s="764"/>
      <c r="AH5" s="764"/>
      <c r="AI5" s="764"/>
      <c r="AJ5" s="764"/>
      <c r="AK5" s="764"/>
      <c r="AL5" s="764"/>
      <c r="AM5" s="764"/>
      <c r="AN5" s="764"/>
      <c r="AO5" s="764"/>
      <c r="AP5" s="764"/>
      <c r="AQ5" s="764"/>
      <c r="AR5" s="764"/>
      <c r="AS5" s="764"/>
      <c r="AT5" s="764"/>
      <c r="AU5" s="764"/>
      <c r="AV5" s="764">
        <f>SUM(C5:AU5)</f>
        <v>5811000</v>
      </c>
      <c r="AW5" s="764">
        <f t="shared" ref="AW5:AW25" si="3">B5</f>
        <v>5811000</v>
      </c>
      <c r="AX5" s="764">
        <f>AW5-AV5</f>
        <v>0</v>
      </c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</row>
    <row r="6" spans="1:74">
      <c r="A6" s="761" t="str">
        <f>'A Financial'!A36</f>
        <v>Surface Parking</v>
      </c>
      <c r="B6" s="762">
        <f>'A Financial'!C36</f>
        <v>26676</v>
      </c>
      <c r="C6" s="763"/>
      <c r="D6" s="763"/>
      <c r="E6" s="763"/>
      <c r="F6" s="763"/>
      <c r="G6" s="763"/>
      <c r="H6" s="763"/>
      <c r="I6" s="763"/>
      <c r="J6" s="763"/>
      <c r="K6" s="763"/>
      <c r="L6" s="763"/>
      <c r="M6" s="763"/>
      <c r="N6" s="763"/>
      <c r="O6" s="763"/>
      <c r="P6" s="763"/>
      <c r="Q6" s="763"/>
      <c r="R6" s="763"/>
      <c r="S6" s="763"/>
      <c r="T6" s="763">
        <f>$B$6*T4</f>
        <v>1333.8000000000002</v>
      </c>
      <c r="U6" s="763">
        <f t="shared" ref="U6:AF6" si="4">$B$6*U4</f>
        <v>1333.8000000000002</v>
      </c>
      <c r="V6" s="763">
        <f t="shared" si="4"/>
        <v>1333.8000000000002</v>
      </c>
      <c r="W6" s="763">
        <f t="shared" si="4"/>
        <v>1333.8000000000002</v>
      </c>
      <c r="X6" s="763">
        <f t="shared" si="4"/>
        <v>2667.6000000000004</v>
      </c>
      <c r="Y6" s="763">
        <f t="shared" si="4"/>
        <v>2667.6000000000004</v>
      </c>
      <c r="Z6" s="763">
        <f t="shared" si="4"/>
        <v>2667.6000000000004</v>
      </c>
      <c r="AA6" s="763">
        <f t="shared" si="4"/>
        <v>2667.6000000000004</v>
      </c>
      <c r="AB6" s="763">
        <f t="shared" si="4"/>
        <v>2667.6000000000004</v>
      </c>
      <c r="AC6" s="763">
        <f t="shared" si="4"/>
        <v>2667.6000000000004</v>
      </c>
      <c r="AD6" s="763">
        <f t="shared" si="4"/>
        <v>2667.6000000000004</v>
      </c>
      <c r="AE6" s="763">
        <f t="shared" si="4"/>
        <v>1333.8000000000002</v>
      </c>
      <c r="AF6" s="763">
        <f t="shared" si="4"/>
        <v>1333.8000000000002</v>
      </c>
      <c r="AG6" s="764"/>
      <c r="AH6" s="764"/>
      <c r="AI6" s="764"/>
      <c r="AJ6" s="764"/>
      <c r="AK6" s="764"/>
      <c r="AL6" s="764"/>
      <c r="AM6" s="764"/>
      <c r="AN6" s="764"/>
      <c r="AO6" s="764"/>
      <c r="AP6" s="764"/>
      <c r="AQ6" s="764"/>
      <c r="AR6" s="764"/>
      <c r="AS6" s="764"/>
      <c r="AT6" s="764"/>
      <c r="AU6" s="764"/>
      <c r="AV6" s="764">
        <f>SUM(C6:AU6)</f>
        <v>26676</v>
      </c>
      <c r="AW6" s="764">
        <f t="shared" si="3"/>
        <v>26676</v>
      </c>
      <c r="AX6" s="764">
        <f t="shared" ref="AX6:AX25" si="5">AW6-AV6</f>
        <v>0</v>
      </c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</row>
    <row r="7" spans="1:74">
      <c r="A7" s="761" t="str">
        <f>'A Financial'!A37</f>
        <v>Hard Cost Contingency</v>
      </c>
      <c r="B7" s="762">
        <f>'A Financial'!C37</f>
        <v>464880</v>
      </c>
      <c r="C7" s="763"/>
      <c r="D7" s="763"/>
      <c r="E7" s="763"/>
      <c r="F7" s="763"/>
      <c r="G7" s="763"/>
      <c r="H7" s="763"/>
      <c r="I7" s="763"/>
      <c r="J7" s="763"/>
      <c r="K7" s="763"/>
      <c r="L7" s="763"/>
      <c r="M7" s="763"/>
      <c r="N7" s="763"/>
      <c r="O7" s="763"/>
      <c r="P7" s="763"/>
      <c r="Q7" s="763"/>
      <c r="R7" s="763"/>
      <c r="S7" s="763"/>
      <c r="T7" s="763">
        <f>$B$7*T4</f>
        <v>23244</v>
      </c>
      <c r="U7" s="763">
        <f t="shared" ref="U7:AF7" si="6">$B$7*U4</f>
        <v>23244</v>
      </c>
      <c r="V7" s="763">
        <f t="shared" si="6"/>
        <v>23244</v>
      </c>
      <c r="W7" s="763">
        <f t="shared" si="6"/>
        <v>23244</v>
      </c>
      <c r="X7" s="763">
        <f t="shared" si="6"/>
        <v>46488</v>
      </c>
      <c r="Y7" s="763">
        <f t="shared" si="6"/>
        <v>46488</v>
      </c>
      <c r="Z7" s="763">
        <f t="shared" si="6"/>
        <v>46488</v>
      </c>
      <c r="AA7" s="763">
        <f t="shared" si="6"/>
        <v>46488</v>
      </c>
      <c r="AB7" s="763">
        <f t="shared" si="6"/>
        <v>46488</v>
      </c>
      <c r="AC7" s="763">
        <f t="shared" si="6"/>
        <v>46488</v>
      </c>
      <c r="AD7" s="763">
        <f t="shared" si="6"/>
        <v>46488</v>
      </c>
      <c r="AE7" s="763">
        <f t="shared" si="6"/>
        <v>23244</v>
      </c>
      <c r="AF7" s="763">
        <f t="shared" si="6"/>
        <v>23244</v>
      </c>
      <c r="AG7" s="764"/>
      <c r="AH7" s="764"/>
      <c r="AI7" s="764"/>
      <c r="AJ7" s="764"/>
      <c r="AK7" s="764"/>
      <c r="AL7" s="764"/>
      <c r="AM7" s="764"/>
      <c r="AN7" s="764"/>
      <c r="AO7" s="764"/>
      <c r="AP7" s="764"/>
      <c r="AQ7" s="764"/>
      <c r="AR7" s="764"/>
      <c r="AS7" s="764"/>
      <c r="AT7" s="764"/>
      <c r="AU7" s="764"/>
      <c r="AV7" s="764">
        <f>SUM(C7:AU7)</f>
        <v>464880</v>
      </c>
      <c r="AW7" s="764">
        <f t="shared" si="3"/>
        <v>464880</v>
      </c>
      <c r="AX7" s="764">
        <f t="shared" si="5"/>
        <v>0</v>
      </c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</row>
    <row r="8" spans="1:74">
      <c r="A8" s="761" t="str">
        <f>'A Financial'!A38</f>
        <v>Demolition</v>
      </c>
      <c r="B8" s="762">
        <f>'A Financial'!C38</f>
        <v>0</v>
      </c>
      <c r="C8" s="763"/>
      <c r="D8" s="763"/>
      <c r="E8" s="763"/>
      <c r="F8" s="763"/>
      <c r="G8" s="763"/>
      <c r="H8" s="763"/>
      <c r="I8" s="763"/>
      <c r="J8" s="763"/>
      <c r="K8" s="763"/>
      <c r="L8" s="763"/>
      <c r="M8" s="763"/>
      <c r="N8" s="763"/>
      <c r="O8" s="763"/>
      <c r="P8" s="763"/>
      <c r="Q8" s="763"/>
      <c r="R8" s="763"/>
      <c r="S8" s="763"/>
      <c r="T8" s="763"/>
      <c r="U8" s="763"/>
      <c r="V8" s="763"/>
      <c r="W8" s="764"/>
      <c r="X8" s="764"/>
      <c r="Y8" s="764"/>
      <c r="Z8" s="764"/>
      <c r="AA8" s="764"/>
      <c r="AB8" s="764"/>
      <c r="AC8" s="764"/>
      <c r="AD8" s="764"/>
      <c r="AE8" s="764"/>
      <c r="AF8" s="764"/>
      <c r="AG8" s="764"/>
      <c r="AH8" s="764"/>
      <c r="AI8" s="764"/>
      <c r="AJ8" s="764"/>
      <c r="AK8" s="764"/>
      <c r="AL8" s="764"/>
      <c r="AM8" s="764"/>
      <c r="AN8" s="764"/>
      <c r="AO8" s="764"/>
      <c r="AP8" s="764"/>
      <c r="AQ8" s="764"/>
      <c r="AR8" s="764"/>
      <c r="AS8" s="764"/>
      <c r="AT8" s="764"/>
      <c r="AU8" s="764"/>
      <c r="AV8" s="764">
        <f>SUM(C8:AU8)</f>
        <v>0</v>
      </c>
      <c r="AW8" s="764">
        <f t="shared" si="3"/>
        <v>0</v>
      </c>
      <c r="AX8" s="764">
        <f t="shared" si="5"/>
        <v>0</v>
      </c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</row>
    <row r="9" spans="1:74">
      <c r="A9" s="761" t="str">
        <f>'A Financial'!A39</f>
        <v>LAND</v>
      </c>
      <c r="B9" s="762">
        <f>'A Financial'!C39</f>
        <v>569929.81499999994</v>
      </c>
      <c r="C9" s="214"/>
      <c r="D9" s="765"/>
      <c r="E9" s="763"/>
      <c r="F9" s="763"/>
      <c r="G9" s="766"/>
      <c r="H9" s="766"/>
      <c r="I9" s="763"/>
      <c r="J9" s="767"/>
      <c r="K9" s="765"/>
      <c r="L9" s="765"/>
      <c r="M9" s="768"/>
      <c r="N9" s="765"/>
      <c r="O9" s="765"/>
      <c r="P9" s="765"/>
      <c r="Q9" s="765"/>
      <c r="R9" s="765"/>
      <c r="S9" s="763">
        <f>$B$9</f>
        <v>569929.81499999994</v>
      </c>
      <c r="T9" s="765"/>
      <c r="U9" s="765"/>
      <c r="V9" s="765"/>
      <c r="W9" s="769"/>
      <c r="X9" s="769"/>
      <c r="Y9" s="769"/>
      <c r="Z9" s="769"/>
      <c r="AA9" s="769"/>
      <c r="AB9" s="769"/>
      <c r="AC9" s="769"/>
      <c r="AD9" s="769"/>
      <c r="AE9" s="769"/>
      <c r="AF9" s="769"/>
      <c r="AG9" s="769"/>
      <c r="AH9" s="769"/>
      <c r="AI9" s="769"/>
      <c r="AJ9" s="769"/>
      <c r="AK9" s="769"/>
      <c r="AL9" s="769"/>
      <c r="AM9" s="769"/>
      <c r="AN9" s="769"/>
      <c r="AO9" s="769"/>
      <c r="AP9" s="769"/>
      <c r="AQ9" s="769"/>
      <c r="AR9" s="769"/>
      <c r="AS9" s="769"/>
      <c r="AT9" s="769"/>
      <c r="AU9" s="769"/>
      <c r="AV9" s="764">
        <f>SUM(D9:AU9)</f>
        <v>569929.81499999994</v>
      </c>
      <c r="AW9" s="764">
        <f t="shared" si="3"/>
        <v>569929.81499999994</v>
      </c>
      <c r="AX9" s="764">
        <f t="shared" si="5"/>
        <v>0</v>
      </c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</row>
    <row r="10" spans="1:74">
      <c r="A10" s="761" t="str">
        <f>'A Financial'!A40</f>
        <v>Stormwater Utility Fee</v>
      </c>
      <c r="B10" s="762">
        <f>'A Financial'!C40</f>
        <v>0</v>
      </c>
      <c r="C10" s="766"/>
      <c r="D10" s="765"/>
      <c r="E10" s="763"/>
      <c r="F10" s="763"/>
      <c r="G10" s="766"/>
      <c r="H10" s="766"/>
      <c r="I10" s="763"/>
      <c r="J10" s="767"/>
      <c r="K10" s="765"/>
      <c r="L10" s="765"/>
      <c r="M10" s="768"/>
      <c r="N10" s="765"/>
      <c r="O10" s="765"/>
      <c r="P10" s="765"/>
      <c r="Q10" s="765"/>
      <c r="R10" s="765"/>
      <c r="S10" s="763"/>
      <c r="T10" s="765"/>
      <c r="U10" s="765"/>
      <c r="V10" s="765"/>
      <c r="W10" s="769"/>
      <c r="X10" s="769"/>
      <c r="Y10" s="769"/>
      <c r="Z10" s="769"/>
      <c r="AA10" s="769"/>
      <c r="AB10" s="769"/>
      <c r="AC10" s="769"/>
      <c r="AD10" s="769"/>
      <c r="AE10" s="769"/>
      <c r="AF10" s="769"/>
      <c r="AG10" s="769"/>
      <c r="AH10" s="769"/>
      <c r="AI10" s="769"/>
      <c r="AJ10" s="769"/>
      <c r="AK10" s="769"/>
      <c r="AL10" s="769"/>
      <c r="AM10" s="769"/>
      <c r="AN10" s="769"/>
      <c r="AO10" s="769"/>
      <c r="AP10" s="769"/>
      <c r="AQ10" s="769"/>
      <c r="AR10" s="769"/>
      <c r="AS10" s="769"/>
      <c r="AT10" s="769"/>
      <c r="AU10" s="769"/>
      <c r="AV10" s="764">
        <f>SUM(D10:AU10)</f>
        <v>0</v>
      </c>
      <c r="AW10" s="764">
        <f t="shared" ref="AW10" si="7">B10</f>
        <v>0</v>
      </c>
      <c r="AX10" s="764">
        <f t="shared" ref="AX10" si="8">AW10-AV10</f>
        <v>0</v>
      </c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</row>
    <row r="11" spans="1:74">
      <c r="A11" s="761" t="str">
        <f>'A Financial'!A41</f>
        <v>Municipal Fees and Allowances</v>
      </c>
      <c r="B11" s="762">
        <f>'A Financial'!C41</f>
        <v>17732.5</v>
      </c>
      <c r="C11" s="768"/>
      <c r="D11" s="765"/>
      <c r="E11" s="763"/>
      <c r="F11" s="763"/>
      <c r="G11" s="763"/>
      <c r="H11" s="766"/>
      <c r="I11" s="763"/>
      <c r="J11" s="763"/>
      <c r="K11" s="765"/>
      <c r="L11" s="765"/>
      <c r="M11" s="765"/>
      <c r="N11" s="765"/>
      <c r="O11" s="765"/>
      <c r="P11" s="765"/>
      <c r="Q11" s="765"/>
      <c r="R11" s="765"/>
      <c r="S11" s="763"/>
      <c r="T11" s="765">
        <f>$B$11</f>
        <v>17732.5</v>
      </c>
      <c r="U11" s="765"/>
      <c r="V11" s="765"/>
      <c r="W11" s="769"/>
      <c r="X11" s="769"/>
      <c r="Y11" s="769"/>
      <c r="Z11" s="769"/>
      <c r="AA11" s="769"/>
      <c r="AB11" s="769"/>
      <c r="AC11" s="769"/>
      <c r="AD11" s="769"/>
      <c r="AE11" s="769"/>
      <c r="AF11" s="769"/>
      <c r="AG11" s="769"/>
      <c r="AH11" s="769"/>
      <c r="AI11" s="769"/>
      <c r="AJ11" s="769"/>
      <c r="AK11" s="769"/>
      <c r="AL11" s="769"/>
      <c r="AM11" s="769"/>
      <c r="AN11" s="769"/>
      <c r="AO11" s="769"/>
      <c r="AP11" s="769"/>
      <c r="AQ11" s="769"/>
      <c r="AR11" s="769"/>
      <c r="AS11" s="769"/>
      <c r="AT11" s="769"/>
      <c r="AU11" s="769"/>
      <c r="AV11" s="764">
        <f t="shared" ref="AV11:AV25" si="9">SUM(C11:AU11)</f>
        <v>17732.5</v>
      </c>
      <c r="AW11" s="764">
        <f t="shared" si="3"/>
        <v>17732.5</v>
      </c>
      <c r="AX11" s="764">
        <f t="shared" si="5"/>
        <v>0</v>
      </c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</row>
    <row r="12" spans="1:74">
      <c r="A12" s="761" t="str">
        <f>'A Financial'!A42</f>
        <v>Infrastructure allocation</v>
      </c>
      <c r="B12" s="762">
        <f>'A Financial'!C42</f>
        <v>277520</v>
      </c>
      <c r="C12" s="770"/>
      <c r="D12" s="769"/>
      <c r="E12" s="771"/>
      <c r="F12" s="771"/>
      <c r="G12" s="771"/>
      <c r="H12" s="771"/>
      <c r="I12" s="771"/>
      <c r="J12" s="771"/>
      <c r="K12" s="769"/>
      <c r="L12" s="769"/>
      <c r="M12" s="769"/>
      <c r="N12" s="769"/>
      <c r="O12" s="769"/>
      <c r="P12" s="769"/>
      <c r="Q12" s="769"/>
      <c r="R12" s="763"/>
      <c r="S12" s="763"/>
      <c r="T12" s="763">
        <f>$B$12*T4</f>
        <v>13876</v>
      </c>
      <c r="U12" s="763">
        <f t="shared" ref="U12:AF12" si="10">$B$12*U4</f>
        <v>13876</v>
      </c>
      <c r="V12" s="763">
        <f t="shared" si="10"/>
        <v>13876</v>
      </c>
      <c r="W12" s="763">
        <f t="shared" si="10"/>
        <v>13876</v>
      </c>
      <c r="X12" s="763">
        <f t="shared" si="10"/>
        <v>27752</v>
      </c>
      <c r="Y12" s="763">
        <f t="shared" si="10"/>
        <v>27752</v>
      </c>
      <c r="Z12" s="763">
        <f t="shared" si="10"/>
        <v>27752</v>
      </c>
      <c r="AA12" s="763">
        <f t="shared" si="10"/>
        <v>27752</v>
      </c>
      <c r="AB12" s="763">
        <f t="shared" si="10"/>
        <v>27752</v>
      </c>
      <c r="AC12" s="763">
        <f t="shared" si="10"/>
        <v>27752</v>
      </c>
      <c r="AD12" s="763">
        <f t="shared" si="10"/>
        <v>27752</v>
      </c>
      <c r="AE12" s="763">
        <f t="shared" si="10"/>
        <v>13876</v>
      </c>
      <c r="AF12" s="763">
        <f t="shared" si="10"/>
        <v>13876</v>
      </c>
      <c r="AG12" s="766"/>
      <c r="AH12" s="766"/>
      <c r="AI12" s="766"/>
      <c r="AJ12" s="766"/>
      <c r="AK12" s="772"/>
      <c r="AL12" s="772"/>
      <c r="AM12" s="772"/>
      <c r="AN12" s="772"/>
      <c r="AO12" s="772"/>
      <c r="AP12" s="772"/>
      <c r="AQ12" s="769"/>
      <c r="AR12" s="769"/>
      <c r="AS12" s="769"/>
      <c r="AT12" s="769"/>
      <c r="AU12" s="769"/>
      <c r="AV12" s="764">
        <f t="shared" si="9"/>
        <v>277520</v>
      </c>
      <c r="AW12" s="764">
        <f t="shared" si="3"/>
        <v>277520</v>
      </c>
      <c r="AX12" s="764">
        <f t="shared" si="5"/>
        <v>0</v>
      </c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</row>
    <row r="13" spans="1:74">
      <c r="A13" s="761" t="str">
        <f>'A Financial'!A43</f>
        <v>Legal</v>
      </c>
      <c r="B13" s="762">
        <f>'A Financial'!C43</f>
        <v>43582.5</v>
      </c>
      <c r="C13" s="770"/>
      <c r="D13" s="770"/>
      <c r="E13" s="763"/>
      <c r="F13" s="763"/>
      <c r="G13" s="763"/>
      <c r="H13" s="763"/>
      <c r="I13" s="763"/>
      <c r="J13" s="763"/>
      <c r="K13" s="769"/>
      <c r="L13" s="769"/>
      <c r="M13" s="769"/>
      <c r="N13" s="769"/>
      <c r="O13" s="769"/>
      <c r="P13" s="769"/>
      <c r="Q13" s="769"/>
      <c r="R13" s="769"/>
      <c r="S13" s="763"/>
      <c r="T13" s="763">
        <f>$B$13*0.2</f>
        <v>8716.5</v>
      </c>
      <c r="U13" s="763">
        <f>$B$13*0.2</f>
        <v>8716.5</v>
      </c>
      <c r="V13" s="763">
        <f>$B$13*0.1</f>
        <v>4358.25</v>
      </c>
      <c r="W13" s="763">
        <f t="shared" ref="W13:AA13" si="11">$B$13*0.1</f>
        <v>4358.25</v>
      </c>
      <c r="X13" s="763">
        <f t="shared" si="11"/>
        <v>4358.25</v>
      </c>
      <c r="Y13" s="763">
        <f t="shared" si="11"/>
        <v>4358.25</v>
      </c>
      <c r="Z13" s="763">
        <f t="shared" si="11"/>
        <v>4358.25</v>
      </c>
      <c r="AA13" s="763">
        <f t="shared" si="11"/>
        <v>4358.25</v>
      </c>
      <c r="AB13" s="763"/>
      <c r="AC13" s="763"/>
      <c r="AD13" s="763"/>
      <c r="AE13" s="763"/>
      <c r="AF13" s="763"/>
      <c r="AG13" s="765"/>
      <c r="AH13" s="765"/>
      <c r="AI13" s="765"/>
      <c r="AJ13" s="765"/>
      <c r="AK13" s="769"/>
      <c r="AL13" s="769"/>
      <c r="AM13" s="769"/>
      <c r="AN13" s="769"/>
      <c r="AO13" s="769"/>
      <c r="AP13" s="769"/>
      <c r="AQ13" s="769"/>
      <c r="AR13" s="769"/>
      <c r="AS13" s="769"/>
      <c r="AT13" s="769"/>
      <c r="AU13" s="769"/>
      <c r="AV13" s="764">
        <f t="shared" si="9"/>
        <v>43582.5</v>
      </c>
      <c r="AW13" s="764">
        <f t="shared" si="3"/>
        <v>43582.5</v>
      </c>
      <c r="AX13" s="764">
        <f t="shared" si="5"/>
        <v>0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</row>
    <row r="14" spans="1:74">
      <c r="A14" s="761" t="str">
        <f>'A Financial'!A44</f>
        <v>Land Closing Costs/commissions</v>
      </c>
      <c r="B14" s="762">
        <f>'A Financial'!C44</f>
        <v>8548.9472249999981</v>
      </c>
      <c r="C14" s="767"/>
      <c r="D14" s="763"/>
      <c r="E14" s="763"/>
      <c r="F14" s="763"/>
      <c r="G14" s="214"/>
      <c r="H14" s="763"/>
      <c r="I14" s="763"/>
      <c r="J14" s="763"/>
      <c r="K14" s="763"/>
      <c r="L14" s="763"/>
      <c r="M14" s="763"/>
      <c r="N14" s="763"/>
      <c r="O14" s="763"/>
      <c r="P14" s="763"/>
      <c r="Q14" s="763"/>
      <c r="R14" s="763"/>
      <c r="S14" s="763">
        <f>B14</f>
        <v>8548.9472249999981</v>
      </c>
      <c r="T14" s="763"/>
      <c r="U14" s="763"/>
      <c r="V14" s="763"/>
      <c r="W14" s="764"/>
      <c r="X14" s="764"/>
      <c r="Y14" s="764"/>
      <c r="Z14" s="764"/>
      <c r="AA14" s="764"/>
      <c r="AB14" s="764"/>
      <c r="AC14" s="764"/>
      <c r="AD14" s="764"/>
      <c r="AE14" s="764"/>
      <c r="AF14" s="764"/>
      <c r="AG14" s="764"/>
      <c r="AH14" s="764"/>
      <c r="AI14" s="764"/>
      <c r="AJ14" s="764"/>
      <c r="AK14" s="764"/>
      <c r="AL14" s="764"/>
      <c r="AM14" s="764"/>
      <c r="AN14" s="764"/>
      <c r="AO14" s="764"/>
      <c r="AP14" s="764"/>
      <c r="AQ14" s="764"/>
      <c r="AR14" s="764"/>
      <c r="AS14" s="764"/>
      <c r="AT14" s="764"/>
      <c r="AU14" s="764"/>
      <c r="AV14" s="764">
        <f t="shared" si="9"/>
        <v>8548.9472249999981</v>
      </c>
      <c r="AW14" s="764">
        <f t="shared" si="3"/>
        <v>8548.9472249999981</v>
      </c>
      <c r="AX14" s="764">
        <f t="shared" si="5"/>
        <v>0</v>
      </c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</row>
    <row r="15" spans="1:74">
      <c r="A15" s="761" t="str">
        <f>'A Financial'!A45</f>
        <v xml:space="preserve">Design </v>
      </c>
      <c r="B15" s="762">
        <f>'A Financial'!C45</f>
        <v>439311.60000000003</v>
      </c>
      <c r="C15" s="763"/>
      <c r="D15" s="763"/>
      <c r="E15" s="763"/>
      <c r="F15" s="763"/>
      <c r="G15" s="763"/>
      <c r="H15" s="763"/>
      <c r="I15" s="763"/>
      <c r="J15" s="763"/>
      <c r="K15" s="763"/>
      <c r="L15" s="763"/>
      <c r="M15" s="763"/>
      <c r="N15" s="763"/>
      <c r="O15" s="763"/>
      <c r="P15" s="763"/>
      <c r="Q15" s="763"/>
      <c r="R15" s="763"/>
      <c r="S15" s="763">
        <f>B15</f>
        <v>439311.60000000003</v>
      </c>
      <c r="T15" s="763"/>
      <c r="U15" s="763"/>
      <c r="V15" s="763"/>
      <c r="W15" s="763"/>
      <c r="X15" s="763"/>
      <c r="Y15" s="763"/>
      <c r="Z15" s="763"/>
      <c r="AA15" s="763"/>
      <c r="AB15" s="763"/>
      <c r="AC15" s="763"/>
      <c r="AD15" s="763"/>
      <c r="AE15" s="763"/>
      <c r="AF15" s="763"/>
      <c r="AG15" s="764"/>
      <c r="AH15" s="764"/>
      <c r="AI15" s="764"/>
      <c r="AJ15" s="764"/>
      <c r="AK15" s="764"/>
      <c r="AL15" s="764"/>
      <c r="AM15" s="764"/>
      <c r="AN15" s="764"/>
      <c r="AO15" s="764"/>
      <c r="AP15" s="764"/>
      <c r="AQ15" s="764"/>
      <c r="AR15" s="764"/>
      <c r="AS15" s="764"/>
      <c r="AT15" s="764"/>
      <c r="AU15" s="764"/>
      <c r="AV15" s="764">
        <f t="shared" si="9"/>
        <v>439311.60000000003</v>
      </c>
      <c r="AW15" s="764">
        <f t="shared" si="3"/>
        <v>439311.60000000003</v>
      </c>
      <c r="AX15" s="764">
        <f t="shared" si="5"/>
        <v>0</v>
      </c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</row>
    <row r="16" spans="1:74">
      <c r="A16" s="761" t="str">
        <f>'A Financial'!A46</f>
        <v>Developer Fee</v>
      </c>
      <c r="B16" s="762">
        <f>'A Financial'!C46</f>
        <v>229775.44086674997</v>
      </c>
      <c r="C16" s="763"/>
      <c r="D16" s="763"/>
      <c r="E16" s="763"/>
      <c r="F16" s="763"/>
      <c r="G16" s="763"/>
      <c r="H16" s="763"/>
      <c r="I16" s="763"/>
      <c r="J16" s="763"/>
      <c r="K16" s="763"/>
      <c r="L16" s="763"/>
      <c r="M16" s="763"/>
      <c r="N16" s="763"/>
      <c r="O16" s="763"/>
      <c r="P16" s="763"/>
      <c r="Q16" s="763"/>
      <c r="R16" s="763"/>
      <c r="S16" s="763"/>
      <c r="T16" s="763">
        <f>$B$16*T4</f>
        <v>11488.7720433375</v>
      </c>
      <c r="U16" s="763">
        <f t="shared" ref="U16:AF16" si="12">$B$16*U4</f>
        <v>11488.7720433375</v>
      </c>
      <c r="V16" s="763">
        <f t="shared" si="12"/>
        <v>11488.7720433375</v>
      </c>
      <c r="W16" s="763">
        <f t="shared" si="12"/>
        <v>11488.7720433375</v>
      </c>
      <c r="X16" s="763">
        <f t="shared" si="12"/>
        <v>22977.544086675</v>
      </c>
      <c r="Y16" s="763">
        <f t="shared" si="12"/>
        <v>22977.544086675</v>
      </c>
      <c r="Z16" s="763">
        <f t="shared" si="12"/>
        <v>22977.544086675</v>
      </c>
      <c r="AA16" s="763">
        <f t="shared" si="12"/>
        <v>22977.544086675</v>
      </c>
      <c r="AB16" s="763">
        <f t="shared" si="12"/>
        <v>22977.544086675</v>
      </c>
      <c r="AC16" s="763">
        <f t="shared" si="12"/>
        <v>22977.544086675</v>
      </c>
      <c r="AD16" s="763">
        <f t="shared" si="12"/>
        <v>22977.544086675</v>
      </c>
      <c r="AE16" s="763">
        <f t="shared" si="12"/>
        <v>11488.7720433375</v>
      </c>
      <c r="AF16" s="763">
        <f t="shared" si="12"/>
        <v>11488.7720433375</v>
      </c>
      <c r="AG16" s="764"/>
      <c r="AH16" s="764"/>
      <c r="AI16" s="764"/>
      <c r="AJ16" s="764"/>
      <c r="AK16" s="764"/>
      <c r="AL16" s="764"/>
      <c r="AM16" s="764"/>
      <c r="AN16" s="764"/>
      <c r="AO16" s="764"/>
      <c r="AP16" s="764"/>
      <c r="AQ16" s="764"/>
      <c r="AR16" s="764"/>
      <c r="AS16" s="764"/>
      <c r="AT16" s="764"/>
      <c r="AU16" s="764"/>
      <c r="AV16" s="764">
        <f t="shared" si="9"/>
        <v>229775.44086674997</v>
      </c>
      <c r="AW16" s="764">
        <f t="shared" si="3"/>
        <v>229775.44086674997</v>
      </c>
      <c r="AX16" s="764">
        <f t="shared" si="5"/>
        <v>0</v>
      </c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</row>
    <row r="17" spans="1:74">
      <c r="A17" s="761" t="str">
        <f>'A Financial'!A47</f>
        <v>Construction Management Fee</v>
      </c>
      <c r="B17" s="762">
        <f>'A Financial'!C47</f>
        <v>125517.6</v>
      </c>
      <c r="C17" s="763"/>
      <c r="D17" s="763"/>
      <c r="E17" s="763"/>
      <c r="F17" s="763"/>
      <c r="G17" s="763"/>
      <c r="H17" s="763"/>
      <c r="I17" s="763"/>
      <c r="J17" s="763"/>
      <c r="K17" s="763"/>
      <c r="L17" s="763"/>
      <c r="M17" s="763"/>
      <c r="N17" s="763"/>
      <c r="O17" s="763"/>
      <c r="P17" s="763"/>
      <c r="Q17" s="763"/>
      <c r="R17" s="763"/>
      <c r="S17" s="763"/>
      <c r="T17" s="763">
        <f>$B$17*T4</f>
        <v>6275.880000000001</v>
      </c>
      <c r="U17" s="763">
        <f t="shared" ref="U17:AF17" si="13">$B$17*U4</f>
        <v>6275.880000000001</v>
      </c>
      <c r="V17" s="763">
        <f t="shared" si="13"/>
        <v>6275.880000000001</v>
      </c>
      <c r="W17" s="763">
        <f t="shared" si="13"/>
        <v>6275.880000000001</v>
      </c>
      <c r="X17" s="763">
        <f t="shared" si="13"/>
        <v>12551.760000000002</v>
      </c>
      <c r="Y17" s="763">
        <f t="shared" si="13"/>
        <v>12551.760000000002</v>
      </c>
      <c r="Z17" s="763">
        <f t="shared" si="13"/>
        <v>12551.760000000002</v>
      </c>
      <c r="AA17" s="763">
        <f t="shared" si="13"/>
        <v>12551.760000000002</v>
      </c>
      <c r="AB17" s="763">
        <f t="shared" si="13"/>
        <v>12551.760000000002</v>
      </c>
      <c r="AC17" s="763">
        <f t="shared" si="13"/>
        <v>12551.760000000002</v>
      </c>
      <c r="AD17" s="763">
        <f t="shared" si="13"/>
        <v>12551.760000000002</v>
      </c>
      <c r="AE17" s="763">
        <f t="shared" si="13"/>
        <v>6275.880000000001</v>
      </c>
      <c r="AF17" s="763">
        <f t="shared" si="13"/>
        <v>6275.880000000001</v>
      </c>
      <c r="AG17" s="764"/>
      <c r="AH17" s="764"/>
      <c r="AI17" s="764"/>
      <c r="AJ17" s="764"/>
      <c r="AK17" s="764"/>
      <c r="AL17" s="764"/>
      <c r="AM17" s="764"/>
      <c r="AN17" s="764"/>
      <c r="AO17" s="764"/>
      <c r="AP17" s="764"/>
      <c r="AQ17" s="764"/>
      <c r="AR17" s="764"/>
      <c r="AS17" s="764"/>
      <c r="AT17" s="764"/>
      <c r="AU17" s="764"/>
      <c r="AV17" s="764">
        <f t="shared" si="9"/>
        <v>125517.60000000003</v>
      </c>
      <c r="AW17" s="764">
        <f t="shared" si="3"/>
        <v>125517.6</v>
      </c>
      <c r="AX17" s="764">
        <f t="shared" si="5"/>
        <v>0</v>
      </c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</row>
    <row r="18" spans="1:74">
      <c r="A18" s="761" t="str">
        <f>'A Financial'!A48</f>
        <v>Taxes</v>
      </c>
      <c r="B18" s="762">
        <f>'A Financial'!C48</f>
        <v>22797.192599999998</v>
      </c>
      <c r="C18" s="767"/>
      <c r="D18" s="763"/>
      <c r="E18" s="763"/>
      <c r="F18" s="763"/>
      <c r="G18" s="766"/>
      <c r="H18" s="763"/>
      <c r="I18" s="763"/>
      <c r="J18" s="763"/>
      <c r="K18" s="763"/>
      <c r="L18" s="763"/>
      <c r="M18" s="763"/>
      <c r="N18" s="763"/>
      <c r="O18" s="763"/>
      <c r="P18" s="763"/>
      <c r="Q18" s="214"/>
      <c r="R18" s="763"/>
      <c r="S18" s="763"/>
      <c r="T18" s="763"/>
      <c r="U18" s="763"/>
      <c r="V18" s="763"/>
      <c r="W18" s="764"/>
      <c r="X18" s="764"/>
      <c r="Y18" s="764"/>
      <c r="Z18" s="764"/>
      <c r="AA18" s="764"/>
      <c r="AB18" s="764"/>
      <c r="AC18" s="764"/>
      <c r="AD18" s="764"/>
      <c r="AE18" s="764"/>
      <c r="AF18" s="764"/>
      <c r="AG18" s="763">
        <f>$B$18*0.25</f>
        <v>5699.2981499999996</v>
      </c>
      <c r="AH18" s="763">
        <f t="shared" ref="AH18:AJ18" si="14">$B$18*0.25</f>
        <v>5699.2981499999996</v>
      </c>
      <c r="AI18" s="763">
        <f t="shared" si="14"/>
        <v>5699.2981499999996</v>
      </c>
      <c r="AJ18" s="763">
        <f t="shared" si="14"/>
        <v>5699.2981499999996</v>
      </c>
      <c r="AK18" s="764"/>
      <c r="AL18" s="764"/>
      <c r="AM18" s="764"/>
      <c r="AN18" s="764"/>
      <c r="AO18" s="764"/>
      <c r="AP18" s="764"/>
      <c r="AQ18" s="764"/>
      <c r="AR18" s="764"/>
      <c r="AT18" s="764"/>
      <c r="AU18" s="764"/>
      <c r="AV18" s="764">
        <f t="shared" si="9"/>
        <v>22797.192599999998</v>
      </c>
      <c r="AW18" s="764">
        <f t="shared" si="3"/>
        <v>22797.192599999998</v>
      </c>
      <c r="AX18" s="764">
        <f t="shared" si="5"/>
        <v>0</v>
      </c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</row>
    <row r="19" spans="1:74">
      <c r="A19" s="761" t="str">
        <f>'A Financial'!A49</f>
        <v>Insurance</v>
      </c>
      <c r="B19" s="762">
        <f>'A Financial'!C49</f>
        <v>35923.60892595</v>
      </c>
      <c r="C19" s="767"/>
      <c r="D19" s="766"/>
      <c r="E19" s="766"/>
      <c r="F19" s="763"/>
      <c r="G19" s="763"/>
      <c r="H19" s="763"/>
      <c r="I19" s="763"/>
      <c r="J19" s="763"/>
      <c r="K19" s="763"/>
      <c r="L19" s="767"/>
      <c r="M19" s="763"/>
      <c r="N19" s="763"/>
      <c r="O19" s="763"/>
      <c r="P19" s="763"/>
      <c r="Q19" s="763"/>
      <c r="R19" s="763"/>
      <c r="S19" s="763"/>
      <c r="T19" s="333">
        <f>$B$19*T4</f>
        <v>1796.1804462975001</v>
      </c>
      <c r="U19" s="333">
        <f t="shared" ref="U19:AF19" si="15">$B$19*U4</f>
        <v>1796.1804462975001</v>
      </c>
      <c r="V19" s="333">
        <f t="shared" si="15"/>
        <v>1796.1804462975001</v>
      </c>
      <c r="W19" s="333">
        <f t="shared" si="15"/>
        <v>1796.1804462975001</v>
      </c>
      <c r="X19" s="333">
        <f t="shared" si="15"/>
        <v>3592.3608925950002</v>
      </c>
      <c r="Y19" s="333">
        <f t="shared" si="15"/>
        <v>3592.3608925950002</v>
      </c>
      <c r="Z19" s="333">
        <f t="shared" si="15"/>
        <v>3592.3608925950002</v>
      </c>
      <c r="AA19" s="333">
        <f t="shared" si="15"/>
        <v>3592.3608925950002</v>
      </c>
      <c r="AB19" s="333">
        <f t="shared" si="15"/>
        <v>3592.3608925950002</v>
      </c>
      <c r="AC19" s="333">
        <f t="shared" si="15"/>
        <v>3592.3608925950002</v>
      </c>
      <c r="AD19" s="333">
        <f t="shared" si="15"/>
        <v>3592.3608925950002</v>
      </c>
      <c r="AE19" s="333">
        <f t="shared" si="15"/>
        <v>1796.1804462975001</v>
      </c>
      <c r="AF19" s="333">
        <f t="shared" si="15"/>
        <v>1796.1804462975001</v>
      </c>
      <c r="AG19" s="763"/>
      <c r="AH19" s="763"/>
      <c r="AI19" s="763"/>
      <c r="AJ19" s="763"/>
      <c r="AK19" s="764"/>
      <c r="AL19" s="764"/>
      <c r="AM19" s="764"/>
      <c r="AN19" s="764"/>
      <c r="AO19" s="764"/>
      <c r="AP19" s="764"/>
      <c r="AQ19" s="764"/>
      <c r="AR19" s="764"/>
      <c r="AS19" s="764"/>
      <c r="AT19" s="764"/>
      <c r="AU19" s="764"/>
      <c r="AV19" s="764">
        <f t="shared" si="9"/>
        <v>35923.608925949993</v>
      </c>
      <c r="AW19" s="764">
        <f t="shared" si="3"/>
        <v>35923.60892595</v>
      </c>
      <c r="AX19" s="764">
        <f t="shared" si="5"/>
        <v>0</v>
      </c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</row>
    <row r="20" spans="1:74">
      <c r="A20" s="761" t="str">
        <f>'A Financial'!A50</f>
        <v>Marketing, FFE and Preleasing</v>
      </c>
      <c r="B20" s="762">
        <f>'A Financial'!C50</f>
        <v>7000</v>
      </c>
      <c r="C20" s="767"/>
      <c r="D20" s="763"/>
      <c r="E20" s="763"/>
      <c r="F20" s="763"/>
      <c r="G20" s="763"/>
      <c r="H20" s="763"/>
      <c r="I20" s="763"/>
      <c r="J20" s="763"/>
      <c r="K20" s="763"/>
      <c r="L20" s="763"/>
      <c r="M20" s="763"/>
      <c r="N20" s="763"/>
      <c r="O20" s="763"/>
      <c r="P20" s="763"/>
      <c r="Q20" s="763"/>
      <c r="R20" s="763"/>
      <c r="S20" s="763"/>
      <c r="T20" s="763"/>
      <c r="U20" s="763"/>
      <c r="V20" s="763"/>
      <c r="W20" s="764"/>
      <c r="X20" s="764"/>
      <c r="Y20" s="764"/>
      <c r="Z20" s="764"/>
      <c r="AA20" s="764"/>
      <c r="AB20" s="764"/>
      <c r="AG20" s="763">
        <f>$B$20*0.25</f>
        <v>1750</v>
      </c>
      <c r="AH20" s="763">
        <f t="shared" ref="AH20:AJ20" si="16">$B$20*0.25</f>
        <v>1750</v>
      </c>
      <c r="AI20" s="763">
        <f t="shared" si="16"/>
        <v>1750</v>
      </c>
      <c r="AJ20" s="763">
        <f t="shared" si="16"/>
        <v>1750</v>
      </c>
      <c r="AK20" s="764"/>
      <c r="AL20" s="764"/>
      <c r="AM20" s="764"/>
      <c r="AN20" s="764"/>
      <c r="AO20" s="764"/>
      <c r="AP20" s="764"/>
      <c r="AQ20" s="764"/>
      <c r="AR20" s="764"/>
      <c r="AS20" s="509"/>
      <c r="AT20" s="509"/>
      <c r="AU20" s="509"/>
      <c r="AV20" s="764">
        <f t="shared" si="9"/>
        <v>7000</v>
      </c>
      <c r="AW20" s="764">
        <f t="shared" si="3"/>
        <v>7000</v>
      </c>
      <c r="AX20" s="764">
        <f t="shared" si="5"/>
        <v>0</v>
      </c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</row>
    <row r="21" spans="1:74">
      <c r="A21" s="761" t="str">
        <f>'A Financial'!A52</f>
        <v>Retail Tenant Improvements</v>
      </c>
      <c r="B21" s="762">
        <f>'A Financial'!C52</f>
        <v>0</v>
      </c>
      <c r="C21" s="767"/>
      <c r="D21" s="763"/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4"/>
      <c r="X21" s="764"/>
      <c r="Y21" s="764"/>
      <c r="Z21" s="764"/>
      <c r="AA21" s="764"/>
      <c r="AB21" s="764"/>
      <c r="AC21" s="764"/>
      <c r="AD21" s="764"/>
      <c r="AE21" s="764"/>
      <c r="AF21" s="764"/>
      <c r="AG21" s="764"/>
      <c r="AH21" s="764"/>
      <c r="AI21" s="764"/>
      <c r="AJ21" s="764"/>
      <c r="AK21" s="764"/>
      <c r="AL21" s="764"/>
      <c r="AM21" s="764"/>
      <c r="AN21" s="764"/>
      <c r="AO21" s="764"/>
      <c r="AP21" s="764"/>
      <c r="AQ21" s="764"/>
      <c r="AR21" s="764"/>
      <c r="AS21" s="764"/>
      <c r="AT21" s="764"/>
      <c r="AU21" s="764"/>
      <c r="AV21" s="764">
        <f t="shared" si="9"/>
        <v>0</v>
      </c>
      <c r="AW21" s="764">
        <f t="shared" si="3"/>
        <v>0</v>
      </c>
      <c r="AX21" s="764">
        <f t="shared" si="5"/>
        <v>0</v>
      </c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</row>
    <row r="22" spans="1:74">
      <c r="A22" s="761" t="str">
        <f>'A Financial'!A53</f>
        <v>Retail brokerage</v>
      </c>
      <c r="B22" s="762">
        <f>'A Financial'!C53</f>
        <v>0</v>
      </c>
      <c r="C22" s="767"/>
      <c r="D22" s="763"/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4"/>
      <c r="X22" s="764"/>
      <c r="Y22" s="764"/>
      <c r="Z22" s="764"/>
      <c r="AA22" s="764"/>
      <c r="AB22" s="764"/>
      <c r="AC22" s="764"/>
      <c r="AD22" s="764"/>
      <c r="AE22" s="764"/>
      <c r="AF22" s="764"/>
      <c r="AG22" s="764"/>
      <c r="AH22" s="764"/>
      <c r="AI22" s="764"/>
      <c r="AJ22" s="764"/>
      <c r="AK22" s="764"/>
      <c r="AL22" s="764"/>
      <c r="AM22" s="764"/>
      <c r="AN22" s="764"/>
      <c r="AO22" s="764"/>
      <c r="AP22" s="764"/>
      <c r="AQ22" s="764"/>
      <c r="AR22" s="764"/>
      <c r="AS22" s="764"/>
      <c r="AT22" s="764"/>
      <c r="AU22" s="764"/>
      <c r="AV22" s="764">
        <f t="shared" si="9"/>
        <v>0</v>
      </c>
      <c r="AW22" s="764">
        <f t="shared" si="3"/>
        <v>0</v>
      </c>
      <c r="AX22" s="764">
        <f t="shared" si="5"/>
        <v>0</v>
      </c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</row>
    <row r="23" spans="1:74">
      <c r="A23" s="761" t="str">
        <f>'A Financial'!A54</f>
        <v>Construction Loan Origination</v>
      </c>
      <c r="B23" s="762">
        <f>'A Financial'!C54</f>
        <v>83536.086970476012</v>
      </c>
      <c r="C23" s="763"/>
      <c r="D23" s="763"/>
      <c r="E23" s="763"/>
      <c r="F23" s="763"/>
      <c r="G23" s="763"/>
      <c r="H23" s="763"/>
      <c r="I23" s="763"/>
      <c r="J23" s="763"/>
      <c r="K23" s="763"/>
      <c r="L23" s="763"/>
      <c r="M23" s="214"/>
      <c r="N23" s="763"/>
      <c r="O23" s="763"/>
      <c r="P23" s="214"/>
      <c r="Q23" s="763"/>
      <c r="R23" s="763"/>
      <c r="S23" s="763"/>
      <c r="T23" s="763">
        <f>$B$23</f>
        <v>83536.086970476012</v>
      </c>
      <c r="U23" s="763"/>
      <c r="V23" s="763"/>
      <c r="W23" s="764"/>
      <c r="X23" s="764"/>
      <c r="Y23" s="764"/>
      <c r="Z23" s="764"/>
      <c r="AA23" s="764"/>
      <c r="AB23" s="764"/>
      <c r="AC23" s="764"/>
      <c r="AD23" s="764"/>
      <c r="AE23" s="764"/>
      <c r="AF23" s="764"/>
      <c r="AG23" s="764"/>
      <c r="AH23" s="764"/>
      <c r="AI23" s="764"/>
      <c r="AJ23" s="764"/>
      <c r="AK23" s="764"/>
      <c r="AL23" s="764"/>
      <c r="AM23" s="764"/>
      <c r="AN23" s="764"/>
      <c r="AO23" s="764"/>
      <c r="AP23" s="764"/>
      <c r="AS23" s="764"/>
      <c r="AT23" s="764"/>
      <c r="AU23" s="764"/>
      <c r="AV23" s="764">
        <f t="shared" si="9"/>
        <v>83536.086970476012</v>
      </c>
      <c r="AW23" s="764">
        <f t="shared" si="3"/>
        <v>83536.086970476012</v>
      </c>
      <c r="AX23" s="764">
        <f t="shared" si="5"/>
        <v>0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</row>
    <row r="24" spans="1:74">
      <c r="A24" s="761" t="str">
        <f>'A Financial'!A55</f>
        <v>Construction Interest</v>
      </c>
      <c r="B24" s="762">
        <f>'A Financial'!C55</f>
        <v>389835.07252888812</v>
      </c>
      <c r="C24" s="773"/>
      <c r="D24" s="763"/>
      <c r="E24" s="763"/>
      <c r="F24" s="763"/>
      <c r="G24" s="763"/>
      <c r="H24" s="763"/>
      <c r="I24" s="763"/>
      <c r="J24" s="763"/>
      <c r="K24" s="763"/>
      <c r="L24" s="763"/>
      <c r="M24" s="763"/>
      <c r="N24" s="763"/>
      <c r="O24" s="763"/>
      <c r="P24" s="763"/>
      <c r="Q24" s="763"/>
      <c r="R24" s="763"/>
      <c r="S24" s="763"/>
      <c r="T24" s="763">
        <f>$B$24*T4</f>
        <v>19491.753626444406</v>
      </c>
      <c r="U24" s="763">
        <f t="shared" ref="U24:AF24" si="17">$B$24*U4</f>
        <v>19491.753626444406</v>
      </c>
      <c r="V24" s="763">
        <f t="shared" si="17"/>
        <v>19491.753626444406</v>
      </c>
      <c r="W24" s="763">
        <f t="shared" si="17"/>
        <v>19491.753626444406</v>
      </c>
      <c r="X24" s="763">
        <f t="shared" si="17"/>
        <v>38983.507252888812</v>
      </c>
      <c r="Y24" s="763">
        <f t="shared" si="17"/>
        <v>38983.507252888812</v>
      </c>
      <c r="Z24" s="763">
        <f t="shared" si="17"/>
        <v>38983.507252888812</v>
      </c>
      <c r="AA24" s="763">
        <f t="shared" si="17"/>
        <v>38983.507252888812</v>
      </c>
      <c r="AB24" s="763">
        <f t="shared" si="17"/>
        <v>38983.507252888812</v>
      </c>
      <c r="AC24" s="763">
        <f t="shared" si="17"/>
        <v>38983.507252888812</v>
      </c>
      <c r="AD24" s="763">
        <f t="shared" si="17"/>
        <v>38983.507252888812</v>
      </c>
      <c r="AE24" s="763">
        <f t="shared" si="17"/>
        <v>19491.753626444406</v>
      </c>
      <c r="AF24" s="763">
        <f t="shared" si="17"/>
        <v>19491.753626444406</v>
      </c>
      <c r="AG24" s="763"/>
      <c r="AH24" s="763"/>
      <c r="AI24" s="763"/>
      <c r="AJ24" s="763"/>
      <c r="AK24" s="764"/>
      <c r="AL24" s="764"/>
      <c r="AM24" s="764"/>
      <c r="AN24" s="764"/>
      <c r="AO24" s="764"/>
      <c r="AP24" s="764"/>
      <c r="AQ24" s="764"/>
      <c r="AR24" s="764"/>
      <c r="AS24" s="764"/>
      <c r="AT24" s="764"/>
      <c r="AU24" s="764"/>
      <c r="AV24" s="764">
        <f t="shared" si="9"/>
        <v>389835.07252888812</v>
      </c>
      <c r="AW24" s="764">
        <f t="shared" si="3"/>
        <v>389835.07252888812</v>
      </c>
      <c r="AX24" s="764">
        <f t="shared" si="5"/>
        <v>0</v>
      </c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</row>
    <row r="25" spans="1:74" ht="15" thickBot="1">
      <c r="A25" s="761" t="str">
        <f>'A Financial'!A56</f>
        <v>Additional Contingency</v>
      </c>
      <c r="B25" s="774">
        <f>'A Financial'!C56</f>
        <v>0</v>
      </c>
      <c r="C25" s="775"/>
      <c r="D25" s="775"/>
      <c r="E25" s="775"/>
      <c r="F25" s="775"/>
      <c r="G25" s="775"/>
      <c r="H25" s="775"/>
      <c r="I25" s="775"/>
      <c r="J25" s="775"/>
      <c r="K25" s="775"/>
      <c r="L25" s="775"/>
      <c r="M25" s="775"/>
      <c r="N25" s="775"/>
      <c r="O25" s="775"/>
      <c r="P25" s="775"/>
      <c r="Q25" s="775"/>
      <c r="R25" s="775"/>
      <c r="S25" s="775"/>
      <c r="T25" s="775"/>
      <c r="U25" s="775"/>
      <c r="V25" s="775"/>
      <c r="W25" s="776"/>
      <c r="X25" s="776"/>
      <c r="Y25" s="776"/>
      <c r="Z25" s="776"/>
      <c r="AA25" s="776"/>
      <c r="AB25" s="776"/>
      <c r="AC25" s="776"/>
      <c r="AD25" s="776"/>
      <c r="AE25" s="776"/>
      <c r="AF25" s="776"/>
      <c r="AG25" s="776"/>
      <c r="AH25" s="776"/>
      <c r="AI25" s="776"/>
      <c r="AJ25" s="776"/>
      <c r="AK25" s="776"/>
      <c r="AL25" s="776"/>
      <c r="AM25" s="776"/>
      <c r="AN25" s="776"/>
      <c r="AO25" s="776"/>
      <c r="AP25" s="776"/>
      <c r="AQ25" s="776"/>
      <c r="AR25" s="776"/>
      <c r="AS25" s="776"/>
      <c r="AT25" s="776"/>
      <c r="AU25" s="776"/>
      <c r="AV25" s="776">
        <f t="shared" si="9"/>
        <v>0</v>
      </c>
      <c r="AW25" s="776">
        <f t="shared" si="3"/>
        <v>0</v>
      </c>
      <c r="AX25" s="764">
        <f t="shared" si="5"/>
        <v>0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</row>
    <row r="26" spans="1:74" ht="15.6" thickTop="1" thickBot="1">
      <c r="A26" s="761" t="str">
        <f>'A Financial'!A57</f>
        <v>Total Project Cost</v>
      </c>
      <c r="B26" s="777">
        <f t="shared" ref="B26:T26" si="18">SUM(B5:B25)</f>
        <v>8553566.3641170617</v>
      </c>
      <c r="C26" s="128">
        <f t="shared" si="18"/>
        <v>0</v>
      </c>
      <c r="D26" s="128">
        <f t="shared" si="18"/>
        <v>0</v>
      </c>
      <c r="E26" s="128">
        <f t="shared" si="18"/>
        <v>0</v>
      </c>
      <c r="F26" s="128">
        <f t="shared" si="18"/>
        <v>0</v>
      </c>
      <c r="G26" s="128">
        <f t="shared" si="18"/>
        <v>0</v>
      </c>
      <c r="H26" s="128">
        <f t="shared" si="18"/>
        <v>0</v>
      </c>
      <c r="I26" s="128">
        <f t="shared" si="18"/>
        <v>0</v>
      </c>
      <c r="J26" s="128">
        <f t="shared" si="18"/>
        <v>0</v>
      </c>
      <c r="K26" s="128">
        <f t="shared" si="18"/>
        <v>0</v>
      </c>
      <c r="L26" s="128">
        <f t="shared" si="18"/>
        <v>0</v>
      </c>
      <c r="M26" s="128">
        <f t="shared" si="18"/>
        <v>0</v>
      </c>
      <c r="N26" s="128">
        <f t="shared" si="18"/>
        <v>0</v>
      </c>
      <c r="O26" s="128">
        <f t="shared" si="18"/>
        <v>0</v>
      </c>
      <c r="P26" s="128">
        <f t="shared" si="18"/>
        <v>0</v>
      </c>
      <c r="Q26" s="128">
        <f t="shared" si="18"/>
        <v>0</v>
      </c>
      <c r="R26" s="128">
        <f t="shared" si="18"/>
        <v>0</v>
      </c>
      <c r="S26" s="128">
        <f t="shared" si="18"/>
        <v>1017790.362225</v>
      </c>
      <c r="T26" s="128">
        <f t="shared" si="18"/>
        <v>478041.47308655549</v>
      </c>
      <c r="U26" s="128">
        <f t="shared" ref="U26:AJ26" si="19">SUM(U5:U25)</f>
        <v>376772.8861160794</v>
      </c>
      <c r="V26" s="128">
        <f t="shared" si="19"/>
        <v>372414.6361160794</v>
      </c>
      <c r="W26" s="128">
        <f t="shared" si="19"/>
        <v>372414.6361160794</v>
      </c>
      <c r="X26" s="128">
        <f t="shared" si="19"/>
        <v>740471.02223215881</v>
      </c>
      <c r="Y26" s="128">
        <f t="shared" si="19"/>
        <v>740471.02223215881</v>
      </c>
      <c r="Z26" s="128">
        <f t="shared" si="19"/>
        <v>740471.02223215881</v>
      </c>
      <c r="AA26" s="128">
        <f t="shared" si="19"/>
        <v>740471.02223215881</v>
      </c>
      <c r="AB26" s="128">
        <f t="shared" si="19"/>
        <v>736112.77223215881</v>
      </c>
      <c r="AC26" s="128">
        <f t="shared" si="19"/>
        <v>736112.77223215881</v>
      </c>
      <c r="AD26" s="128">
        <f t="shared" si="19"/>
        <v>736112.77223215881</v>
      </c>
      <c r="AE26" s="128">
        <f t="shared" si="19"/>
        <v>368056.3861160794</v>
      </c>
      <c r="AF26" s="128">
        <f t="shared" si="19"/>
        <v>368056.3861160794</v>
      </c>
      <c r="AG26" s="128">
        <f t="shared" si="19"/>
        <v>7449.2981499999996</v>
      </c>
      <c r="AH26" s="128">
        <f t="shared" si="19"/>
        <v>7449.2981499999996</v>
      </c>
      <c r="AI26" s="128">
        <f t="shared" si="19"/>
        <v>7449.2981499999996</v>
      </c>
      <c r="AJ26" s="128">
        <f t="shared" si="19"/>
        <v>7449.2981499999996</v>
      </c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5">
        <f>SUM(AV5:AV25)</f>
        <v>8553566.3641170617</v>
      </c>
      <c r="AW26" s="124">
        <f>SUM(AW5:AW25)</f>
        <v>8553566.3641170617</v>
      </c>
      <c r="AX26" s="124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</row>
    <row r="27" spans="1:74" ht="15" thickTop="1">
      <c r="A27" s="126" t="s">
        <v>346</v>
      </c>
      <c r="B27" s="127">
        <f>'A Financial'!B65</f>
        <v>0</v>
      </c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5"/>
      <c r="AW27" s="124"/>
      <c r="AX27" s="124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</row>
    <row r="28" spans="1:74" ht="15" thickBot="1">
      <c r="A28" s="778" t="s">
        <v>347</v>
      </c>
      <c r="B28" s="779">
        <f>B26+B27</f>
        <v>8553566.3641170617</v>
      </c>
      <c r="C28" s="772"/>
      <c r="D28" s="772"/>
      <c r="E28" s="772"/>
      <c r="F28" s="772"/>
      <c r="G28" s="772"/>
      <c r="H28" s="772"/>
      <c r="I28" s="772"/>
      <c r="J28" s="772"/>
      <c r="K28" s="772"/>
      <c r="L28" s="772"/>
      <c r="M28" s="772"/>
      <c r="N28" s="772"/>
      <c r="O28" s="772"/>
      <c r="P28" s="772"/>
      <c r="Q28" s="772"/>
      <c r="R28" s="772"/>
      <c r="S28" s="772"/>
      <c r="T28" s="772"/>
      <c r="U28" s="772"/>
      <c r="V28" s="772"/>
      <c r="W28" s="772"/>
      <c r="X28" s="772"/>
      <c r="Y28" s="772"/>
      <c r="Z28" s="772"/>
      <c r="AA28" s="772"/>
      <c r="AB28" s="772"/>
      <c r="AC28" s="772"/>
      <c r="AD28" s="772"/>
      <c r="AE28" s="772"/>
      <c r="AF28" s="772"/>
      <c r="AG28" s="772"/>
      <c r="AH28" s="772"/>
      <c r="AI28" s="772"/>
      <c r="AJ28" s="772"/>
      <c r="AK28" s="772"/>
      <c r="AL28" s="772"/>
      <c r="AM28" s="772"/>
      <c r="AN28" s="772"/>
      <c r="AO28" s="772"/>
      <c r="AP28" s="772"/>
      <c r="AQ28" s="772"/>
      <c r="AR28" s="772"/>
      <c r="AS28" s="772"/>
      <c r="AT28" s="772"/>
      <c r="AU28" s="509"/>
      <c r="AV28" s="780"/>
      <c r="AW28" s="780"/>
      <c r="AX28" s="780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</row>
    <row r="29" spans="1:74">
      <c r="A29" s="781" t="s">
        <v>348</v>
      </c>
      <c r="B29" s="782">
        <f>SUM(C29:AU29)</f>
        <v>3421426.5456468249</v>
      </c>
      <c r="C29" s="764">
        <f>C26</f>
        <v>0</v>
      </c>
      <c r="D29" s="764">
        <f t="shared" ref="D29:T29" si="20">IF(C30+D26&lt;=$B$30,D26,($B$30-C30))</f>
        <v>0</v>
      </c>
      <c r="E29" s="764">
        <f t="shared" si="20"/>
        <v>0</v>
      </c>
      <c r="F29" s="764">
        <f t="shared" si="20"/>
        <v>0</v>
      </c>
      <c r="G29" s="764">
        <f t="shared" si="20"/>
        <v>0</v>
      </c>
      <c r="H29" s="764">
        <f t="shared" si="20"/>
        <v>0</v>
      </c>
      <c r="I29" s="764">
        <f t="shared" si="20"/>
        <v>0</v>
      </c>
      <c r="J29" s="764">
        <f t="shared" si="20"/>
        <v>0</v>
      </c>
      <c r="K29" s="764">
        <f t="shared" si="20"/>
        <v>0</v>
      </c>
      <c r="L29" s="764">
        <f t="shared" si="20"/>
        <v>0</v>
      </c>
      <c r="M29" s="764">
        <f t="shared" si="20"/>
        <v>0</v>
      </c>
      <c r="N29" s="764">
        <f t="shared" si="20"/>
        <v>0</v>
      </c>
      <c r="O29" s="764">
        <f t="shared" si="20"/>
        <v>0</v>
      </c>
      <c r="P29" s="764">
        <f t="shared" si="20"/>
        <v>0</v>
      </c>
      <c r="Q29" s="764">
        <f t="shared" si="20"/>
        <v>0</v>
      </c>
      <c r="R29" s="764">
        <f t="shared" si="20"/>
        <v>0</v>
      </c>
      <c r="S29" s="764">
        <f t="shared" si="20"/>
        <v>1017790.362225</v>
      </c>
      <c r="T29" s="764">
        <f t="shared" si="20"/>
        <v>478041.47308655549</v>
      </c>
      <c r="U29" s="764">
        <f t="shared" ref="U29" si="21">IF(T30+U26&lt;=$B$30,U26,($B$30-T30))</f>
        <v>376772.8861160794</v>
      </c>
      <c r="V29" s="764">
        <f t="shared" ref="V29" si="22">IF(U30+V26&lt;=$B$30,V26,($B$30-U30))</f>
        <v>372414.6361160794</v>
      </c>
      <c r="W29" s="764">
        <f t="shared" ref="W29" si="23">IF(V30+W26&lt;=$B$30,W26,($B$30-V30))</f>
        <v>372414.6361160794</v>
      </c>
      <c r="X29" s="764">
        <f t="shared" ref="X29" si="24">IF(W30+X26&lt;=$B$30,X26,($B$30-W30))</f>
        <v>740471.02223215881</v>
      </c>
      <c r="Y29" s="764">
        <f t="shared" ref="Y29" si="25">IF(X30+Y26&lt;=$B$30,Y26,($B$30-X30))</f>
        <v>63521.529754872434</v>
      </c>
      <c r="Z29" s="764">
        <f t="shared" ref="Z29" si="26">IF(Y30+Z26&lt;=$B$30,Z26,($B$30-Y30))</f>
        <v>0</v>
      </c>
      <c r="AA29" s="764">
        <f t="shared" ref="AA29" si="27">IF(Z30+AA26&lt;=$B$30,AA26,($B$30-Z30))</f>
        <v>0</v>
      </c>
      <c r="AB29" s="764">
        <f t="shared" ref="AB29" si="28">IF(AA30+AB26&lt;=$B$30,AB26,($B$30-AA30))</f>
        <v>0</v>
      </c>
      <c r="AC29" s="764">
        <f t="shared" ref="AC29" si="29">IF(AB30+AC26&lt;=$B$30,AC26,($B$30-AB30))</f>
        <v>0</v>
      </c>
      <c r="AD29" s="764">
        <f t="shared" ref="AD29" si="30">IF(AC30+AD26&lt;=$B$30,AD26,($B$30-AC30))</f>
        <v>0</v>
      </c>
      <c r="AE29" s="764">
        <f t="shared" ref="AE29" si="31">IF(AD30+AE26&lt;=$B$30,AE26,($B$30-AD30))</f>
        <v>0</v>
      </c>
      <c r="AF29" s="764">
        <f t="shared" ref="AF29" si="32">IF(AE30+AF26&lt;=$B$30,AF26,($B$30-AE30))</f>
        <v>0</v>
      </c>
      <c r="AG29" s="764">
        <f t="shared" ref="AG29" si="33">IF(AF30+AG26&lt;=$B$30,AG26,($B$30-AF30))</f>
        <v>0</v>
      </c>
      <c r="AH29" s="764">
        <f t="shared" ref="AH29" si="34">IF(AG30+AH26&lt;=$B$30,AH26,($B$30-AG30))</f>
        <v>0</v>
      </c>
      <c r="AI29" s="764">
        <f t="shared" ref="AI29" si="35">IF(AH30+AI26&lt;=$B$30,AI26,($B$30-AH30))</f>
        <v>0</v>
      </c>
      <c r="AJ29" s="764">
        <f t="shared" ref="AJ29" si="36">IF(AI30+AJ26&lt;=$B$30,AJ26,($B$30-AI30))</f>
        <v>0</v>
      </c>
      <c r="AK29" s="764"/>
      <c r="AL29" s="764"/>
      <c r="AM29" s="764"/>
      <c r="AN29" s="764"/>
      <c r="AO29" s="764"/>
      <c r="AP29" s="764"/>
      <c r="AQ29" s="764"/>
      <c r="AR29" s="764"/>
      <c r="AS29" s="764"/>
      <c r="AT29" s="764"/>
      <c r="AU29" s="764"/>
      <c r="AV29" s="783"/>
      <c r="AW29" s="783"/>
      <c r="AX29" s="783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</row>
    <row r="30" spans="1:74" ht="15" thickBot="1">
      <c r="A30" s="761" t="s">
        <v>349</v>
      </c>
      <c r="B30" s="784">
        <f>'A Financial'!B68</f>
        <v>3421426.5456468249</v>
      </c>
      <c r="C30" s="764">
        <f>C29</f>
        <v>0</v>
      </c>
      <c r="D30" s="764">
        <f>IF(SUM($C$29:D$29)&lt;=$B30,SUM($C$29:D$29),0)</f>
        <v>0</v>
      </c>
      <c r="E30" s="764">
        <f>IF(SUM($C$29:E29)&lt;=$B30,SUM($C$29:E29),0)</f>
        <v>0</v>
      </c>
      <c r="F30" s="764">
        <f>IF(SUM($C$29:F29)&lt;=$B30,SUM($C$29:F29),0)</f>
        <v>0</v>
      </c>
      <c r="G30" s="764">
        <f>IF(SUM($C$29:G29)&lt;=$B30,SUM($C$29:G29),0)</f>
        <v>0</v>
      </c>
      <c r="H30" s="764">
        <f>IF(SUM($C$29:H29)&lt;=$B30,SUM($C$29:H29),0)</f>
        <v>0</v>
      </c>
      <c r="I30" s="764">
        <f>IF(SUM($C$29:I29)&lt;=$B30,SUM($C$29:I29),0)</f>
        <v>0</v>
      </c>
      <c r="J30" s="764">
        <f>IF(SUM($C$29:J29)&lt;=$B30,SUM($C$29:J29),0)</f>
        <v>0</v>
      </c>
      <c r="K30" s="764">
        <f>IF(SUM($C$29:K29)&lt;=$B30,SUM($C$29:K29),0)</f>
        <v>0</v>
      </c>
      <c r="L30" s="764">
        <f>IF(SUM($C$29:L29)&lt;=$B30,SUM($C$29:L29),0)</f>
        <v>0</v>
      </c>
      <c r="M30" s="764">
        <f>IF(SUM($C$29:M29)&lt;=$B30,SUM($C$29:M29),0)</f>
        <v>0</v>
      </c>
      <c r="N30" s="764">
        <f>IF(SUM($C$29:N29)&lt;=$B30,SUM($C$29:N29),0)</f>
        <v>0</v>
      </c>
      <c r="O30" s="764">
        <f>IF(SUM($C$29:O29)&lt;=$B30,SUM($C$29:O29),0)</f>
        <v>0</v>
      </c>
      <c r="P30" s="764">
        <f>IF(SUM($C$29:P29)&lt;=$B30,SUM($C$29:P29),0)</f>
        <v>0</v>
      </c>
      <c r="Q30" s="764">
        <f>IF(SUM($C$29:Q29)&lt;=$B30,SUM($C$29:Q29),0)</f>
        <v>0</v>
      </c>
      <c r="R30" s="764">
        <f>IF(SUM($C$29:R29)&lt;=$B30,SUM($C$29:R29),0)</f>
        <v>0</v>
      </c>
      <c r="S30" s="764">
        <f>IF(SUM($C$29:S29)&lt;=$B30,SUM($C$29:S29),0)</f>
        <v>1017790.362225</v>
      </c>
      <c r="T30" s="764">
        <f>IF(SUM($C$29:T29)&lt;=$B30,SUM($C$29:T29),0)</f>
        <v>1495831.8353115555</v>
      </c>
      <c r="U30" s="764">
        <f>IF(SUM($C$29:U29)&lt;=$B30,SUM($C$29:U29),0)</f>
        <v>1872604.7214276348</v>
      </c>
      <c r="V30" s="764">
        <f>IF(SUM($C$29:V29)&lt;=$B30,SUM($C$29:V29),0)</f>
        <v>2245019.3575437143</v>
      </c>
      <c r="W30" s="764">
        <f>IF(SUM($C$29:W29)&lt;=$B30,SUM($C$29:W29),0)</f>
        <v>2617433.9936597939</v>
      </c>
      <c r="X30" s="764">
        <f>IF(SUM($C$29:X29)&lt;=$B30,SUM($C$29:X29),0)</f>
        <v>3357905.0158919524</v>
      </c>
      <c r="Y30" s="764">
        <f>IF(SUM($C$29:Y29)&lt;=$B30,SUM($C$29:Y29),0)</f>
        <v>3421426.5456468249</v>
      </c>
      <c r="Z30" s="764">
        <f>IF(SUM($C$29:Z29)&lt;=$B30,SUM($C$29:Z29),0)</f>
        <v>3421426.5456468249</v>
      </c>
      <c r="AA30" s="764">
        <f>IF(SUM($C$29:AA29)&lt;=$B30,SUM($C$29:AA29),0)</f>
        <v>3421426.5456468249</v>
      </c>
      <c r="AB30" s="764">
        <f>IF(SUM($C$29:AB29)&lt;=$B30,SUM($C$29:AB29),0)</f>
        <v>3421426.5456468249</v>
      </c>
      <c r="AC30" s="764">
        <f>IF(SUM($C$29:AC29)&lt;=$B30,SUM($C$29:AC29),0)</f>
        <v>3421426.5456468249</v>
      </c>
      <c r="AD30" s="764">
        <f>IF(SUM($C$29:AD29)&lt;=$B30,SUM($C$29:AD29),0)</f>
        <v>3421426.5456468249</v>
      </c>
      <c r="AE30" s="764">
        <f>IF(SUM($C$29:AE29)&lt;=$B30,SUM($C$29:AE29),0)</f>
        <v>3421426.5456468249</v>
      </c>
      <c r="AF30" s="764">
        <f>IF(SUM($C$29:AF29)&lt;=$B30,SUM($C$29:AF29),0)</f>
        <v>3421426.5456468249</v>
      </c>
      <c r="AG30" s="764">
        <f>IF(SUM($C$29:AG29)&lt;=$B30,SUM($C$29:AG29),0)</f>
        <v>3421426.5456468249</v>
      </c>
      <c r="AH30" s="764">
        <f>IF(SUM($C$29:AH29)&lt;=$B30,SUM($C$29:AH29),0)</f>
        <v>3421426.5456468249</v>
      </c>
      <c r="AI30" s="764">
        <f>IF(SUM($C$29:AI29)&lt;=$B30,SUM($C$29:AI29),0)</f>
        <v>3421426.5456468249</v>
      </c>
      <c r="AJ30" s="764">
        <f>IF(SUM($C$29:AJ29)&lt;=$B30,SUM($C$29:AJ29),0)</f>
        <v>3421426.5456468249</v>
      </c>
      <c r="AK30" s="764"/>
      <c r="AL30" s="764"/>
      <c r="AM30" s="764"/>
      <c r="AN30" s="764"/>
      <c r="AO30" s="764"/>
      <c r="AP30" s="764"/>
      <c r="AQ30" s="764"/>
      <c r="AR30" s="764"/>
      <c r="AS30" s="764"/>
      <c r="AT30" s="764"/>
      <c r="AU30" s="764"/>
      <c r="AV30" s="783"/>
      <c r="AW30" s="783"/>
      <c r="AX30" s="783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</row>
    <row r="31" spans="1:74">
      <c r="A31" s="130" t="s">
        <v>350</v>
      </c>
      <c r="B31" s="131">
        <f>'A Financial'!B67</f>
        <v>5132139.8184702368</v>
      </c>
      <c r="C31" s="785"/>
      <c r="D31" s="786"/>
      <c r="E31" s="786"/>
      <c r="F31" s="786"/>
      <c r="G31" s="786"/>
      <c r="H31" s="786"/>
      <c r="I31" s="786"/>
      <c r="J31" s="786"/>
      <c r="K31" s="786"/>
      <c r="L31" s="786"/>
      <c r="M31" s="786"/>
      <c r="N31" s="786"/>
      <c r="O31" s="786"/>
      <c r="P31" s="786"/>
      <c r="Q31" s="786"/>
      <c r="R31" s="786"/>
      <c r="S31" s="786"/>
      <c r="T31" s="786"/>
      <c r="U31" s="786"/>
      <c r="V31" s="786"/>
      <c r="W31" s="786"/>
      <c r="X31" s="786"/>
      <c r="Y31" s="786"/>
      <c r="Z31" s="786"/>
      <c r="AA31" s="786"/>
      <c r="AB31" s="786"/>
      <c r="AC31" s="786"/>
      <c r="AD31" s="786"/>
      <c r="AE31" s="786"/>
      <c r="AF31" s="786"/>
      <c r="AG31" s="786"/>
      <c r="AH31" s="786"/>
      <c r="AI31" s="786"/>
      <c r="AJ31" s="786"/>
      <c r="AK31" s="786"/>
      <c r="AL31" s="786"/>
      <c r="AM31" s="786"/>
      <c r="AN31" s="786"/>
      <c r="AO31" s="786"/>
      <c r="AP31" s="786"/>
      <c r="AQ31" s="786"/>
      <c r="AR31" s="786"/>
      <c r="AS31" s="786"/>
      <c r="AT31" s="786"/>
      <c r="AU31" s="786"/>
      <c r="AV31" s="785"/>
      <c r="AW31" s="785"/>
      <c r="AX31" s="783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</row>
    <row r="32" spans="1:74" ht="15" thickBot="1">
      <c r="A32" s="787" t="s">
        <v>351</v>
      </c>
      <c r="B32" s="788">
        <f>PMT(0.045,30,(B31))</f>
        <v>-315069.98187851498</v>
      </c>
      <c r="C32" s="785"/>
      <c r="D32" s="786"/>
      <c r="E32" s="786"/>
      <c r="F32" s="786"/>
      <c r="G32" s="786"/>
      <c r="H32" s="786"/>
      <c r="I32" s="786"/>
      <c r="J32" s="786"/>
      <c r="K32" s="786"/>
      <c r="L32" s="786"/>
      <c r="M32" s="786"/>
      <c r="N32" s="786"/>
      <c r="O32" s="786"/>
      <c r="P32" s="786"/>
      <c r="Q32" s="786"/>
      <c r="R32" s="786"/>
      <c r="S32" s="786"/>
      <c r="T32" s="786"/>
      <c r="U32" s="786"/>
      <c r="V32" s="786"/>
      <c r="W32" s="786"/>
      <c r="X32" s="786"/>
      <c r="Y32" s="786"/>
      <c r="Z32" s="786"/>
      <c r="AA32" s="786"/>
      <c r="AB32" s="786"/>
      <c r="AC32" s="786"/>
      <c r="AD32" s="786"/>
      <c r="AE32" s="786"/>
      <c r="AF32" s="786"/>
      <c r="AG32" s="786"/>
      <c r="AH32" s="786"/>
      <c r="AI32" s="786"/>
      <c r="AJ32" s="786"/>
      <c r="AK32" s="786"/>
      <c r="AL32" s="786"/>
      <c r="AM32" s="786"/>
      <c r="AN32" s="786"/>
      <c r="AO32" s="786"/>
      <c r="AP32" s="786"/>
      <c r="AQ32" s="786"/>
      <c r="AR32" s="786"/>
      <c r="AS32" s="786"/>
      <c r="AT32" s="786"/>
      <c r="AU32" s="786"/>
      <c r="AV32" s="785"/>
      <c r="AW32" s="785"/>
      <c r="AX32" s="783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</row>
    <row r="33" spans="1:74">
      <c r="A33" s="132" t="s">
        <v>352</v>
      </c>
      <c r="B33" s="133">
        <f>SUM(C33:AV33)</f>
        <v>0</v>
      </c>
      <c r="C33" s="764"/>
      <c r="D33" s="764"/>
      <c r="E33" s="764"/>
      <c r="F33" s="764"/>
      <c r="G33" s="764"/>
      <c r="H33" s="764"/>
      <c r="I33" s="764"/>
      <c r="J33" s="764"/>
      <c r="K33" s="764"/>
      <c r="L33" s="764"/>
      <c r="M33" s="764"/>
      <c r="N33" s="764"/>
      <c r="O33" s="764"/>
      <c r="P33" s="764"/>
      <c r="Q33" s="764"/>
      <c r="R33" s="764"/>
      <c r="S33" s="764"/>
      <c r="T33" s="764"/>
      <c r="U33" s="764"/>
      <c r="V33" s="764"/>
      <c r="W33" s="764"/>
      <c r="X33" s="764"/>
      <c r="Y33" s="764"/>
      <c r="Z33" s="764"/>
      <c r="AA33" s="764"/>
      <c r="AB33" s="764"/>
      <c r="AC33" s="764"/>
      <c r="AD33" s="764"/>
      <c r="AE33" s="764"/>
      <c r="AF33" s="764"/>
      <c r="AG33" s="764"/>
      <c r="AH33" s="764"/>
      <c r="AI33" s="764"/>
      <c r="AJ33" s="764"/>
      <c r="AK33" s="764"/>
      <c r="AL33" s="764"/>
      <c r="AM33" s="764"/>
      <c r="AN33" s="764"/>
      <c r="AO33" s="764"/>
      <c r="AP33" s="764"/>
      <c r="AQ33" s="764"/>
      <c r="AR33" s="764"/>
      <c r="AS33" s="764"/>
      <c r="AT33" s="764"/>
      <c r="AU33" s="764"/>
      <c r="AV33" s="509"/>
      <c r="AW33" s="786"/>
      <c r="AX33" s="78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</row>
    <row r="34" spans="1:74">
      <c r="A34" s="789" t="s">
        <v>353</v>
      </c>
      <c r="B34" s="790"/>
      <c r="C34" s="786"/>
      <c r="D34" s="786"/>
      <c r="E34" s="786"/>
      <c r="F34" s="786"/>
      <c r="G34" s="786"/>
      <c r="H34" s="786"/>
      <c r="I34" s="786"/>
      <c r="J34" s="786"/>
      <c r="K34" s="786"/>
      <c r="L34" s="786"/>
      <c r="M34" s="786"/>
      <c r="N34" s="786"/>
      <c r="O34" s="786"/>
      <c r="P34" s="786"/>
      <c r="Q34" s="786"/>
      <c r="R34" s="786"/>
      <c r="S34" s="786"/>
      <c r="T34" s="786"/>
      <c r="U34" s="786"/>
      <c r="V34" s="786"/>
      <c r="W34" s="786"/>
      <c r="X34" s="786"/>
      <c r="Y34" s="786"/>
      <c r="Z34" s="786"/>
      <c r="AA34" s="786"/>
      <c r="AB34" s="786"/>
      <c r="AC34" s="786"/>
      <c r="AD34" s="786"/>
      <c r="AE34" s="786"/>
      <c r="AF34" s="786"/>
      <c r="AG34" s="786"/>
      <c r="AH34" s="786"/>
      <c r="AI34" s="786"/>
      <c r="AJ34" s="786"/>
      <c r="AK34" s="786"/>
      <c r="AL34" s="786"/>
      <c r="AM34" s="786"/>
      <c r="AN34" s="786"/>
      <c r="AO34" s="786"/>
      <c r="AP34" s="786"/>
      <c r="AQ34" s="786"/>
      <c r="AR34" s="786"/>
      <c r="AS34" s="786"/>
      <c r="AT34" s="786"/>
      <c r="AU34" s="786"/>
      <c r="AV34" s="791"/>
      <c r="AW34" s="786"/>
      <c r="AX34" s="783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</row>
    <row r="35" spans="1:74">
      <c r="A35" s="781" t="s">
        <v>354</v>
      </c>
      <c r="B35" s="782">
        <f>'A Financial'!B75-'A Financial'!B67</f>
        <v>4835580.1815297632</v>
      </c>
      <c r="C35" s="791"/>
      <c r="D35" s="792"/>
      <c r="E35" s="792"/>
      <c r="F35" s="792"/>
      <c r="G35" s="792"/>
      <c r="H35" s="792"/>
      <c r="I35" s="792"/>
      <c r="J35" s="792"/>
      <c r="K35" s="792"/>
      <c r="L35" s="792"/>
      <c r="M35" s="792"/>
      <c r="N35" s="792"/>
      <c r="O35" s="792"/>
      <c r="P35" s="792"/>
      <c r="Q35" s="792"/>
      <c r="R35" s="792"/>
      <c r="S35" s="792"/>
      <c r="T35" s="792"/>
      <c r="U35" s="792"/>
      <c r="V35" s="792"/>
      <c r="W35" s="792"/>
      <c r="X35" s="792"/>
      <c r="Y35" s="792"/>
      <c r="Z35" s="792"/>
      <c r="AA35" s="792"/>
      <c r="AB35" s="792"/>
      <c r="AC35" s="792"/>
      <c r="AD35" s="792"/>
      <c r="AE35" s="792"/>
      <c r="AF35" s="792"/>
      <c r="AG35" s="792"/>
      <c r="AH35" s="792"/>
      <c r="AI35" s="792"/>
      <c r="AJ35" s="792"/>
      <c r="AK35" s="792"/>
      <c r="AL35" s="792"/>
      <c r="AM35" s="792"/>
      <c r="AN35" s="792"/>
      <c r="AO35" s="792"/>
      <c r="AP35" s="792"/>
      <c r="AQ35" s="792"/>
      <c r="AR35" s="792"/>
      <c r="AS35" s="792"/>
      <c r="AT35" s="792"/>
      <c r="AU35" s="792"/>
      <c r="AV35" s="793"/>
      <c r="AW35" s="794"/>
      <c r="AX35" s="79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</row>
    <row r="36" spans="1:74">
      <c r="A36" s="781" t="s">
        <v>355</v>
      </c>
      <c r="B36" s="796">
        <f>SUM(C36:AU36)</f>
        <v>1414153.6358829383</v>
      </c>
      <c r="C36" s="797">
        <f t="shared" ref="C36:AI36" si="37">-C29</f>
        <v>0</v>
      </c>
      <c r="D36" s="797">
        <f t="shared" si="37"/>
        <v>0</v>
      </c>
      <c r="E36" s="797">
        <f t="shared" si="37"/>
        <v>0</v>
      </c>
      <c r="F36" s="797">
        <f t="shared" si="37"/>
        <v>0</v>
      </c>
      <c r="G36" s="797">
        <f t="shared" si="37"/>
        <v>0</v>
      </c>
      <c r="H36" s="797">
        <f t="shared" si="37"/>
        <v>0</v>
      </c>
      <c r="I36" s="797">
        <f t="shared" si="37"/>
        <v>0</v>
      </c>
      <c r="J36" s="797">
        <f t="shared" si="37"/>
        <v>0</v>
      </c>
      <c r="K36" s="797">
        <f t="shared" si="37"/>
        <v>0</v>
      </c>
      <c r="L36" s="797">
        <f t="shared" si="37"/>
        <v>0</v>
      </c>
      <c r="M36" s="797">
        <f t="shared" si="37"/>
        <v>0</v>
      </c>
      <c r="N36" s="797">
        <f t="shared" si="37"/>
        <v>0</v>
      </c>
      <c r="O36" s="797">
        <f t="shared" si="37"/>
        <v>0</v>
      </c>
      <c r="P36" s="797">
        <f t="shared" si="37"/>
        <v>0</v>
      </c>
      <c r="Q36" s="797">
        <f t="shared" si="37"/>
        <v>0</v>
      </c>
      <c r="R36" s="797">
        <f t="shared" si="37"/>
        <v>0</v>
      </c>
      <c r="S36" s="797">
        <f t="shared" si="37"/>
        <v>-1017790.362225</v>
      </c>
      <c r="T36" s="797">
        <f t="shared" si="37"/>
        <v>-478041.47308655549</v>
      </c>
      <c r="U36" s="797">
        <f t="shared" si="37"/>
        <v>-376772.8861160794</v>
      </c>
      <c r="V36" s="797">
        <f t="shared" si="37"/>
        <v>-372414.6361160794</v>
      </c>
      <c r="W36" s="797">
        <f t="shared" si="37"/>
        <v>-372414.6361160794</v>
      </c>
      <c r="X36" s="797">
        <f t="shared" si="37"/>
        <v>-740471.02223215881</v>
      </c>
      <c r="Y36" s="797">
        <f t="shared" si="37"/>
        <v>-63521.529754872434</v>
      </c>
      <c r="Z36" s="797">
        <f t="shared" si="37"/>
        <v>0</v>
      </c>
      <c r="AA36" s="797">
        <f t="shared" si="37"/>
        <v>0</v>
      </c>
      <c r="AB36" s="797">
        <f t="shared" si="37"/>
        <v>0</v>
      </c>
      <c r="AC36" s="797">
        <f t="shared" si="37"/>
        <v>0</v>
      </c>
      <c r="AD36" s="797">
        <f t="shared" si="37"/>
        <v>0</v>
      </c>
      <c r="AE36" s="797">
        <f t="shared" si="37"/>
        <v>0</v>
      </c>
      <c r="AF36" s="797">
        <f t="shared" si="37"/>
        <v>0</v>
      </c>
      <c r="AG36" s="797">
        <f t="shared" si="37"/>
        <v>0</v>
      </c>
      <c r="AH36" s="797">
        <f t="shared" si="37"/>
        <v>0</v>
      </c>
      <c r="AI36" s="797">
        <f t="shared" si="37"/>
        <v>0</v>
      </c>
      <c r="AJ36" s="797">
        <f>B35</f>
        <v>4835580.1815297632</v>
      </c>
      <c r="AK36" s="797"/>
      <c r="AL36" s="797"/>
      <c r="AM36" s="797"/>
      <c r="AN36" s="797"/>
      <c r="AO36" s="797"/>
      <c r="AP36" s="797"/>
      <c r="AQ36" s="797"/>
      <c r="AR36" s="797"/>
      <c r="AS36" s="797"/>
      <c r="AT36" s="797"/>
      <c r="AU36" s="797"/>
      <c r="AV36" s="798"/>
      <c r="AW36" s="764"/>
      <c r="AX36" s="764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</row>
    <row r="37" spans="1:74">
      <c r="A37" s="781" t="s">
        <v>356</v>
      </c>
      <c r="B37" s="799">
        <f>IF(B36&lt;0,0,IRR(C36:AJU36))</f>
        <v>2.3760949735681436E-2</v>
      </c>
      <c r="C37" s="800"/>
      <c r="D37" s="800"/>
      <c r="E37" s="800"/>
      <c r="F37" s="800"/>
      <c r="G37" s="800"/>
      <c r="H37" s="800"/>
      <c r="I37" s="800"/>
      <c r="J37" s="800"/>
      <c r="K37" s="800"/>
      <c r="L37" s="800"/>
      <c r="M37" s="800"/>
      <c r="N37" s="800"/>
      <c r="O37" s="800"/>
      <c r="P37" s="800"/>
      <c r="Q37" s="800"/>
      <c r="R37" s="800"/>
      <c r="S37" s="800"/>
      <c r="T37" s="800"/>
      <c r="U37" s="800"/>
      <c r="V37" s="800"/>
      <c r="W37" s="800"/>
      <c r="X37" s="800"/>
      <c r="Y37" s="800"/>
      <c r="Z37" s="800"/>
      <c r="AA37" s="800"/>
      <c r="AB37" s="800"/>
      <c r="AC37" s="800"/>
      <c r="AD37" s="800"/>
      <c r="AE37" s="800"/>
      <c r="AF37" s="800"/>
      <c r="AG37" s="800"/>
      <c r="AH37" s="800"/>
      <c r="AI37" s="800"/>
      <c r="AJ37" s="800"/>
      <c r="AK37" s="800"/>
      <c r="AL37" s="800"/>
      <c r="AM37" s="800"/>
      <c r="AN37" s="800"/>
      <c r="AO37" s="800"/>
      <c r="AP37" s="800"/>
      <c r="AQ37" s="800"/>
      <c r="AR37" s="800"/>
      <c r="AS37" s="800"/>
      <c r="AT37" s="800"/>
      <c r="AU37" s="800"/>
      <c r="AV37" s="793"/>
      <c r="AW37" s="800"/>
      <c r="AX37" s="801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</row>
    <row r="38" spans="1:74">
      <c r="A38" s="772" t="s">
        <v>357</v>
      </c>
      <c r="B38" s="802">
        <f>POWER((1+B37),4)-1</f>
        <v>9.8485274178135906E-2</v>
      </c>
      <c r="C38" s="793"/>
      <c r="D38" s="793"/>
      <c r="E38" s="803"/>
      <c r="F38" s="803"/>
      <c r="G38" s="803"/>
      <c r="H38" s="803"/>
      <c r="I38" s="803"/>
      <c r="J38" s="803"/>
      <c r="K38" s="803"/>
      <c r="L38" s="803"/>
      <c r="M38" s="803"/>
      <c r="N38" s="803"/>
      <c r="O38" s="803"/>
      <c r="P38" s="804"/>
      <c r="Q38" s="803"/>
      <c r="R38" s="803"/>
      <c r="S38" s="803"/>
      <c r="T38" s="803"/>
      <c r="U38" s="803"/>
      <c r="V38" s="804"/>
      <c r="W38" s="803"/>
      <c r="X38" s="803"/>
      <c r="Y38" s="803"/>
      <c r="Z38" s="803"/>
      <c r="AA38" s="803"/>
      <c r="AB38" s="803"/>
      <c r="AC38" s="803"/>
      <c r="AD38" s="803"/>
      <c r="AE38" s="803"/>
      <c r="AF38" s="803"/>
      <c r="AG38" s="803"/>
      <c r="AH38" s="803"/>
      <c r="AI38" s="803"/>
      <c r="AJ38" s="803"/>
      <c r="AK38" s="803"/>
      <c r="AL38" s="803"/>
      <c r="AM38" s="803"/>
      <c r="AN38" s="803"/>
      <c r="AO38" s="803"/>
      <c r="AP38" s="803"/>
      <c r="AQ38" s="803"/>
      <c r="AR38" s="803"/>
      <c r="AS38" s="803"/>
      <c r="AT38" s="803"/>
      <c r="AU38" s="803"/>
      <c r="AV38" s="803"/>
      <c r="AW38" s="803"/>
      <c r="AX38" s="805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</row>
    <row r="39" spans="1:74">
      <c r="A39" s="806" t="s">
        <v>358</v>
      </c>
      <c r="B39" s="807"/>
      <c r="C39" s="793"/>
      <c r="D39" s="793"/>
      <c r="E39" s="803"/>
      <c r="F39" s="803"/>
      <c r="G39" s="803"/>
      <c r="H39" s="803"/>
      <c r="I39" s="803"/>
      <c r="J39" s="803"/>
      <c r="K39" s="803"/>
      <c r="L39" s="803"/>
      <c r="M39" s="803"/>
      <c r="N39" s="803"/>
      <c r="O39" s="803"/>
      <c r="P39" s="804"/>
      <c r="Q39" s="803"/>
      <c r="R39" s="803"/>
      <c r="S39" s="803"/>
      <c r="T39" s="803"/>
      <c r="U39" s="803"/>
      <c r="V39" s="804"/>
      <c r="W39" s="803"/>
      <c r="X39" s="803"/>
      <c r="Y39" s="803"/>
      <c r="Z39" s="803"/>
      <c r="AA39" s="803"/>
      <c r="AB39" s="803"/>
      <c r="AC39" s="803"/>
      <c r="AD39" s="803"/>
      <c r="AE39" s="803"/>
      <c r="AF39" s="803"/>
      <c r="AG39" s="803"/>
      <c r="AH39" s="803"/>
      <c r="AI39" s="803"/>
      <c r="AJ39" s="803"/>
      <c r="AK39" s="803"/>
      <c r="AL39" s="803"/>
      <c r="AM39" s="803"/>
      <c r="AN39" s="803"/>
      <c r="AO39" s="803"/>
      <c r="AP39" s="803"/>
      <c r="AQ39" s="803"/>
      <c r="AR39" s="803"/>
      <c r="AS39" s="803"/>
      <c r="AT39" s="803"/>
      <c r="AU39" s="803"/>
      <c r="AV39" s="803"/>
      <c r="AW39" s="803"/>
      <c r="AX39" s="805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</row>
    <row r="40" spans="1:74">
      <c r="A40" s="781" t="s">
        <v>359</v>
      </c>
      <c r="B40" s="55">
        <f>'A Financial'!B75-B27</f>
        <v>9967720</v>
      </c>
      <c r="C40" s="793"/>
      <c r="D40" s="793"/>
      <c r="E40" s="803"/>
      <c r="F40" s="803"/>
      <c r="G40" s="803"/>
      <c r="H40" s="803"/>
      <c r="I40" s="803"/>
      <c r="J40" s="803"/>
      <c r="K40" s="803"/>
      <c r="L40" s="803"/>
      <c r="M40" s="803"/>
      <c r="N40" s="803"/>
      <c r="O40" s="803"/>
      <c r="P40" s="804"/>
      <c r="Q40" s="803"/>
      <c r="R40" s="803"/>
      <c r="S40" s="803"/>
      <c r="T40" s="803"/>
      <c r="U40" s="803"/>
      <c r="V40" s="804"/>
      <c r="W40" s="803"/>
      <c r="X40" s="803"/>
      <c r="Y40" s="803"/>
      <c r="Z40" s="803"/>
      <c r="AA40" s="803"/>
      <c r="AB40" s="803"/>
      <c r="AC40" s="803"/>
      <c r="AD40" s="803"/>
      <c r="AE40" s="803"/>
      <c r="AF40" s="803"/>
      <c r="AG40" s="803"/>
      <c r="AH40" s="803"/>
      <c r="AI40" s="803"/>
      <c r="AJ40" s="803"/>
      <c r="AK40" s="803"/>
      <c r="AL40" s="803"/>
      <c r="AM40" s="803"/>
      <c r="AN40" s="803"/>
      <c r="AO40" s="803"/>
      <c r="AP40" s="803"/>
      <c r="AQ40" s="803"/>
      <c r="AR40" s="803"/>
      <c r="AS40" s="803"/>
      <c r="AT40" s="803"/>
      <c r="AU40" s="803"/>
      <c r="AV40" s="803"/>
      <c r="AW40" s="803"/>
      <c r="AX40" s="805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</row>
    <row r="41" spans="1:74">
      <c r="A41" s="781" t="s">
        <v>360</v>
      </c>
      <c r="B41" s="796">
        <f>SUM(C41:AU41)</f>
        <v>1421602.9340329375</v>
      </c>
      <c r="C41" s="764">
        <f>-C26</f>
        <v>0</v>
      </c>
      <c r="D41" s="764">
        <f>-D26</f>
        <v>0</v>
      </c>
      <c r="E41" s="764">
        <f>-E26</f>
        <v>0</v>
      </c>
      <c r="F41" s="764">
        <f t="shared" ref="F41:AI41" si="38">-F26</f>
        <v>0</v>
      </c>
      <c r="G41" s="764">
        <f t="shared" si="38"/>
        <v>0</v>
      </c>
      <c r="H41" s="764">
        <f t="shared" si="38"/>
        <v>0</v>
      </c>
      <c r="I41" s="764">
        <f t="shared" si="38"/>
        <v>0</v>
      </c>
      <c r="J41" s="764">
        <f t="shared" si="38"/>
        <v>0</v>
      </c>
      <c r="K41" s="764">
        <f t="shared" si="38"/>
        <v>0</v>
      </c>
      <c r="L41" s="764">
        <f t="shared" si="38"/>
        <v>0</v>
      </c>
      <c r="M41" s="764">
        <f t="shared" si="38"/>
        <v>0</v>
      </c>
      <c r="N41" s="764">
        <f t="shared" si="38"/>
        <v>0</v>
      </c>
      <c r="O41" s="764">
        <f t="shared" si="38"/>
        <v>0</v>
      </c>
      <c r="P41" s="764">
        <f t="shared" si="38"/>
        <v>0</v>
      </c>
      <c r="Q41" s="764">
        <f t="shared" si="38"/>
        <v>0</v>
      </c>
      <c r="R41" s="764">
        <f t="shared" si="38"/>
        <v>0</v>
      </c>
      <c r="S41" s="764">
        <f t="shared" si="38"/>
        <v>-1017790.362225</v>
      </c>
      <c r="T41" s="764">
        <f t="shared" si="38"/>
        <v>-478041.47308655549</v>
      </c>
      <c r="U41" s="764">
        <f t="shared" si="38"/>
        <v>-376772.8861160794</v>
      </c>
      <c r="V41" s="764">
        <f t="shared" si="38"/>
        <v>-372414.6361160794</v>
      </c>
      <c r="W41" s="764">
        <f t="shared" si="38"/>
        <v>-372414.6361160794</v>
      </c>
      <c r="X41" s="764">
        <f t="shared" si="38"/>
        <v>-740471.02223215881</v>
      </c>
      <c r="Y41" s="764">
        <f t="shared" si="38"/>
        <v>-740471.02223215881</v>
      </c>
      <c r="Z41" s="764">
        <f t="shared" si="38"/>
        <v>-740471.02223215881</v>
      </c>
      <c r="AA41" s="764">
        <f t="shared" si="38"/>
        <v>-740471.02223215881</v>
      </c>
      <c r="AB41" s="764">
        <f t="shared" si="38"/>
        <v>-736112.77223215881</v>
      </c>
      <c r="AC41" s="764">
        <f t="shared" si="38"/>
        <v>-736112.77223215881</v>
      </c>
      <c r="AD41" s="764">
        <f t="shared" si="38"/>
        <v>-736112.77223215881</v>
      </c>
      <c r="AE41" s="764">
        <f t="shared" si="38"/>
        <v>-368056.3861160794</v>
      </c>
      <c r="AF41" s="764">
        <f t="shared" si="38"/>
        <v>-368056.3861160794</v>
      </c>
      <c r="AG41" s="764">
        <f t="shared" si="38"/>
        <v>-7449.2981499999996</v>
      </c>
      <c r="AH41" s="764">
        <f t="shared" si="38"/>
        <v>-7449.2981499999996</v>
      </c>
      <c r="AI41" s="764">
        <f t="shared" si="38"/>
        <v>-7449.2981499999996</v>
      </c>
      <c r="AJ41" s="764">
        <f>B40</f>
        <v>9967720</v>
      </c>
      <c r="AK41" s="764"/>
      <c r="AL41" s="764"/>
      <c r="AM41" s="764"/>
      <c r="AN41" s="764"/>
      <c r="AO41" s="764"/>
      <c r="AP41" s="764"/>
      <c r="AQ41" s="764"/>
      <c r="AR41" s="764"/>
      <c r="AS41" s="764"/>
      <c r="AT41" s="764"/>
      <c r="AU41" s="764"/>
      <c r="AV41" s="801"/>
      <c r="AW41" s="772"/>
      <c r="AX41" s="772"/>
    </row>
    <row r="42" spans="1:74">
      <c r="A42" s="781" t="s">
        <v>361</v>
      </c>
      <c r="B42" s="799">
        <f>IF(B41&lt;0,0,IRR(C41:AU41))</f>
        <v>1.4471334257535107E-2</v>
      </c>
      <c r="C42" s="793"/>
      <c r="D42" s="793"/>
      <c r="E42" s="793"/>
      <c r="F42" s="793"/>
      <c r="G42" s="793"/>
      <c r="H42" s="793"/>
      <c r="I42" s="793"/>
      <c r="J42" s="793"/>
      <c r="K42" s="793"/>
      <c r="L42" s="793"/>
      <c r="M42" s="786"/>
      <c r="N42" s="793"/>
      <c r="O42" s="793"/>
      <c r="P42" s="793"/>
      <c r="Q42" s="793"/>
      <c r="R42" s="793"/>
      <c r="S42" s="786"/>
      <c r="T42" s="793"/>
      <c r="U42" s="793"/>
      <c r="V42" s="793"/>
      <c r="W42" s="793"/>
      <c r="X42" s="793"/>
      <c r="Y42" s="793"/>
      <c r="Z42" s="793"/>
      <c r="AA42" s="793"/>
      <c r="AB42" s="793"/>
      <c r="AC42" s="793"/>
      <c r="AD42" s="793"/>
      <c r="AE42" s="793"/>
      <c r="AF42" s="793"/>
      <c r="AG42" s="793"/>
      <c r="AH42" s="793"/>
      <c r="AI42" s="793"/>
      <c r="AJ42" s="793"/>
      <c r="AK42" s="793"/>
      <c r="AL42" s="793"/>
      <c r="AM42" s="793"/>
      <c r="AN42" s="793"/>
      <c r="AO42" s="793"/>
      <c r="AP42" s="793"/>
      <c r="AQ42" s="793"/>
      <c r="AR42" s="793"/>
      <c r="AS42" s="793"/>
      <c r="AT42" s="793"/>
      <c r="AU42" s="793"/>
      <c r="AV42" s="793"/>
      <c r="AW42" s="793"/>
      <c r="AX42" s="772"/>
    </row>
    <row r="43" spans="1:74">
      <c r="A43" s="772" t="s">
        <v>362</v>
      </c>
      <c r="B43" s="802">
        <f>POWER((1+B42),4)-1</f>
        <v>5.9154020297051524E-2</v>
      </c>
      <c r="C43" s="793"/>
      <c r="D43" s="793"/>
      <c r="E43" s="793"/>
      <c r="F43" s="793"/>
      <c r="G43" s="793"/>
      <c r="H43" s="793"/>
      <c r="I43" s="793"/>
      <c r="J43" s="793"/>
      <c r="K43" s="793"/>
      <c r="L43" s="793"/>
      <c r="M43" s="786"/>
      <c r="N43" s="793"/>
      <c r="O43" s="793"/>
      <c r="P43" s="793"/>
      <c r="Q43" s="793"/>
      <c r="R43" s="793"/>
      <c r="S43" s="786"/>
      <c r="T43" s="793"/>
      <c r="U43" s="793"/>
      <c r="V43" s="793"/>
      <c r="W43" s="793"/>
      <c r="X43" s="793"/>
      <c r="Y43" s="793"/>
      <c r="Z43" s="793"/>
      <c r="AA43" s="793"/>
      <c r="AB43" s="793"/>
      <c r="AC43" s="793"/>
      <c r="AD43" s="793"/>
      <c r="AE43" s="793"/>
      <c r="AF43" s="793"/>
      <c r="AG43" s="793"/>
      <c r="AH43" s="793"/>
      <c r="AI43" s="793"/>
      <c r="AJ43" s="793"/>
      <c r="AK43" s="793"/>
      <c r="AL43" s="793"/>
      <c r="AM43" s="793"/>
      <c r="AN43" s="793"/>
      <c r="AO43" s="793"/>
      <c r="AP43" s="793"/>
      <c r="AQ43" s="793"/>
      <c r="AR43" s="793"/>
      <c r="AS43" s="793"/>
      <c r="AT43" s="793"/>
      <c r="AU43" s="793"/>
      <c r="AV43" s="793"/>
      <c r="AW43" s="772"/>
      <c r="AX43" s="772"/>
    </row>
    <row r="44" spans="1:74">
      <c r="G44" s="6"/>
    </row>
    <row r="45" spans="1:74">
      <c r="G45" s="6"/>
    </row>
    <row r="46" spans="1:74">
      <c r="G46" s="6"/>
    </row>
    <row r="47" spans="1:74">
      <c r="G47" s="6"/>
    </row>
    <row r="48" spans="1:74">
      <c r="G48" s="6"/>
    </row>
    <row r="49" spans="7:7">
      <c r="G49" s="6"/>
    </row>
    <row r="50" spans="7:7">
      <c r="G50" s="6"/>
    </row>
    <row r="51" spans="7:7">
      <c r="G51" s="6"/>
    </row>
    <row r="52" spans="7:7">
      <c r="G52" s="6"/>
    </row>
    <row r="53" spans="7:7">
      <c r="G53" s="6"/>
    </row>
    <row r="54" spans="7:7">
      <c r="G54" s="6"/>
    </row>
    <row r="55" spans="7:7">
      <c r="G55" s="6"/>
    </row>
    <row r="56" spans="7:7">
      <c r="G56" s="6"/>
    </row>
    <row r="57" spans="7:7">
      <c r="G57" s="6"/>
    </row>
    <row r="58" spans="7:7">
      <c r="G58" s="6"/>
    </row>
    <row r="59" spans="7:7">
      <c r="G59" s="6"/>
    </row>
    <row r="60" spans="7:7">
      <c r="G60" s="6"/>
    </row>
    <row r="61" spans="7:7">
      <c r="G61" s="6"/>
    </row>
    <row r="62" spans="7:7">
      <c r="G62" s="6"/>
    </row>
    <row r="63" spans="7:7">
      <c r="G63" s="6"/>
    </row>
    <row r="64" spans="7:7">
      <c r="G64" s="6"/>
    </row>
    <row r="65" spans="7:7">
      <c r="G65" s="6"/>
    </row>
    <row r="66" spans="7:7">
      <c r="G66" s="6"/>
    </row>
    <row r="67" spans="7:7">
      <c r="G67" s="6"/>
    </row>
    <row r="68" spans="7:7">
      <c r="G68" s="6"/>
    </row>
    <row r="69" spans="7:7">
      <c r="G69" s="6"/>
    </row>
    <row r="70" spans="7:7">
      <c r="G70" s="6"/>
    </row>
    <row r="71" spans="7:7">
      <c r="G71" s="6"/>
    </row>
    <row r="72" spans="7:7">
      <c r="G72" s="6"/>
    </row>
    <row r="73" spans="7:7">
      <c r="G73" s="6"/>
    </row>
    <row r="74" spans="7:7">
      <c r="G74" s="6"/>
    </row>
    <row r="75" spans="7:7">
      <c r="G75" s="6"/>
    </row>
    <row r="76" spans="7:7">
      <c r="G76" s="6"/>
    </row>
    <row r="77" spans="7:7">
      <c r="G77" s="6"/>
    </row>
    <row r="78" spans="7:7">
      <c r="G78" s="6"/>
    </row>
    <row r="79" spans="7:7">
      <c r="G79" s="6"/>
    </row>
    <row r="80" spans="7:7">
      <c r="G80" s="6"/>
    </row>
    <row r="81" spans="7:7">
      <c r="G81" s="6"/>
    </row>
    <row r="82" spans="7:7">
      <c r="G82" s="6"/>
    </row>
    <row r="83" spans="7:7">
      <c r="G83" s="6"/>
    </row>
    <row r="84" spans="7:7">
      <c r="G84" s="6"/>
    </row>
    <row r="85" spans="7:7">
      <c r="G85" s="6"/>
    </row>
    <row r="86" spans="7:7">
      <c r="G86" s="6"/>
    </row>
    <row r="87" spans="7:7">
      <c r="G87" s="6"/>
    </row>
    <row r="88" spans="7:7">
      <c r="G88" s="6"/>
    </row>
    <row r="89" spans="7:7">
      <c r="G89" s="6"/>
    </row>
    <row r="90" spans="7:7">
      <c r="G90" s="6"/>
    </row>
    <row r="91" spans="7:7">
      <c r="G91" s="6"/>
    </row>
    <row r="92" spans="7:7">
      <c r="G92" s="6"/>
    </row>
    <row r="93" spans="7:7">
      <c r="G93" s="6"/>
    </row>
    <row r="94" spans="7:7">
      <c r="G94" s="6"/>
    </row>
    <row r="95" spans="7:7">
      <c r="G95" s="6"/>
    </row>
    <row r="96" spans="7:7">
      <c r="G96" s="6"/>
    </row>
    <row r="97" spans="7:7">
      <c r="G97" s="6"/>
    </row>
    <row r="98" spans="7:7">
      <c r="G98" s="6"/>
    </row>
    <row r="99" spans="7:7">
      <c r="G99" s="6"/>
    </row>
    <row r="100" spans="7:7">
      <c r="G100" s="6"/>
    </row>
    <row r="101" spans="7:7">
      <c r="G101" s="6"/>
    </row>
    <row r="102" spans="7:7">
      <c r="G102" s="6"/>
    </row>
    <row r="103" spans="7:7">
      <c r="G103" s="6"/>
    </row>
    <row r="104" spans="7:7">
      <c r="G104" s="6"/>
    </row>
    <row r="105" spans="7:7">
      <c r="G105" s="6"/>
    </row>
    <row r="106" spans="7:7">
      <c r="G106" s="6"/>
    </row>
    <row r="107" spans="7:7">
      <c r="G107" s="6"/>
    </row>
    <row r="108" spans="7:7">
      <c r="G108" s="6"/>
    </row>
    <row r="109" spans="7:7">
      <c r="G109" s="6"/>
    </row>
    <row r="110" spans="7:7">
      <c r="G110" s="6"/>
    </row>
    <row r="111" spans="7:7">
      <c r="G111" s="6"/>
    </row>
    <row r="112" spans="7:7">
      <c r="G112" s="6"/>
    </row>
    <row r="113" spans="7:7">
      <c r="G113" s="6"/>
    </row>
    <row r="114" spans="7:7">
      <c r="G114" s="6"/>
    </row>
    <row r="115" spans="7:7">
      <c r="G115" s="6"/>
    </row>
    <row r="116" spans="7:7">
      <c r="G116" s="6"/>
    </row>
    <row r="117" spans="7:7">
      <c r="G117" s="6"/>
    </row>
    <row r="118" spans="7:7">
      <c r="G118" s="6"/>
    </row>
    <row r="119" spans="7:7">
      <c r="G119" s="6"/>
    </row>
    <row r="120" spans="7:7">
      <c r="G120" s="6"/>
    </row>
    <row r="121" spans="7:7">
      <c r="G121" s="6"/>
    </row>
    <row r="122" spans="7:7">
      <c r="G122" s="6"/>
    </row>
    <row r="123" spans="7:7">
      <c r="G123" s="6"/>
    </row>
    <row r="124" spans="7:7">
      <c r="G124" s="6"/>
    </row>
    <row r="125" spans="7:7">
      <c r="G125" s="6"/>
    </row>
    <row r="126" spans="7:7">
      <c r="G126" s="6"/>
    </row>
    <row r="127" spans="7:7">
      <c r="G127" s="6"/>
    </row>
    <row r="128" spans="7:7">
      <c r="G128" s="6"/>
    </row>
    <row r="129" spans="7:7">
      <c r="G129" s="6"/>
    </row>
    <row r="130" spans="7:7">
      <c r="G130" s="6"/>
    </row>
    <row r="131" spans="7:7">
      <c r="G131" s="6"/>
    </row>
    <row r="132" spans="7:7">
      <c r="G132" s="6"/>
    </row>
    <row r="133" spans="7:7">
      <c r="G133" s="6"/>
    </row>
    <row r="134" spans="7:7">
      <c r="G134" s="6"/>
    </row>
    <row r="135" spans="7:7">
      <c r="G135" s="6"/>
    </row>
    <row r="136" spans="7:7">
      <c r="G136" s="6"/>
    </row>
    <row r="137" spans="7:7">
      <c r="G137" s="6"/>
    </row>
    <row r="138" spans="7:7">
      <c r="G138" s="6"/>
    </row>
    <row r="139" spans="7:7">
      <c r="G139" s="6"/>
    </row>
    <row r="140" spans="7:7">
      <c r="G140" s="6"/>
    </row>
    <row r="141" spans="7:7">
      <c r="G141" s="6"/>
    </row>
    <row r="142" spans="7:7">
      <c r="G142" s="6"/>
    </row>
    <row r="143" spans="7:7">
      <c r="G143" s="6"/>
    </row>
    <row r="144" spans="7:7">
      <c r="G144" s="6"/>
    </row>
    <row r="145" spans="7:7">
      <c r="G145" s="6"/>
    </row>
    <row r="146" spans="7:7">
      <c r="G146" s="6"/>
    </row>
    <row r="147" spans="7:7">
      <c r="G147" s="6"/>
    </row>
    <row r="148" spans="7:7">
      <c r="G148" s="6"/>
    </row>
    <row r="149" spans="7:7">
      <c r="G149" s="6"/>
    </row>
    <row r="150" spans="7:7">
      <c r="G150" s="6"/>
    </row>
    <row r="151" spans="7:7">
      <c r="G151" s="6"/>
    </row>
    <row r="152" spans="7:7">
      <c r="G152" s="6"/>
    </row>
    <row r="153" spans="7:7">
      <c r="G153" s="6"/>
    </row>
    <row r="154" spans="7:7">
      <c r="G154" s="6"/>
    </row>
    <row r="155" spans="7:7">
      <c r="G155" s="6"/>
    </row>
    <row r="156" spans="7:7">
      <c r="G156" s="6"/>
    </row>
    <row r="157" spans="7:7">
      <c r="G157" s="6"/>
    </row>
    <row r="158" spans="7:7">
      <c r="G158" s="6"/>
    </row>
    <row r="159" spans="7:7">
      <c r="G159" s="6"/>
    </row>
    <row r="160" spans="7:7">
      <c r="G160" s="6"/>
    </row>
    <row r="161" spans="7:7">
      <c r="G161" s="6"/>
    </row>
    <row r="162" spans="7:7">
      <c r="G162" s="6"/>
    </row>
    <row r="163" spans="7:7">
      <c r="G163" s="6"/>
    </row>
    <row r="164" spans="7:7">
      <c r="G164" s="6"/>
    </row>
    <row r="165" spans="7:7">
      <c r="G165" s="6"/>
    </row>
    <row r="166" spans="7:7">
      <c r="G166" s="6"/>
    </row>
    <row r="167" spans="7:7">
      <c r="G167" s="6"/>
    </row>
    <row r="168" spans="7:7">
      <c r="G168" s="6"/>
    </row>
    <row r="169" spans="7:7">
      <c r="G169" s="6"/>
    </row>
    <row r="170" spans="7:7">
      <c r="G170" s="6"/>
    </row>
    <row r="171" spans="7:7">
      <c r="G171" s="6"/>
    </row>
    <row r="172" spans="7:7">
      <c r="G172" s="6"/>
    </row>
    <row r="173" spans="7:7">
      <c r="G173" s="6"/>
    </row>
    <row r="174" spans="7:7">
      <c r="G174" s="6"/>
    </row>
    <row r="175" spans="7:7">
      <c r="G175" s="6"/>
    </row>
    <row r="176" spans="7:7">
      <c r="G176" s="6"/>
    </row>
    <row r="177" spans="7:7">
      <c r="G177" s="6"/>
    </row>
    <row r="178" spans="7:7">
      <c r="G178" s="6"/>
    </row>
    <row r="179" spans="7:7">
      <c r="G179" s="6"/>
    </row>
    <row r="180" spans="7:7">
      <c r="G180" s="6"/>
    </row>
    <row r="181" spans="7:7">
      <c r="G181" s="6"/>
    </row>
    <row r="182" spans="7:7">
      <c r="G182" s="6"/>
    </row>
    <row r="183" spans="7:7">
      <c r="G183" s="6"/>
    </row>
    <row r="184" spans="7:7">
      <c r="G184" s="6"/>
    </row>
    <row r="185" spans="7:7">
      <c r="G185" s="6"/>
    </row>
    <row r="186" spans="7:7">
      <c r="G186" s="6"/>
    </row>
    <row r="187" spans="7:7">
      <c r="G187" s="6"/>
    </row>
    <row r="188" spans="7:7">
      <c r="G188" s="6"/>
    </row>
    <row r="189" spans="7:7">
      <c r="G189" s="6"/>
    </row>
    <row r="190" spans="7:7">
      <c r="G190" s="6"/>
    </row>
    <row r="191" spans="7:7">
      <c r="G191" s="6"/>
    </row>
    <row r="192" spans="7:7">
      <c r="G192" s="6"/>
    </row>
    <row r="193" spans="7:7">
      <c r="G193" s="6"/>
    </row>
    <row r="194" spans="7:7">
      <c r="G194" s="6"/>
    </row>
    <row r="195" spans="7:7">
      <c r="G195" s="6"/>
    </row>
    <row r="196" spans="7:7">
      <c r="G196" s="6"/>
    </row>
    <row r="197" spans="7:7">
      <c r="G197" s="6"/>
    </row>
    <row r="198" spans="7:7">
      <c r="G198" s="6"/>
    </row>
    <row r="199" spans="7:7">
      <c r="G199" s="6"/>
    </row>
    <row r="200" spans="7:7">
      <c r="G200" s="6"/>
    </row>
    <row r="201" spans="7:7">
      <c r="G201" s="6"/>
    </row>
    <row r="202" spans="7:7">
      <c r="G202" s="6"/>
    </row>
    <row r="203" spans="7:7">
      <c r="G203" s="6"/>
    </row>
    <row r="204" spans="7:7">
      <c r="G204" s="6"/>
    </row>
    <row r="205" spans="7:7">
      <c r="G205" s="6"/>
    </row>
    <row r="206" spans="7:7">
      <c r="G206" s="6"/>
    </row>
    <row r="207" spans="7:7">
      <c r="G207" s="6"/>
    </row>
    <row r="208" spans="7:7">
      <c r="G208" s="6"/>
    </row>
    <row r="209" spans="7:7">
      <c r="G209" s="6"/>
    </row>
    <row r="210" spans="7:7">
      <c r="G210" s="6"/>
    </row>
    <row r="211" spans="7:7">
      <c r="G211" s="6"/>
    </row>
    <row r="212" spans="7:7">
      <c r="G212" s="6"/>
    </row>
    <row r="213" spans="7:7">
      <c r="G213" s="6"/>
    </row>
    <row r="214" spans="7:7">
      <c r="G214" s="6"/>
    </row>
    <row r="215" spans="7:7">
      <c r="G215" s="6"/>
    </row>
    <row r="216" spans="7:7">
      <c r="G216" s="6"/>
    </row>
    <row r="217" spans="7:7">
      <c r="G217" s="6"/>
    </row>
    <row r="218" spans="7:7">
      <c r="G218" s="6"/>
    </row>
    <row r="219" spans="7:7">
      <c r="G219" s="6"/>
    </row>
    <row r="220" spans="7:7">
      <c r="G220" s="6"/>
    </row>
    <row r="221" spans="7:7">
      <c r="G221" s="6"/>
    </row>
    <row r="222" spans="7:7">
      <c r="G222" s="6"/>
    </row>
    <row r="223" spans="7:7">
      <c r="G223" s="6"/>
    </row>
    <row r="224" spans="7:7">
      <c r="G224" s="6"/>
    </row>
    <row r="225" spans="7:7">
      <c r="G225" s="6"/>
    </row>
    <row r="226" spans="7:7">
      <c r="G226" s="6"/>
    </row>
    <row r="227" spans="7:7">
      <c r="G227" s="6"/>
    </row>
    <row r="228" spans="7:7">
      <c r="G228" s="6"/>
    </row>
    <row r="229" spans="7:7">
      <c r="G229" s="6"/>
    </row>
    <row r="230" spans="7:7">
      <c r="G230" s="6"/>
    </row>
    <row r="231" spans="7:7">
      <c r="G231" s="6"/>
    </row>
    <row r="232" spans="7:7">
      <c r="G232" s="6"/>
    </row>
    <row r="233" spans="7:7">
      <c r="G233" s="6"/>
    </row>
    <row r="234" spans="7:7">
      <c r="G234" s="6"/>
    </row>
    <row r="235" spans="7:7">
      <c r="G235" s="6"/>
    </row>
    <row r="236" spans="7:7">
      <c r="G236" s="6"/>
    </row>
    <row r="237" spans="7:7">
      <c r="G237" s="6"/>
    </row>
    <row r="238" spans="7:7">
      <c r="G238" s="6"/>
    </row>
    <row r="239" spans="7:7">
      <c r="G239" s="6"/>
    </row>
    <row r="240" spans="7:7">
      <c r="G240" s="6"/>
    </row>
    <row r="241" spans="7:7">
      <c r="G241" s="6"/>
    </row>
    <row r="242" spans="7:7">
      <c r="G242" s="6"/>
    </row>
    <row r="243" spans="7:7">
      <c r="G243" s="6"/>
    </row>
    <row r="244" spans="7:7">
      <c r="G244" s="6"/>
    </row>
    <row r="245" spans="7:7">
      <c r="G245" s="6"/>
    </row>
    <row r="246" spans="7:7">
      <c r="G246" s="6"/>
    </row>
    <row r="247" spans="7:7">
      <c r="G247" s="6"/>
    </row>
    <row r="248" spans="7:7">
      <c r="G248" s="6"/>
    </row>
    <row r="249" spans="7:7">
      <c r="G249" s="6"/>
    </row>
    <row r="250" spans="7:7">
      <c r="G250" s="6"/>
    </row>
    <row r="251" spans="7:7">
      <c r="G251" s="6"/>
    </row>
    <row r="252" spans="7:7">
      <c r="G252" s="6"/>
    </row>
    <row r="253" spans="7:7">
      <c r="G253" s="6"/>
    </row>
    <row r="254" spans="7:7">
      <c r="G254" s="6"/>
    </row>
    <row r="255" spans="7:7">
      <c r="G255" s="6"/>
    </row>
    <row r="256" spans="7:7">
      <c r="G256" s="6"/>
    </row>
    <row r="257" spans="7:7">
      <c r="G257" s="6"/>
    </row>
    <row r="258" spans="7:7">
      <c r="G258" s="6"/>
    </row>
    <row r="259" spans="7:7">
      <c r="G259" s="6"/>
    </row>
    <row r="260" spans="7:7">
      <c r="G260" s="6"/>
    </row>
    <row r="261" spans="7:7">
      <c r="G261" s="6"/>
    </row>
    <row r="262" spans="7:7">
      <c r="G262" s="6"/>
    </row>
    <row r="263" spans="7:7">
      <c r="G263" s="6"/>
    </row>
    <row r="264" spans="7:7">
      <c r="G264" s="6"/>
    </row>
    <row r="265" spans="7:7">
      <c r="G265" s="6"/>
    </row>
    <row r="266" spans="7:7">
      <c r="G266" s="6"/>
    </row>
    <row r="267" spans="7:7">
      <c r="G267" s="6"/>
    </row>
    <row r="268" spans="7:7">
      <c r="G268" s="6"/>
    </row>
    <row r="269" spans="7:7">
      <c r="G269" s="6"/>
    </row>
    <row r="270" spans="7:7">
      <c r="G270" s="6"/>
    </row>
    <row r="271" spans="7:7">
      <c r="G271" s="6"/>
    </row>
    <row r="272" spans="7:7">
      <c r="G272" s="6"/>
    </row>
    <row r="273" spans="7:7">
      <c r="G273" s="6"/>
    </row>
    <row r="274" spans="7:7">
      <c r="G274" s="6"/>
    </row>
    <row r="275" spans="7:7">
      <c r="G275" s="6"/>
    </row>
    <row r="276" spans="7:7">
      <c r="G276" s="6"/>
    </row>
    <row r="277" spans="7:7">
      <c r="G277" s="6"/>
    </row>
    <row r="278" spans="7:7">
      <c r="G278" s="6"/>
    </row>
    <row r="279" spans="7:7">
      <c r="G279" s="6"/>
    </row>
    <row r="280" spans="7:7">
      <c r="G280" s="6"/>
    </row>
    <row r="281" spans="7:7">
      <c r="G281" s="6"/>
    </row>
    <row r="282" spans="7:7">
      <c r="G282" s="6"/>
    </row>
    <row r="283" spans="7:7">
      <c r="G283" s="6"/>
    </row>
    <row r="284" spans="7:7">
      <c r="G284" s="6"/>
    </row>
    <row r="285" spans="7:7">
      <c r="G285" s="6"/>
    </row>
    <row r="286" spans="7:7">
      <c r="G286" s="6"/>
    </row>
    <row r="287" spans="7:7">
      <c r="G287" s="6"/>
    </row>
    <row r="288" spans="7:7">
      <c r="G288" s="6"/>
    </row>
    <row r="289" spans="7:7">
      <c r="G289" s="6"/>
    </row>
    <row r="290" spans="7:7">
      <c r="G290" s="6"/>
    </row>
    <row r="291" spans="7:7">
      <c r="G291" s="6"/>
    </row>
    <row r="292" spans="7:7">
      <c r="G292" s="6"/>
    </row>
    <row r="293" spans="7:7">
      <c r="G293" s="6"/>
    </row>
    <row r="294" spans="7:7">
      <c r="G294" s="6"/>
    </row>
    <row r="295" spans="7:7">
      <c r="G295" s="6"/>
    </row>
    <row r="296" spans="7:7">
      <c r="G296" s="6"/>
    </row>
    <row r="297" spans="7:7">
      <c r="G297" s="6"/>
    </row>
    <row r="298" spans="7:7">
      <c r="G298" s="6"/>
    </row>
    <row r="299" spans="7:7">
      <c r="G299" s="6"/>
    </row>
    <row r="300" spans="7:7">
      <c r="G300" s="6"/>
    </row>
    <row r="301" spans="7:7">
      <c r="G301" s="6"/>
    </row>
    <row r="302" spans="7:7">
      <c r="G302" s="6"/>
    </row>
    <row r="303" spans="7:7">
      <c r="G303" s="6"/>
    </row>
    <row r="304" spans="7:7">
      <c r="G304" s="6"/>
    </row>
    <row r="305" spans="7:7">
      <c r="G305" s="6"/>
    </row>
    <row r="306" spans="7:7">
      <c r="G306" s="6"/>
    </row>
    <row r="307" spans="7:7">
      <c r="G307" s="6"/>
    </row>
    <row r="308" spans="7:7">
      <c r="G308" s="6"/>
    </row>
    <row r="309" spans="7:7">
      <c r="G309" s="6"/>
    </row>
    <row r="310" spans="7:7">
      <c r="G310" s="6"/>
    </row>
    <row r="311" spans="7:7">
      <c r="G311" s="6"/>
    </row>
    <row r="312" spans="7:7">
      <c r="G312" s="6"/>
    </row>
    <row r="313" spans="7:7">
      <c r="G313" s="6"/>
    </row>
    <row r="314" spans="7:7">
      <c r="G314" s="6"/>
    </row>
    <row r="315" spans="7:7">
      <c r="G315" s="6"/>
    </row>
    <row r="316" spans="7:7">
      <c r="G316" s="6"/>
    </row>
    <row r="317" spans="7:7">
      <c r="G317" s="6"/>
    </row>
    <row r="318" spans="7:7">
      <c r="G318" s="6"/>
    </row>
    <row r="319" spans="7:7">
      <c r="G319" s="6"/>
    </row>
    <row r="320" spans="7:7">
      <c r="G320" s="6"/>
    </row>
    <row r="321" spans="7:7">
      <c r="G321" s="6"/>
    </row>
    <row r="322" spans="7:7">
      <c r="G322" s="6"/>
    </row>
    <row r="323" spans="7:7">
      <c r="G323" s="6"/>
    </row>
    <row r="324" spans="7:7">
      <c r="G324" s="6"/>
    </row>
    <row r="325" spans="7:7">
      <c r="G325" s="6"/>
    </row>
    <row r="326" spans="7:7">
      <c r="G326" s="6"/>
    </row>
    <row r="327" spans="7:7">
      <c r="G327" s="6"/>
    </row>
    <row r="328" spans="7:7">
      <c r="G328" s="6"/>
    </row>
    <row r="329" spans="7:7">
      <c r="G329" s="6"/>
    </row>
    <row r="330" spans="7:7">
      <c r="G330" s="6"/>
    </row>
    <row r="331" spans="7:7">
      <c r="G331" s="6"/>
    </row>
    <row r="332" spans="7:7">
      <c r="G332" s="6"/>
    </row>
    <row r="333" spans="7:7">
      <c r="G333" s="6"/>
    </row>
    <row r="334" spans="7:7">
      <c r="G334" s="6"/>
    </row>
    <row r="335" spans="7:7">
      <c r="G335" s="6"/>
    </row>
    <row r="336" spans="7:7">
      <c r="G336" s="6"/>
    </row>
    <row r="337" spans="7:7">
      <c r="G337" s="6"/>
    </row>
    <row r="338" spans="7:7">
      <c r="G338" s="6"/>
    </row>
    <row r="339" spans="7:7">
      <c r="G339" s="6"/>
    </row>
    <row r="340" spans="7:7">
      <c r="G340" s="6"/>
    </row>
    <row r="341" spans="7:7">
      <c r="G341" s="6"/>
    </row>
    <row r="342" spans="7:7">
      <c r="G342" s="6"/>
    </row>
    <row r="343" spans="7:7">
      <c r="G343" s="6"/>
    </row>
    <row r="344" spans="7:7">
      <c r="G344" s="6"/>
    </row>
    <row r="345" spans="7:7">
      <c r="G345" s="6"/>
    </row>
    <row r="346" spans="7:7">
      <c r="G346" s="6"/>
    </row>
    <row r="347" spans="7:7">
      <c r="G347" s="6"/>
    </row>
    <row r="348" spans="7:7">
      <c r="G348" s="6"/>
    </row>
    <row r="349" spans="7:7">
      <c r="G349" s="6"/>
    </row>
    <row r="350" spans="7:7">
      <c r="G350" s="6"/>
    </row>
    <row r="351" spans="7:7">
      <c r="G351" s="6"/>
    </row>
    <row r="352" spans="7:7">
      <c r="G352" s="6"/>
    </row>
    <row r="353" spans="7:7">
      <c r="G353" s="6"/>
    </row>
    <row r="354" spans="7:7">
      <c r="G354" s="6"/>
    </row>
    <row r="355" spans="7:7">
      <c r="G355" s="6"/>
    </row>
    <row r="356" spans="7:7">
      <c r="G356" s="6"/>
    </row>
    <row r="357" spans="7:7">
      <c r="G357" s="6"/>
    </row>
    <row r="358" spans="7:7">
      <c r="G358" s="6"/>
    </row>
    <row r="359" spans="7:7">
      <c r="G359" s="6"/>
    </row>
    <row r="360" spans="7:7">
      <c r="G360" s="6"/>
    </row>
    <row r="361" spans="7:7">
      <c r="G361" s="6"/>
    </row>
    <row r="362" spans="7:7">
      <c r="G362" s="6"/>
    </row>
    <row r="363" spans="7:7">
      <c r="G363" s="6"/>
    </row>
    <row r="364" spans="7:7">
      <c r="G364" s="6"/>
    </row>
    <row r="365" spans="7:7">
      <c r="G365" s="6"/>
    </row>
    <row r="366" spans="7:7">
      <c r="G366" s="6"/>
    </row>
    <row r="367" spans="7:7">
      <c r="G367" s="6"/>
    </row>
    <row r="368" spans="7:7">
      <c r="G368" s="6"/>
    </row>
    <row r="369" spans="7:7">
      <c r="G369" s="6"/>
    </row>
    <row r="370" spans="7:7">
      <c r="G370" s="6"/>
    </row>
    <row r="371" spans="7:7">
      <c r="G371" s="6"/>
    </row>
    <row r="372" spans="7:7">
      <c r="G372" s="6"/>
    </row>
    <row r="373" spans="7:7">
      <c r="G373" s="6"/>
    </row>
    <row r="374" spans="7:7">
      <c r="G374" s="6"/>
    </row>
    <row r="375" spans="7:7">
      <c r="G375" s="6"/>
    </row>
    <row r="376" spans="7:7">
      <c r="G376" s="6"/>
    </row>
    <row r="377" spans="7:7">
      <c r="G377" s="6"/>
    </row>
    <row r="378" spans="7:7">
      <c r="G378" s="6"/>
    </row>
    <row r="379" spans="7:7">
      <c r="G379" s="6"/>
    </row>
    <row r="380" spans="7:7">
      <c r="G380" s="6"/>
    </row>
    <row r="381" spans="7:7">
      <c r="G381" s="6"/>
    </row>
    <row r="382" spans="7:7">
      <c r="G382" s="6"/>
    </row>
    <row r="383" spans="7:7">
      <c r="G383" s="6"/>
    </row>
    <row r="384" spans="7:7">
      <c r="G384" s="6"/>
    </row>
    <row r="385" spans="7:7">
      <c r="G385" s="6"/>
    </row>
    <row r="386" spans="7:7">
      <c r="G386" s="6"/>
    </row>
    <row r="387" spans="7:7">
      <c r="G387" s="6"/>
    </row>
    <row r="388" spans="7:7">
      <c r="G388" s="6"/>
    </row>
    <row r="389" spans="7:7">
      <c r="G389" s="6"/>
    </row>
    <row r="390" spans="7:7">
      <c r="G390" s="6"/>
    </row>
    <row r="391" spans="7:7">
      <c r="G391" s="6"/>
    </row>
    <row r="392" spans="7:7">
      <c r="G392" s="6"/>
    </row>
    <row r="393" spans="7:7">
      <c r="G393" s="6"/>
    </row>
    <row r="394" spans="7:7">
      <c r="G394" s="6"/>
    </row>
    <row r="395" spans="7:7">
      <c r="G395" s="6"/>
    </row>
    <row r="396" spans="7:7">
      <c r="G396" s="6"/>
    </row>
    <row r="397" spans="7:7">
      <c r="G397" s="6"/>
    </row>
    <row r="398" spans="7:7">
      <c r="G398" s="6"/>
    </row>
    <row r="399" spans="7:7">
      <c r="G399" s="6"/>
    </row>
    <row r="400" spans="7:7">
      <c r="G400" s="6"/>
    </row>
    <row r="401" spans="7:7">
      <c r="G401" s="6"/>
    </row>
    <row r="402" spans="7:7">
      <c r="G402" s="6"/>
    </row>
    <row r="403" spans="7:7">
      <c r="G403" s="6"/>
    </row>
    <row r="404" spans="7:7">
      <c r="G404" s="6"/>
    </row>
    <row r="405" spans="7:7">
      <c r="G405" s="6"/>
    </row>
    <row r="406" spans="7:7">
      <c r="G406" s="6"/>
    </row>
    <row r="407" spans="7:7">
      <c r="G407" s="6"/>
    </row>
    <row r="408" spans="7:7">
      <c r="G408" s="6"/>
    </row>
    <row r="409" spans="7:7">
      <c r="G409" s="6"/>
    </row>
    <row r="410" spans="7:7">
      <c r="G410" s="6"/>
    </row>
    <row r="411" spans="7:7">
      <c r="G411" s="6"/>
    </row>
    <row r="412" spans="7:7">
      <c r="G412" s="6"/>
    </row>
    <row r="413" spans="7:7">
      <c r="G413" s="6"/>
    </row>
    <row r="414" spans="7:7">
      <c r="G414" s="6"/>
    </row>
    <row r="415" spans="7:7">
      <c r="G415" s="6"/>
    </row>
    <row r="416" spans="7:7">
      <c r="G416" s="6"/>
    </row>
    <row r="417" spans="7:7">
      <c r="G417" s="6"/>
    </row>
    <row r="418" spans="7:7">
      <c r="G418" s="6"/>
    </row>
    <row r="419" spans="7:7">
      <c r="G419" s="6"/>
    </row>
    <row r="420" spans="7:7">
      <c r="G420" s="6"/>
    </row>
    <row r="421" spans="7:7">
      <c r="G421" s="6"/>
    </row>
    <row r="422" spans="7:7">
      <c r="G422" s="6"/>
    </row>
    <row r="423" spans="7:7">
      <c r="G423" s="6"/>
    </row>
    <row r="424" spans="7:7">
      <c r="G424" s="6"/>
    </row>
    <row r="425" spans="7:7">
      <c r="G425" s="6"/>
    </row>
    <row r="426" spans="7:7">
      <c r="G426" s="6"/>
    </row>
    <row r="427" spans="7:7">
      <c r="G427" s="6"/>
    </row>
    <row r="428" spans="7:7">
      <c r="G428" s="6"/>
    </row>
    <row r="429" spans="7:7">
      <c r="G429" s="6"/>
    </row>
    <row r="430" spans="7:7">
      <c r="G430" s="6"/>
    </row>
    <row r="431" spans="7:7">
      <c r="G431" s="6"/>
    </row>
    <row r="432" spans="7:7">
      <c r="G432" s="6"/>
    </row>
    <row r="433" spans="7:7">
      <c r="G433" s="6"/>
    </row>
    <row r="434" spans="7:7">
      <c r="G434" s="6"/>
    </row>
    <row r="435" spans="7:7">
      <c r="G435" s="6"/>
    </row>
    <row r="436" spans="7:7">
      <c r="G436" s="6"/>
    </row>
    <row r="437" spans="7:7">
      <c r="G437" s="6"/>
    </row>
    <row r="438" spans="7:7">
      <c r="G438" s="6"/>
    </row>
    <row r="439" spans="7:7">
      <c r="G439" s="6"/>
    </row>
    <row r="440" spans="7:7">
      <c r="G440" s="6"/>
    </row>
    <row r="441" spans="7:7">
      <c r="G441" s="6"/>
    </row>
    <row r="442" spans="7:7">
      <c r="G442" s="6"/>
    </row>
    <row r="443" spans="7:7">
      <c r="G443" s="6"/>
    </row>
    <row r="444" spans="7:7">
      <c r="G444" s="6"/>
    </row>
    <row r="445" spans="7:7">
      <c r="G445" s="6"/>
    </row>
    <row r="446" spans="7:7">
      <c r="G446" s="6"/>
    </row>
    <row r="447" spans="7:7">
      <c r="G447" s="6"/>
    </row>
    <row r="448" spans="7:7">
      <c r="G448" s="6"/>
    </row>
    <row r="449" spans="7:7">
      <c r="G449" s="6"/>
    </row>
    <row r="450" spans="7:7">
      <c r="G450" s="6"/>
    </row>
    <row r="451" spans="7:7">
      <c r="G451" s="6"/>
    </row>
    <row r="452" spans="7:7">
      <c r="G452" s="6"/>
    </row>
    <row r="453" spans="7:7">
      <c r="G453" s="6"/>
    </row>
    <row r="454" spans="7:7">
      <c r="G454" s="6"/>
    </row>
    <row r="455" spans="7:7">
      <c r="G455" s="6"/>
    </row>
    <row r="456" spans="7:7">
      <c r="G456" s="6"/>
    </row>
    <row r="457" spans="7:7">
      <c r="G457" s="6"/>
    </row>
    <row r="458" spans="7:7">
      <c r="G458" s="6"/>
    </row>
    <row r="459" spans="7:7">
      <c r="G459" s="6"/>
    </row>
    <row r="460" spans="7:7">
      <c r="G460" s="6"/>
    </row>
    <row r="461" spans="7:7">
      <c r="G461" s="6"/>
    </row>
    <row r="462" spans="7:7">
      <c r="G462" s="6"/>
    </row>
    <row r="463" spans="7:7">
      <c r="G463" s="6"/>
    </row>
    <row r="464" spans="7:7">
      <c r="G464" s="6"/>
    </row>
    <row r="465" spans="7:7">
      <c r="G465" s="6"/>
    </row>
    <row r="466" spans="7:7">
      <c r="G466" s="6"/>
    </row>
    <row r="467" spans="7:7">
      <c r="G467" s="6"/>
    </row>
    <row r="468" spans="7:7">
      <c r="G468" s="6"/>
    </row>
    <row r="469" spans="7:7">
      <c r="G469" s="6"/>
    </row>
    <row r="470" spans="7:7">
      <c r="G470" s="6"/>
    </row>
    <row r="471" spans="7:7">
      <c r="G471" s="6"/>
    </row>
    <row r="472" spans="7:7">
      <c r="G472" s="6"/>
    </row>
    <row r="473" spans="7:7">
      <c r="G473" s="6"/>
    </row>
    <row r="474" spans="7:7">
      <c r="G474" s="6"/>
    </row>
    <row r="475" spans="7:7">
      <c r="G475" s="6"/>
    </row>
    <row r="476" spans="7:7">
      <c r="G476" s="6"/>
    </row>
    <row r="477" spans="7:7">
      <c r="G477" s="6"/>
    </row>
    <row r="478" spans="7:7">
      <c r="G478" s="6"/>
    </row>
    <row r="479" spans="7:7">
      <c r="G479" s="6"/>
    </row>
    <row r="480" spans="7:7">
      <c r="G480" s="6"/>
    </row>
    <row r="481" spans="7:7">
      <c r="G481" s="6"/>
    </row>
    <row r="482" spans="7:7">
      <c r="G482" s="6"/>
    </row>
    <row r="483" spans="7:7">
      <c r="G483" s="6"/>
    </row>
    <row r="484" spans="7:7">
      <c r="G484" s="6"/>
    </row>
    <row r="485" spans="7:7">
      <c r="G485" s="6"/>
    </row>
    <row r="486" spans="7:7">
      <c r="G486" s="6"/>
    </row>
    <row r="487" spans="7:7">
      <c r="G487" s="6"/>
    </row>
    <row r="488" spans="7:7">
      <c r="G488" s="6"/>
    </row>
    <row r="489" spans="7:7">
      <c r="G489" s="6"/>
    </row>
    <row r="490" spans="7:7">
      <c r="G490" s="6"/>
    </row>
    <row r="491" spans="7:7">
      <c r="G491" s="6"/>
    </row>
    <row r="492" spans="7:7">
      <c r="G492" s="6"/>
    </row>
    <row r="493" spans="7:7">
      <c r="G493" s="6"/>
    </row>
    <row r="494" spans="7:7">
      <c r="G494" s="6"/>
    </row>
    <row r="495" spans="7:7">
      <c r="G495" s="6"/>
    </row>
    <row r="496" spans="7:7">
      <c r="G496" s="6"/>
    </row>
    <row r="497" spans="7:7">
      <c r="G497" s="6"/>
    </row>
    <row r="498" spans="7:7">
      <c r="G498" s="6"/>
    </row>
    <row r="499" spans="7:7">
      <c r="G499" s="6"/>
    </row>
    <row r="500" spans="7:7">
      <c r="G500" s="6"/>
    </row>
    <row r="501" spans="7:7">
      <c r="G501" s="6"/>
    </row>
    <row r="502" spans="7:7">
      <c r="G502" s="6"/>
    </row>
    <row r="503" spans="7:7">
      <c r="G503" s="6"/>
    </row>
    <row r="504" spans="7:7">
      <c r="G504" s="6"/>
    </row>
    <row r="505" spans="7:7">
      <c r="G505" s="6"/>
    </row>
    <row r="506" spans="7:7">
      <c r="G506" s="6"/>
    </row>
    <row r="507" spans="7:7">
      <c r="G507" s="6"/>
    </row>
    <row r="508" spans="7:7">
      <c r="G508" s="6"/>
    </row>
    <row r="509" spans="7:7">
      <c r="G509" s="6"/>
    </row>
    <row r="510" spans="7:7">
      <c r="G510" s="6"/>
    </row>
    <row r="511" spans="7:7">
      <c r="G511" s="6"/>
    </row>
    <row r="512" spans="7:7">
      <c r="G512" s="6"/>
    </row>
    <row r="513" spans="7:7">
      <c r="G513" s="6"/>
    </row>
    <row r="514" spans="7:7">
      <c r="G514" s="6"/>
    </row>
    <row r="515" spans="7:7">
      <c r="G515" s="6"/>
    </row>
    <row r="516" spans="7:7">
      <c r="G516" s="6"/>
    </row>
    <row r="517" spans="7:7">
      <c r="G517" s="6"/>
    </row>
    <row r="518" spans="7:7">
      <c r="G518" s="6"/>
    </row>
    <row r="519" spans="7:7">
      <c r="G519" s="6"/>
    </row>
    <row r="520" spans="7:7">
      <c r="G520" s="6"/>
    </row>
    <row r="521" spans="7:7">
      <c r="G521" s="6"/>
    </row>
    <row r="522" spans="7:7">
      <c r="G522" s="6"/>
    </row>
    <row r="523" spans="7:7">
      <c r="G523" s="6"/>
    </row>
    <row r="524" spans="7:7">
      <c r="G524" s="6"/>
    </row>
    <row r="525" spans="7:7">
      <c r="G525" s="6"/>
    </row>
    <row r="526" spans="7:7">
      <c r="G526" s="6"/>
    </row>
    <row r="527" spans="7:7">
      <c r="G527" s="6"/>
    </row>
    <row r="528" spans="7:7">
      <c r="G528" s="6"/>
    </row>
    <row r="529" spans="7:7">
      <c r="G529" s="6"/>
    </row>
    <row r="530" spans="7:7">
      <c r="G530" s="6"/>
    </row>
    <row r="531" spans="7:7">
      <c r="G531" s="6"/>
    </row>
    <row r="532" spans="7:7">
      <c r="G532" s="6"/>
    </row>
    <row r="533" spans="7:7">
      <c r="G533" s="6"/>
    </row>
    <row r="534" spans="7:7">
      <c r="G534" s="6"/>
    </row>
    <row r="535" spans="7:7">
      <c r="G535" s="6"/>
    </row>
    <row r="536" spans="7:7">
      <c r="G536" s="6"/>
    </row>
    <row r="537" spans="7:7">
      <c r="G537" s="6"/>
    </row>
    <row r="538" spans="7:7">
      <c r="G538" s="6"/>
    </row>
    <row r="539" spans="7:7">
      <c r="G539" s="6"/>
    </row>
    <row r="540" spans="7:7">
      <c r="G540" s="6"/>
    </row>
    <row r="541" spans="7:7">
      <c r="G541" s="6"/>
    </row>
    <row r="542" spans="7:7">
      <c r="G542" s="6"/>
    </row>
    <row r="543" spans="7:7">
      <c r="G543" s="6"/>
    </row>
    <row r="544" spans="7:7">
      <c r="G544" s="6"/>
    </row>
    <row r="545" spans="7:7">
      <c r="G545" s="6"/>
    </row>
    <row r="546" spans="7:7">
      <c r="G546" s="6"/>
    </row>
    <row r="547" spans="7:7">
      <c r="G547" s="6"/>
    </row>
    <row r="548" spans="7:7">
      <c r="G548" s="6"/>
    </row>
    <row r="549" spans="7:7">
      <c r="G549" s="6"/>
    </row>
    <row r="550" spans="7:7">
      <c r="G550" s="6"/>
    </row>
    <row r="551" spans="7:7">
      <c r="G551" s="6"/>
    </row>
    <row r="552" spans="7:7">
      <c r="G552" s="6"/>
    </row>
    <row r="553" spans="7:7">
      <c r="G553" s="6"/>
    </row>
    <row r="554" spans="7:7">
      <c r="G554" s="6"/>
    </row>
    <row r="555" spans="7:7">
      <c r="G555" s="6"/>
    </row>
    <row r="556" spans="7:7">
      <c r="G556" s="6"/>
    </row>
    <row r="557" spans="7:7">
      <c r="G557" s="6"/>
    </row>
    <row r="558" spans="7:7">
      <c r="G558" s="6"/>
    </row>
    <row r="559" spans="7:7">
      <c r="G559" s="6"/>
    </row>
    <row r="560" spans="7:7">
      <c r="G560" s="6"/>
    </row>
    <row r="561" spans="7:7">
      <c r="G561" s="6"/>
    </row>
    <row r="562" spans="7:7">
      <c r="G562" s="6"/>
    </row>
    <row r="563" spans="7:7">
      <c r="G563" s="6"/>
    </row>
    <row r="564" spans="7:7">
      <c r="G564" s="6"/>
    </row>
    <row r="565" spans="7:7">
      <c r="G565" s="6"/>
    </row>
    <row r="566" spans="7:7">
      <c r="G566" s="6"/>
    </row>
    <row r="567" spans="7:7">
      <c r="G567" s="6"/>
    </row>
    <row r="568" spans="7:7">
      <c r="G568" s="6"/>
    </row>
    <row r="569" spans="7:7">
      <c r="G569" s="6"/>
    </row>
    <row r="570" spans="7:7">
      <c r="G570" s="6"/>
    </row>
    <row r="571" spans="7:7">
      <c r="G571" s="6"/>
    </row>
    <row r="572" spans="7:7">
      <c r="G572" s="6"/>
    </row>
    <row r="573" spans="7:7">
      <c r="G573" s="6"/>
    </row>
    <row r="574" spans="7:7">
      <c r="G574" s="6"/>
    </row>
    <row r="575" spans="7:7">
      <c r="G575" s="6"/>
    </row>
    <row r="576" spans="7:7">
      <c r="G576" s="6"/>
    </row>
    <row r="577" spans="7:7">
      <c r="G577" s="6"/>
    </row>
    <row r="578" spans="7:7">
      <c r="G578" s="6"/>
    </row>
    <row r="579" spans="7:7">
      <c r="G579" s="6"/>
    </row>
    <row r="580" spans="7:7">
      <c r="G580" s="6"/>
    </row>
    <row r="581" spans="7:7">
      <c r="G581" s="6"/>
    </row>
    <row r="582" spans="7:7">
      <c r="G582" s="6"/>
    </row>
    <row r="583" spans="7:7">
      <c r="G583" s="6"/>
    </row>
    <row r="584" spans="7:7">
      <c r="G584" s="6"/>
    </row>
    <row r="585" spans="7:7">
      <c r="G585" s="6"/>
    </row>
    <row r="586" spans="7:7">
      <c r="G586" s="6"/>
    </row>
    <row r="587" spans="7:7">
      <c r="G587" s="6"/>
    </row>
    <row r="588" spans="7:7">
      <c r="G588" s="6"/>
    </row>
    <row r="589" spans="7:7">
      <c r="G589" s="6"/>
    </row>
    <row r="590" spans="7:7">
      <c r="G590" s="6"/>
    </row>
    <row r="591" spans="7:7">
      <c r="G591" s="6"/>
    </row>
    <row r="592" spans="7:7">
      <c r="G592" s="6"/>
    </row>
    <row r="593" spans="7:7">
      <c r="G593" s="6"/>
    </row>
    <row r="594" spans="7:7">
      <c r="G594" s="6"/>
    </row>
    <row r="595" spans="7:7">
      <c r="G595" s="6"/>
    </row>
    <row r="596" spans="7:7">
      <c r="G596" s="6"/>
    </row>
    <row r="597" spans="7:7">
      <c r="G597" s="6"/>
    </row>
    <row r="598" spans="7:7">
      <c r="G598" s="6"/>
    </row>
    <row r="599" spans="7:7">
      <c r="G599" s="6"/>
    </row>
    <row r="600" spans="7:7">
      <c r="G600" s="6"/>
    </row>
  </sheetData>
  <mergeCells count="4">
    <mergeCell ref="A1:A3"/>
    <mergeCell ref="A39:B39"/>
    <mergeCell ref="A34:B34"/>
    <mergeCell ref="AV2:AX2"/>
  </mergeCells>
  <phoneticPr fontId="167" type="noConversion"/>
  <conditionalFormatting sqref="AV3:AX3">
    <cfRule type="cellIs" dxfId="123" priority="13" operator="equal">
      <formula>#REF!</formula>
    </cfRule>
    <cfRule type="cellIs" dxfId="122" priority="14" operator="equal">
      <formula>#REF!</formula>
    </cfRule>
  </conditionalFormatting>
  <conditionalFormatting sqref="AV3:AX3">
    <cfRule type="cellIs" dxfId="121" priority="15" operator="equal">
      <formula>#REF!</formula>
    </cfRule>
    <cfRule type="cellIs" dxfId="120" priority="16" operator="equal">
      <formula>#REF!</formula>
    </cfRule>
  </conditionalFormatting>
  <conditionalFormatting sqref="AT4:AU4">
    <cfRule type="cellIs" dxfId="119" priority="9" operator="equal">
      <formula>#REF!</formula>
    </cfRule>
    <cfRule type="cellIs" dxfId="118" priority="10" operator="equal">
      <formula>#REF!</formula>
    </cfRule>
  </conditionalFormatting>
  <conditionalFormatting sqref="AT4:AU4">
    <cfRule type="cellIs" dxfId="117" priority="11" operator="equal">
      <formula>#REF!</formula>
    </cfRule>
    <cfRule type="cellIs" dxfId="116" priority="12" operator="equal">
      <formula>#REF!</formula>
    </cfRule>
  </conditionalFormatting>
  <conditionalFormatting sqref="AT4:AU4">
    <cfRule type="cellIs" dxfId="115" priority="5" operator="equal">
      <formula>#REF!</formula>
    </cfRule>
    <cfRule type="cellIs" dxfId="114" priority="6" operator="equal">
      <formula>#REF!</formula>
    </cfRule>
  </conditionalFormatting>
  <conditionalFormatting sqref="AT4:AU4">
    <cfRule type="cellIs" dxfId="113" priority="7" operator="equal">
      <formula>#REF!</formula>
    </cfRule>
    <cfRule type="cellIs" dxfId="112" priority="8" operator="equal">
      <formula>#REF!</formula>
    </cfRule>
  </conditionalFormatting>
  <conditionalFormatting sqref="D3:AU3">
    <cfRule type="cellIs" dxfId="111" priority="1" operator="equal">
      <formula>#REF!</formula>
    </cfRule>
    <cfRule type="cellIs" dxfId="110" priority="2" operator="equal">
      <formula>#REF!</formula>
    </cfRule>
  </conditionalFormatting>
  <conditionalFormatting sqref="D3:AU3">
    <cfRule type="cellIs" dxfId="109" priority="3" operator="equal">
      <formula>#REF!</formula>
    </cfRule>
    <cfRule type="cellIs" dxfId="108" priority="4" operator="equal">
      <formula>#REF!</formula>
    </cfRule>
  </conditionalFormatting>
  <pageMargins left="0.7" right="0.7" top="0.75" bottom="0.75" header="0.3" footer="0.3"/>
  <pageSetup paperSize="3" orientation="landscape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DBF7D-5F6A-438B-88E2-E4C5457A478F}">
  <sheetPr>
    <tabColor theme="6" tint="-0.249977111117893"/>
    <pageSetUpPr fitToPage="1"/>
  </sheetPr>
  <dimension ref="A1:H113"/>
  <sheetViews>
    <sheetView showOutlineSymbols="0" showWhiteSpace="0" topLeftCell="A12" workbookViewId="0">
      <selection activeCell="B72" sqref="B72"/>
    </sheetView>
  </sheetViews>
  <sheetFormatPr defaultColWidth="8.85546875" defaultRowHeight="12.6"/>
  <cols>
    <col min="1" max="1" width="36.5703125" style="6" bestFit="1" customWidth="1"/>
    <col min="2" max="2" width="22.140625" style="6" bestFit="1" customWidth="1"/>
    <col min="3" max="3" width="22.42578125" style="6" bestFit="1" customWidth="1"/>
    <col min="4" max="4" width="11.85546875" style="6" bestFit="1" customWidth="1"/>
    <col min="5" max="5" width="18.140625" style="6" bestFit="1" customWidth="1"/>
    <col min="6" max="6" width="2.85546875" style="6" bestFit="1" customWidth="1"/>
    <col min="7" max="7" width="13.140625" style="6" bestFit="1" customWidth="1"/>
    <col min="8" max="8" width="24.5703125" style="6" customWidth="1"/>
    <col min="9" max="9" width="32.42578125" style="6" customWidth="1"/>
    <col min="10" max="10" width="20.140625" style="6" customWidth="1"/>
    <col min="11" max="16384" width="8.85546875" style="6"/>
  </cols>
  <sheetData>
    <row r="1" spans="1:8" ht="33.75" customHeight="1" thickBot="1">
      <c r="A1" s="428" t="s">
        <v>265</v>
      </c>
      <c r="B1" s="429"/>
      <c r="C1" s="429"/>
      <c r="D1" s="427" t="str">
        <f>'Development Program'!A5</f>
        <v>Apartments</v>
      </c>
      <c r="E1" s="427"/>
    </row>
    <row r="2" spans="1:8" ht="12.95">
      <c r="A2" s="7"/>
      <c r="B2" s="8"/>
      <c r="C2" s="8"/>
      <c r="D2" s="628">
        <v>0</v>
      </c>
      <c r="E2" s="629" t="s">
        <v>266</v>
      </c>
    </row>
    <row r="3" spans="1:8" ht="26.1">
      <c r="A3" s="9" t="s">
        <v>363</v>
      </c>
      <c r="B3" s="10" t="s">
        <v>268</v>
      </c>
      <c r="C3" s="48" t="s">
        <v>364</v>
      </c>
      <c r="D3" s="10" t="s">
        <v>365</v>
      </c>
      <c r="E3" s="11" t="s">
        <v>278</v>
      </c>
    </row>
    <row r="4" spans="1:8" ht="12.95">
      <c r="A4" s="232" t="s">
        <v>32</v>
      </c>
      <c r="B4" s="631">
        <v>50</v>
      </c>
      <c r="C4" s="631">
        <f>Assumptions!C7</f>
        <v>610</v>
      </c>
      <c r="D4" s="808">
        <f>Assumptions!C8</f>
        <v>2.77</v>
      </c>
      <c r="E4" s="633">
        <f>12*B4*C4*D4</f>
        <v>1013820</v>
      </c>
      <c r="G4" s="312"/>
    </row>
    <row r="5" spans="1:8" ht="12.95">
      <c r="A5" s="630" t="s">
        <v>366</v>
      </c>
      <c r="B5" s="631">
        <f>270-B8</f>
        <v>202</v>
      </c>
      <c r="C5" s="631">
        <f>Assumptions!C10</f>
        <v>740</v>
      </c>
      <c r="D5" s="808">
        <f>Assumptions!C11</f>
        <v>2.2999999999999998</v>
      </c>
      <c r="E5" s="633">
        <f t="shared" ref="E5:E10" si="0">12*B5*C5*D5</f>
        <v>4125647.9999999995</v>
      </c>
      <c r="G5" s="312"/>
      <c r="H5" s="317"/>
    </row>
    <row r="6" spans="1:8" ht="12.95">
      <c r="A6" s="232" t="s">
        <v>367</v>
      </c>
      <c r="B6" s="631">
        <f>240-B9</f>
        <v>180</v>
      </c>
      <c r="C6" s="631">
        <f>Assumptions!C13</f>
        <v>1000</v>
      </c>
      <c r="D6" s="808">
        <f>Assumptions!C14</f>
        <v>1.92</v>
      </c>
      <c r="E6" s="633">
        <f t="shared" si="0"/>
        <v>4147200</v>
      </c>
      <c r="G6" s="312"/>
      <c r="H6" s="317"/>
    </row>
    <row r="7" spans="1:8" ht="12.95">
      <c r="A7" s="232" t="s">
        <v>368</v>
      </c>
      <c r="B7" s="631">
        <f>15-B10</f>
        <v>11</v>
      </c>
      <c r="C7" s="631">
        <f>Assumptions!C16</f>
        <v>1200</v>
      </c>
      <c r="D7" s="808">
        <f>Assumptions!C17</f>
        <v>1.76</v>
      </c>
      <c r="E7" s="633">
        <f t="shared" si="0"/>
        <v>278784</v>
      </c>
      <c r="G7" s="312"/>
      <c r="H7" s="317"/>
    </row>
    <row r="8" spans="1:8" ht="12.95">
      <c r="A8" s="630" t="s">
        <v>369</v>
      </c>
      <c r="B8" s="631">
        <v>68</v>
      </c>
      <c r="C8" s="631">
        <f>C5</f>
        <v>740</v>
      </c>
      <c r="D8" s="808">
        <f>Assumptions!C66/C8</f>
        <v>1.5952984234234233</v>
      </c>
      <c r="E8" s="633">
        <f t="shared" si="0"/>
        <v>963304.99999999988</v>
      </c>
    </row>
    <row r="9" spans="1:8" ht="12.95">
      <c r="A9" s="232" t="s">
        <v>370</v>
      </c>
      <c r="B9" s="631">
        <v>60</v>
      </c>
      <c r="C9" s="631">
        <f>C6</f>
        <v>1000</v>
      </c>
      <c r="D9" s="808">
        <f>Assumptions!D66/C9</f>
        <v>1.2149066666666666</v>
      </c>
      <c r="E9" s="633">
        <f t="shared" si="0"/>
        <v>874732.79999999993</v>
      </c>
    </row>
    <row r="10" spans="1:8" ht="12.95">
      <c r="A10" s="232" t="s">
        <v>371</v>
      </c>
      <c r="B10" s="631">
        <v>4</v>
      </c>
      <c r="C10" s="631">
        <f>C7</f>
        <v>1200</v>
      </c>
      <c r="D10" s="808">
        <f>Assumptions!E66/'B Financial'!C10</f>
        <v>1.3944749999999999</v>
      </c>
      <c r="E10" s="633">
        <f t="shared" si="0"/>
        <v>80321.759999999995</v>
      </c>
    </row>
    <row r="11" spans="1:8" ht="12.95" thickBot="1">
      <c r="B11" s="634"/>
      <c r="C11" s="634"/>
      <c r="D11" s="637"/>
      <c r="E11" s="638"/>
    </row>
    <row r="12" spans="1:8" ht="14.1" thickTop="1" thickBot="1">
      <c r="A12" s="12" t="s">
        <v>273</v>
      </c>
      <c r="B12" s="13">
        <f>SUM(B4:B11)</f>
        <v>575</v>
      </c>
      <c r="C12" s="14">
        <f>SUMPRODUCT(B4:B10,C4:C10)</f>
        <v>488300</v>
      </c>
      <c r="D12" s="15"/>
      <c r="E12" s="639">
        <f>SUM(E4:E11)</f>
        <v>11483811.560000001</v>
      </c>
    </row>
    <row r="13" spans="1:8" ht="14.1" thickTop="1" thickBot="1">
      <c r="A13" s="16" t="s">
        <v>274</v>
      </c>
      <c r="B13" s="17"/>
      <c r="C13" s="18">
        <f>C12/B12</f>
        <v>849.21739130434787</v>
      </c>
      <c r="D13" s="19">
        <f>(E12/12)/C12</f>
        <v>1.9598285821557788</v>
      </c>
      <c r="E13" s="20"/>
    </row>
    <row r="14" spans="1:8" ht="12.95">
      <c r="A14" s="21"/>
      <c r="B14" s="22"/>
      <c r="C14" s="23"/>
      <c r="D14" s="24"/>
    </row>
    <row r="15" spans="1:8" ht="12.95">
      <c r="A15" s="9" t="s">
        <v>275</v>
      </c>
      <c r="B15" s="10" t="s">
        <v>276</v>
      </c>
      <c r="C15" s="10" t="s">
        <v>277</v>
      </c>
      <c r="D15" s="10" t="s">
        <v>278</v>
      </c>
    </row>
    <row r="16" spans="1:8" ht="12.95">
      <c r="A16" s="640" t="s">
        <v>46</v>
      </c>
      <c r="B16" s="641">
        <v>0</v>
      </c>
      <c r="C16" s="642">
        <f>Assumptions!F116</f>
        <v>0</v>
      </c>
      <c r="D16" s="643">
        <f>B16*C16</f>
        <v>0</v>
      </c>
    </row>
    <row r="17" spans="1:5" ht="13.5" thickBot="1">
      <c r="A17" s="644" t="s">
        <v>29</v>
      </c>
      <c r="B17" s="645">
        <v>0</v>
      </c>
      <c r="C17" s="809">
        <f>Assumptions!F112</f>
        <v>0</v>
      </c>
      <c r="D17" s="647">
        <f>B17*C17</f>
        <v>0</v>
      </c>
    </row>
    <row r="18" spans="1:5" ht="13.5" thickTop="1" thickBot="1">
      <c r="A18" s="25" t="s">
        <v>279</v>
      </c>
      <c r="B18" s="648">
        <f>SUM(B16:B17)</f>
        <v>0</v>
      </c>
      <c r="C18" s="26">
        <f>IF(B18=0,0,D18/B18)</f>
        <v>0</v>
      </c>
      <c r="D18" s="27">
        <f>SUM(D16:D17)</f>
        <v>0</v>
      </c>
    </row>
    <row r="19" spans="1:5" ht="12.95">
      <c r="A19" s="652" t="s">
        <v>280</v>
      </c>
      <c r="B19" s="650"/>
    </row>
    <row r="20" spans="1:5" ht="12.95">
      <c r="A20" s="514" t="s">
        <v>372</v>
      </c>
      <c r="B20" s="651">
        <f>B4*1+(B5+B8*1.25)+(B6+B7+B9+B10*2)</f>
        <v>596</v>
      </c>
      <c r="C20" s="283"/>
      <c r="D20" s="30"/>
    </row>
    <row r="21" spans="1:5" ht="13.5" thickBot="1">
      <c r="A21" s="515" t="s">
        <v>373</v>
      </c>
      <c r="B21" s="651">
        <v>0</v>
      </c>
      <c r="C21" s="29"/>
      <c r="D21" s="30"/>
    </row>
    <row r="22" spans="1:5" ht="13.5" thickTop="1" thickBot="1">
      <c r="A22" s="31" t="s">
        <v>284</v>
      </c>
      <c r="B22" s="32">
        <f>SUM(B20:B21)</f>
        <v>596</v>
      </c>
      <c r="C22" s="29"/>
      <c r="D22" s="30"/>
    </row>
    <row r="23" spans="1:5" ht="12.95">
      <c r="A23" s="652" t="s">
        <v>285</v>
      </c>
      <c r="B23" s="653" t="str">
        <f>D1</f>
        <v>Apartments</v>
      </c>
      <c r="C23" s="33"/>
      <c r="D23" s="33"/>
      <c r="E23" s="33"/>
    </row>
    <row r="24" spans="1:5" ht="12.95">
      <c r="A24" s="654" t="s">
        <v>286</v>
      </c>
      <c r="B24" s="655">
        <f>'Development Program'!C5</f>
        <v>255668.21</v>
      </c>
      <c r="C24" s="34"/>
      <c r="D24" s="35"/>
      <c r="E24" s="33"/>
    </row>
    <row r="25" spans="1:5" ht="12.95">
      <c r="A25" s="654" t="s">
        <v>374</v>
      </c>
      <c r="B25" s="655">
        <f>C12</f>
        <v>488300</v>
      </c>
      <c r="C25" s="34"/>
      <c r="D25" s="35"/>
      <c r="E25" s="33"/>
    </row>
    <row r="26" spans="1:5" ht="12.95">
      <c r="A26" s="656">
        <f>Assumptions!C26</f>
        <v>2</v>
      </c>
      <c r="B26" s="655">
        <f>B22*A26</f>
        <v>1192</v>
      </c>
      <c r="C26" s="34"/>
      <c r="D26" s="35"/>
      <c r="E26" s="33"/>
    </row>
    <row r="27" spans="1:5" ht="12.95">
      <c r="A27" s="810">
        <v>0.2</v>
      </c>
      <c r="B27" s="655">
        <f>(1+A27)*(B25+B26)</f>
        <v>587390.4</v>
      </c>
      <c r="C27" s="34"/>
      <c r="D27" s="35"/>
      <c r="E27" s="33"/>
    </row>
    <row r="28" spans="1:5" ht="13.5" thickBot="1">
      <c r="A28" s="811">
        <v>5</v>
      </c>
      <c r="B28" s="659">
        <f>B27/A28</f>
        <v>117478.08</v>
      </c>
      <c r="C28" s="34"/>
      <c r="D28" s="35"/>
      <c r="E28" s="33"/>
    </row>
    <row r="29" spans="1:5" ht="33.75" customHeight="1" thickBot="1">
      <c r="A29" s="436" t="s">
        <v>289</v>
      </c>
      <c r="B29" s="437"/>
      <c r="C29" s="451" t="str">
        <f>'Development Program'!A29</f>
        <v>Apartments</v>
      </c>
      <c r="D29" s="452"/>
      <c r="E29" s="33"/>
    </row>
    <row r="30" spans="1:5" ht="32.65" customHeight="1" thickBot="1">
      <c r="A30" s="662" t="s">
        <v>290</v>
      </c>
      <c r="B30" s="663" t="s">
        <v>291</v>
      </c>
      <c r="C30" s="663" t="s">
        <v>292</v>
      </c>
      <c r="D30" s="664" t="s">
        <v>293</v>
      </c>
      <c r="E30" s="33"/>
    </row>
    <row r="31" spans="1:5">
      <c r="A31" s="665" t="s">
        <v>375</v>
      </c>
      <c r="B31" s="666">
        <f>D31/B12</f>
        <v>19971.84619130435</v>
      </c>
      <c r="C31" s="667">
        <f>D31/C12</f>
        <v>23.517942985869343</v>
      </c>
      <c r="D31" s="36">
        <f>E12</f>
        <v>11483811.560000001</v>
      </c>
      <c r="E31" s="33"/>
    </row>
    <row r="32" spans="1:5">
      <c r="A32" s="812">
        <f>B18</f>
        <v>0</v>
      </c>
      <c r="B32" s="669" t="s">
        <v>376</v>
      </c>
      <c r="C32" s="435"/>
      <c r="D32" s="670">
        <f>D18</f>
        <v>0</v>
      </c>
      <c r="E32" s="33"/>
    </row>
    <row r="33" spans="1:5" ht="12.95">
      <c r="A33" s="671"/>
      <c r="B33" s="813" t="s">
        <v>377</v>
      </c>
      <c r="C33" s="813"/>
      <c r="D33" s="673">
        <f>SUM(D31:D32)</f>
        <v>11483811.560000001</v>
      </c>
      <c r="E33" s="33"/>
    </row>
    <row r="34" spans="1:5" ht="12.95">
      <c r="A34" s="814" t="s">
        <v>378</v>
      </c>
      <c r="B34" s="673" t="s">
        <v>379</v>
      </c>
      <c r="C34" s="673" t="s">
        <v>380</v>
      </c>
      <c r="D34" s="673"/>
      <c r="E34" s="33"/>
    </row>
    <row r="35" spans="1:5">
      <c r="A35" s="671" t="s">
        <v>381</v>
      </c>
      <c r="B35" s="677">
        <f>Assumptions!C35</f>
        <v>128</v>
      </c>
      <c r="C35" s="815">
        <f>D35/C12</f>
        <v>1.2047675609256605</v>
      </c>
      <c r="D35" s="677">
        <f>B35*B20*12-(B8*1.25+SUM(B9:B10)*2)*B35*12</f>
        <v>588288</v>
      </c>
      <c r="E35" s="33"/>
    </row>
    <row r="36" spans="1:5">
      <c r="A36" s="671" t="s">
        <v>382</v>
      </c>
      <c r="B36" s="677">
        <f>D36/B12</f>
        <v>1398.0292333913046</v>
      </c>
      <c r="C36" s="815">
        <f>D36/C12</f>
        <v>1.6462560090108542</v>
      </c>
      <c r="D36" s="677">
        <f>Assumptions!F14*D33</f>
        <v>803866.80920000013</v>
      </c>
      <c r="E36" s="33"/>
    </row>
    <row r="37" spans="1:5" ht="13.5" thickBot="1">
      <c r="A37" s="37" t="s">
        <v>383</v>
      </c>
      <c r="B37" s="444"/>
      <c r="C37" s="816"/>
      <c r="D37" s="38">
        <f>SUM(D35:D36)</f>
        <v>1392154.8092</v>
      </c>
      <c r="E37" s="33"/>
    </row>
    <row r="38" spans="1:5" ht="13.5" thickTop="1" thickBot="1">
      <c r="A38" s="275">
        <f>(Assumptions!I7*SUM(B8:B10)/SUM(B4:B10))+(Assumptions!I8*SUM(B4:B7)/SUM(B4:B10))</f>
        <v>6.4260869565217399E-2</v>
      </c>
      <c r="B38" s="445"/>
      <c r="C38" s="446"/>
      <c r="D38" s="40">
        <f>-A38*D33</f>
        <v>-737959.71676869574</v>
      </c>
      <c r="E38" s="33"/>
    </row>
    <row r="39" spans="1:5" ht="14.1" thickTop="1" thickBot="1">
      <c r="A39" s="817" t="s">
        <v>384</v>
      </c>
      <c r="B39" s="41">
        <f>D39/B12</f>
        <v>21109.576786837053</v>
      </c>
      <c r="C39" s="818">
        <f>D39/C12</f>
        <v>24.85768308914869</v>
      </c>
      <c r="D39" s="42">
        <f>D33+D37+D38</f>
        <v>12138006.652431305</v>
      </c>
      <c r="E39" s="33"/>
    </row>
    <row r="40" spans="1:5" ht="12.95">
      <c r="A40" s="9" t="s">
        <v>385</v>
      </c>
      <c r="B40" s="10" t="s">
        <v>291</v>
      </c>
      <c r="C40" s="10" t="s">
        <v>386</v>
      </c>
      <c r="D40" s="43" t="s">
        <v>293</v>
      </c>
      <c r="E40" s="33"/>
    </row>
    <row r="41" spans="1:5" ht="13.5" thickBot="1">
      <c r="A41" s="44" t="s">
        <v>387</v>
      </c>
      <c r="B41" s="45">
        <f>D41/B12</f>
        <v>-5392.3984716521745</v>
      </c>
      <c r="C41" s="45">
        <f>D41/C12</f>
        <v>-6.3498446061847229</v>
      </c>
      <c r="D41" s="45">
        <f>-0.27*D33</f>
        <v>-3100629.1212000004</v>
      </c>
      <c r="E41" s="33"/>
    </row>
    <row r="42" spans="1:5" ht="13.5" thickBot="1">
      <c r="A42" s="819" t="s">
        <v>388</v>
      </c>
      <c r="B42" s="820">
        <f>D42/B12</f>
        <v>15717.178315184878</v>
      </c>
      <c r="C42" s="821"/>
      <c r="D42" s="820">
        <f>D39+D41</f>
        <v>9037377.5312313046</v>
      </c>
      <c r="E42" s="33"/>
    </row>
    <row r="43" spans="1:5" ht="13.5" thickBot="1">
      <c r="A43" s="822" t="s">
        <v>389</v>
      </c>
      <c r="B43" s="46" t="s">
        <v>390</v>
      </c>
      <c r="C43" s="47">
        <f>0.2*Assumptions!H7+0.8*Assumptions!H8</f>
        <v>5.5E-2</v>
      </c>
      <c r="D43" s="823">
        <f>D42/C43</f>
        <v>164315955.11329645</v>
      </c>
      <c r="E43" s="33"/>
    </row>
    <row r="44" spans="1:5" ht="13.5" thickBot="1">
      <c r="A44" s="438" t="s">
        <v>296</v>
      </c>
      <c r="B44" s="439"/>
      <c r="C44" s="453" t="str">
        <f>'Development Program'!A29</f>
        <v>Apartments</v>
      </c>
      <c r="D44" s="454"/>
    </row>
    <row r="45" spans="1:5" ht="13.5" thickBot="1">
      <c r="A45" s="652"/>
      <c r="B45" s="48" t="s">
        <v>297</v>
      </c>
      <c r="C45" s="48" t="s">
        <v>298</v>
      </c>
      <c r="D45" s="48" t="s">
        <v>291</v>
      </c>
    </row>
    <row r="46" spans="1:5">
      <c r="A46" s="674" t="s">
        <v>299</v>
      </c>
      <c r="B46" s="675">
        <f>Assumptions!F24</f>
        <v>207</v>
      </c>
      <c r="C46" s="824">
        <f>B46*(C12+B18)</f>
        <v>101078100</v>
      </c>
      <c r="D46" s="677">
        <f>C46/B$12</f>
        <v>175788</v>
      </c>
    </row>
    <row r="47" spans="1:5">
      <c r="A47" s="49" t="s">
        <v>391</v>
      </c>
      <c r="B47" s="678">
        <f>Assumptions!C33</f>
        <v>534</v>
      </c>
      <c r="C47" s="50">
        <f>B22*B47</f>
        <v>318264</v>
      </c>
      <c r="D47" s="677">
        <f t="shared" ref="D47:D67" si="1">C47/B$12</f>
        <v>553.50260869565216</v>
      </c>
    </row>
    <row r="48" spans="1:5" ht="12.95">
      <c r="A48" s="49" t="s">
        <v>300</v>
      </c>
      <c r="B48" s="825">
        <v>0.08</v>
      </c>
      <c r="C48" s="50">
        <f>B48*C46</f>
        <v>8086248</v>
      </c>
      <c r="D48" s="677">
        <f t="shared" si="1"/>
        <v>14063.04</v>
      </c>
    </row>
    <row r="49" spans="1:5" ht="12.95">
      <c r="A49" s="49" t="s">
        <v>191</v>
      </c>
      <c r="B49" s="826" t="s">
        <v>101</v>
      </c>
      <c r="C49" s="326">
        <f>Assumptions!F47</f>
        <v>246000</v>
      </c>
      <c r="D49" s="677">
        <f t="shared" si="1"/>
        <v>427.82608695652175</v>
      </c>
    </row>
    <row r="50" spans="1:5">
      <c r="A50" s="49" t="s">
        <v>301</v>
      </c>
      <c r="B50" s="827">
        <f>'A Financial'!B39</f>
        <v>10.5</v>
      </c>
      <c r="C50" s="50">
        <f>B50*'Development Program'!C5</f>
        <v>2684516.2050000001</v>
      </c>
      <c r="D50" s="677">
        <f t="shared" si="1"/>
        <v>4668.7238347826087</v>
      </c>
    </row>
    <row r="51" spans="1:5" ht="24.95">
      <c r="A51" s="49" t="s">
        <v>79</v>
      </c>
      <c r="B51" s="828" t="str">
        <f>'A Financial'!B40</f>
        <v>(Non Residential SF/3000 ) * $72</v>
      </c>
      <c r="C51" s="50">
        <f>(B18/3000)*72</f>
        <v>0</v>
      </c>
      <c r="D51" s="677">
        <f t="shared" si="1"/>
        <v>0</v>
      </c>
    </row>
    <row r="52" spans="1:5" ht="12.95">
      <c r="A52" s="49" t="s">
        <v>302</v>
      </c>
      <c r="B52" s="829" t="s">
        <v>83</v>
      </c>
      <c r="C52" s="50">
        <f>1799.5+((C46-500000)/1000)*3</f>
        <v>303533.80000000005</v>
      </c>
      <c r="D52" s="677">
        <f t="shared" si="1"/>
        <v>527.88486956521751</v>
      </c>
    </row>
    <row r="53" spans="1:5">
      <c r="A53" s="49" t="s">
        <v>303</v>
      </c>
      <c r="B53" s="684" t="s">
        <v>304</v>
      </c>
      <c r="C53" s="50">
        <f>'Development Program'!D24</f>
        <v>889036</v>
      </c>
      <c r="D53" s="677">
        <f t="shared" si="1"/>
        <v>1546.1495652173912</v>
      </c>
    </row>
    <row r="54" spans="1:5">
      <c r="A54" s="514" t="s">
        <v>88</v>
      </c>
      <c r="B54" s="830">
        <f>'A Financial'!B43</f>
        <v>7.4999999999999997E-3</v>
      </c>
      <c r="C54" s="686">
        <f>B54*C46</f>
        <v>758085.75</v>
      </c>
      <c r="D54" s="677">
        <f t="shared" si="1"/>
        <v>1318.41</v>
      </c>
    </row>
    <row r="55" spans="1:5">
      <c r="A55" s="514" t="s">
        <v>90</v>
      </c>
      <c r="B55" s="831">
        <f>Assumptions!F31</f>
        <v>1.4999999999999999E-2</v>
      </c>
      <c r="C55" s="686">
        <f>B55*C50</f>
        <v>40267.743074999998</v>
      </c>
      <c r="D55" s="677">
        <f t="shared" si="1"/>
        <v>70.030857521739122</v>
      </c>
      <c r="E55" s="51"/>
    </row>
    <row r="56" spans="1:5">
      <c r="A56" s="514" t="s">
        <v>305</v>
      </c>
      <c r="B56" s="688">
        <v>0.04</v>
      </c>
      <c r="C56" s="686">
        <f>B56*(C46+C48)</f>
        <v>4366573.92</v>
      </c>
      <c r="D56" s="677">
        <f t="shared" si="1"/>
        <v>7594.0415999999996</v>
      </c>
    </row>
    <row r="57" spans="1:5">
      <c r="A57" s="514" t="s">
        <v>94</v>
      </c>
      <c r="B57" s="689">
        <v>0.03</v>
      </c>
      <c r="C57" s="686">
        <f>B57*SUM(C46:C56)</f>
        <v>3563118.7625422496</v>
      </c>
      <c r="D57" s="677">
        <f t="shared" si="1"/>
        <v>6196.7282826821729</v>
      </c>
    </row>
    <row r="58" spans="1:5">
      <c r="A58" s="514" t="s">
        <v>306</v>
      </c>
      <c r="B58" s="688">
        <v>0.02</v>
      </c>
      <c r="C58" s="686">
        <f>B58*(C46+C48)</f>
        <v>2183286.96</v>
      </c>
      <c r="D58" s="677">
        <f t="shared" si="1"/>
        <v>3797.0207999999998</v>
      </c>
    </row>
    <row r="59" spans="1:5">
      <c r="A59" s="514" t="s">
        <v>307</v>
      </c>
      <c r="B59" s="832">
        <f>Assumptions!F44</f>
        <v>0.06</v>
      </c>
      <c r="C59" s="686">
        <f>C50*B59</f>
        <v>161070.97229999999</v>
      </c>
      <c r="D59" s="677">
        <f t="shared" si="1"/>
        <v>280.12343008695649</v>
      </c>
    </row>
    <row r="60" spans="1:5">
      <c r="A60" s="514" t="s">
        <v>100</v>
      </c>
      <c r="B60" s="684" t="s">
        <v>101</v>
      </c>
      <c r="C60" s="686">
        <f>'Insurance Calculations'!G33</f>
        <v>606230.65924799885</v>
      </c>
      <c r="D60" s="677">
        <f t="shared" si="1"/>
        <v>1054.3141899965196</v>
      </c>
    </row>
    <row r="61" spans="1:5" ht="12.95">
      <c r="A61" s="514" t="s">
        <v>308</v>
      </c>
      <c r="B61" s="833" t="s">
        <v>101</v>
      </c>
      <c r="C61" s="834">
        <v>400000</v>
      </c>
      <c r="D61" s="677">
        <f t="shared" si="1"/>
        <v>695.6521739130435</v>
      </c>
    </row>
    <row r="62" spans="1:5">
      <c r="A62" s="514" t="s">
        <v>105</v>
      </c>
      <c r="B62" s="835">
        <v>6</v>
      </c>
      <c r="C62" s="686">
        <f>-B62*(D41/12)</f>
        <v>1550314.5606000002</v>
      </c>
      <c r="D62" s="677">
        <f t="shared" si="1"/>
        <v>2696.1992358260873</v>
      </c>
    </row>
    <row r="63" spans="1:5">
      <c r="A63" s="514" t="s">
        <v>309</v>
      </c>
      <c r="B63" s="329"/>
      <c r="C63" s="686"/>
      <c r="D63" s="677">
        <f t="shared" si="1"/>
        <v>0</v>
      </c>
    </row>
    <row r="64" spans="1:5">
      <c r="A64" s="514" t="s">
        <v>310</v>
      </c>
      <c r="B64" s="836"/>
      <c r="C64" s="686"/>
      <c r="D64" s="677">
        <f t="shared" si="1"/>
        <v>0</v>
      </c>
    </row>
    <row r="65" spans="1:7">
      <c r="A65" s="514" t="s">
        <v>108</v>
      </c>
      <c r="B65" s="837">
        <v>1.4999999999999999E-2</v>
      </c>
      <c r="C65" s="686">
        <v>1144905</v>
      </c>
      <c r="D65" s="677">
        <f t="shared" si="1"/>
        <v>1991.1391304347826</v>
      </c>
      <c r="E65" s="449" t="s">
        <v>392</v>
      </c>
      <c r="F65" s="450"/>
      <c r="G65" s="52">
        <f>B65*B78</f>
        <v>1203495</v>
      </c>
    </row>
    <row r="66" spans="1:7">
      <c r="A66" s="694" t="s">
        <v>109</v>
      </c>
      <c r="B66" s="838">
        <v>7.0000000000000007E-2</v>
      </c>
      <c r="C66" s="686">
        <v>5342890.0000000009</v>
      </c>
      <c r="D66" s="677">
        <f t="shared" si="1"/>
        <v>9291.9826086956546</v>
      </c>
      <c r="E66" s="449" t="s">
        <v>392</v>
      </c>
      <c r="F66" s="450"/>
      <c r="G66" s="53">
        <f>B66*B78</f>
        <v>5616310.0000000009</v>
      </c>
    </row>
    <row r="67" spans="1:7" ht="12.95" thickBot="1">
      <c r="A67" s="515" t="s">
        <v>312</v>
      </c>
      <c r="B67" s="839"/>
      <c r="C67" s="840"/>
      <c r="D67" s="677">
        <f t="shared" si="1"/>
        <v>0</v>
      </c>
    </row>
    <row r="68" spans="1:7" ht="14.1" thickTop="1" thickBot="1">
      <c r="A68" s="698" t="s">
        <v>313</v>
      </c>
      <c r="B68" s="699"/>
      <c r="C68" s="54">
        <f>SUM(C46:C67)</f>
        <v>133722442.33276522</v>
      </c>
      <c r="D68" s="54">
        <f>ROUND(C68/B12,-3)</f>
        <v>233000</v>
      </c>
    </row>
    <row r="69" spans="1:7" ht="12.95">
      <c r="A69" s="700" t="s">
        <v>393</v>
      </c>
      <c r="B69" s="701">
        <f>D42/C68</f>
        <v>6.7583102533694372E-2</v>
      </c>
    </row>
    <row r="70" spans="1:7" ht="12.95">
      <c r="A70" s="702" t="s">
        <v>314</v>
      </c>
      <c r="B70" s="703">
        <f>(D43/C68)-1</f>
        <v>0.22878368243080671</v>
      </c>
      <c r="C70" s="55"/>
      <c r="D70" s="56"/>
    </row>
    <row r="71" spans="1:7" ht="13.5" thickBot="1">
      <c r="A71" s="704">
        <v>0.21</v>
      </c>
      <c r="B71" s="705">
        <f>(D43/(1+A71))</f>
        <v>135798310.0109888</v>
      </c>
    </row>
    <row r="72" spans="1:7" ht="13.5" thickBot="1">
      <c r="A72" s="841">
        <v>0.21</v>
      </c>
      <c r="B72" s="705">
        <f>ROUND((D43/(1+A72))-C68,-3)</f>
        <v>2076000</v>
      </c>
      <c r="C72" s="57" t="s">
        <v>315</v>
      </c>
    </row>
    <row r="73" spans="1:7" ht="13.5" thickBot="1">
      <c r="A73" s="58"/>
      <c r="B73" s="59"/>
    </row>
    <row r="74" spans="1:7" ht="33.75" customHeight="1" thickBot="1">
      <c r="A74" s="447" t="s">
        <v>316</v>
      </c>
      <c r="B74" s="448"/>
      <c r="C74" s="842" t="str">
        <f>'Development Program'!A29</f>
        <v>Apartments</v>
      </c>
    </row>
    <row r="75" spans="1:7" ht="13.5" thickBot="1">
      <c r="A75" s="708"/>
      <c r="B75" s="709" t="s">
        <v>211</v>
      </c>
      <c r="C75" s="710" t="s">
        <v>291</v>
      </c>
    </row>
    <row r="76" spans="1:7" ht="12.95">
      <c r="A76" s="60" t="s">
        <v>317</v>
      </c>
      <c r="B76" s="61">
        <f>IF(B72&lt;0,B72,0)</f>
        <v>0</v>
      </c>
      <c r="C76" s="639">
        <f>B76/B12</f>
        <v>0</v>
      </c>
    </row>
    <row r="77" spans="1:7" ht="12.95">
      <c r="A77" s="62" t="s">
        <v>318</v>
      </c>
      <c r="B77" s="61">
        <f>C68+B76</f>
        <v>133722442.33276522</v>
      </c>
      <c r="C77" s="639">
        <f>B77/B12</f>
        <v>232560.7692743743</v>
      </c>
    </row>
    <row r="78" spans="1:7" ht="12.95">
      <c r="A78" s="843">
        <f>Assumptions!H17</f>
        <v>0.6</v>
      </c>
      <c r="B78" s="63">
        <f>ROUND(A78*C68,-3)</f>
        <v>80233000</v>
      </c>
      <c r="C78" s="64">
        <f>B78/B12</f>
        <v>139535.65217391305</v>
      </c>
    </row>
    <row r="79" spans="1:7" ht="12.95" thickBot="1">
      <c r="A79" s="713">
        <f>1-A78</f>
        <v>0.4</v>
      </c>
      <c r="B79" s="63">
        <f>ROUND(A79*C68,-3)</f>
        <v>53489000</v>
      </c>
      <c r="C79" s="844">
        <f>B79/B12</f>
        <v>93024.34782608696</v>
      </c>
      <c r="D79" s="56"/>
    </row>
    <row r="80" spans="1:7" ht="13.5" thickTop="1">
      <c r="A80" s="97" t="s">
        <v>319</v>
      </c>
      <c r="B80" s="845">
        <f>B78+B79</f>
        <v>133722000</v>
      </c>
      <c r="C80" s="65">
        <f>ROUND((C79+C78),-3)</f>
        <v>233000</v>
      </c>
    </row>
    <row r="81" spans="1:5" ht="13.5" thickBot="1">
      <c r="A81" s="716"/>
      <c r="B81" s="717"/>
      <c r="C81" s="718"/>
    </row>
    <row r="82" spans="1:5" ht="50.1" customHeight="1" thickBot="1">
      <c r="A82" s="431" t="s">
        <v>320</v>
      </c>
      <c r="B82" s="432"/>
      <c r="C82" s="846" t="str">
        <f>'Development Program'!A29</f>
        <v>Apartments</v>
      </c>
    </row>
    <row r="83" spans="1:5" ht="13.5" thickBot="1">
      <c r="A83" s="66"/>
      <c r="B83" s="719" t="s">
        <v>321</v>
      </c>
      <c r="C83" s="719"/>
    </row>
    <row r="84" spans="1:5">
      <c r="A84" s="720" t="s">
        <v>294</v>
      </c>
      <c r="B84" s="722">
        <f>ROUND(D43,-2)</f>
        <v>164316000</v>
      </c>
      <c r="C84" s="722"/>
    </row>
    <row r="85" spans="1:5" ht="13.5" thickBot="1">
      <c r="A85" s="847">
        <v>0.02</v>
      </c>
      <c r="B85" s="848">
        <f>(-ROUND(A85*B84,-2))</f>
        <v>-3286300</v>
      </c>
      <c r="C85" s="725"/>
    </row>
    <row r="86" spans="1:5" ht="13.5" thickTop="1" thickBot="1">
      <c r="A86" s="726" t="s">
        <v>295</v>
      </c>
      <c r="B86" s="67">
        <f>B84+B85</f>
        <v>161029700</v>
      </c>
      <c r="C86" s="67"/>
      <c r="E86" s="68"/>
    </row>
    <row r="87" spans="1:5">
      <c r="A87" s="720" t="s">
        <v>322</v>
      </c>
      <c r="B87" s="722">
        <f>-B78</f>
        <v>-80233000</v>
      </c>
      <c r="C87" s="722"/>
    </row>
    <row r="88" spans="1:5" ht="12.95" thickBot="1">
      <c r="A88" s="727" t="s">
        <v>323</v>
      </c>
      <c r="B88" s="725">
        <f>-B79</f>
        <v>-53489000</v>
      </c>
      <c r="C88" s="725"/>
    </row>
    <row r="89" spans="1:5" ht="14.1" thickTop="1" thickBot="1">
      <c r="A89" s="109" t="s">
        <v>324</v>
      </c>
      <c r="B89" s="69">
        <f>ROUND(B86+B87+B88,-2)</f>
        <v>27307700</v>
      </c>
      <c r="C89" s="69"/>
      <c r="D89" s="70"/>
    </row>
    <row r="90" spans="1:5" ht="13.5" thickBot="1">
      <c r="A90" s="729" t="s">
        <v>325</v>
      </c>
      <c r="B90" s="730"/>
      <c r="C90" s="731"/>
    </row>
    <row r="91" spans="1:5">
      <c r="A91" s="732" t="s">
        <v>326</v>
      </c>
      <c r="B91" s="733">
        <f>ROUND((B84)/B12,-2)</f>
        <v>285800</v>
      </c>
      <c r="C91" s="733"/>
    </row>
    <row r="92" spans="1:5" ht="12.95" thickBot="1">
      <c r="A92" s="734" t="s">
        <v>327</v>
      </c>
      <c r="B92" s="735">
        <f>B86/B12</f>
        <v>280051.65217391303</v>
      </c>
      <c r="C92" s="735"/>
    </row>
    <row r="93" spans="1:5" ht="12.95">
      <c r="A93" s="736" t="s">
        <v>328</v>
      </c>
      <c r="B93" s="737"/>
      <c r="C93" s="738"/>
    </row>
    <row r="94" spans="1:5" ht="13.5" thickBot="1">
      <c r="A94" s="716"/>
      <c r="B94" s="71"/>
      <c r="C94" s="71"/>
    </row>
    <row r="95" spans="1:5" ht="12.95">
      <c r="A95" s="72"/>
      <c r="B95" s="719" t="s">
        <v>321</v>
      </c>
      <c r="C95" s="719"/>
    </row>
    <row r="96" spans="1:5">
      <c r="A96" s="739" t="s">
        <v>329</v>
      </c>
      <c r="B96" s="740">
        <f>(B89+B79)/B79</f>
        <v>1.5105292676999009</v>
      </c>
      <c r="C96" s="740"/>
    </row>
    <row r="97" spans="1:4" ht="12.95">
      <c r="A97" s="741" t="s">
        <v>330</v>
      </c>
      <c r="B97" s="742">
        <f>'B Draw'!B39</f>
        <v>0.13382507729453086</v>
      </c>
      <c r="C97" s="742"/>
      <c r="D97" s="73"/>
    </row>
    <row r="98" spans="1:4" ht="12.95">
      <c r="A98" s="741" t="s">
        <v>331</v>
      </c>
      <c r="B98" s="742">
        <f>'B Draw'!B44</f>
        <v>7.9158034769562624E-2</v>
      </c>
      <c r="C98" s="742"/>
      <c r="D98" s="73"/>
    </row>
    <row r="99" spans="1:4">
      <c r="A99" s="739" t="s">
        <v>332</v>
      </c>
      <c r="B99" s="743">
        <f>D42/B78</f>
        <v>0.11263915759389907</v>
      </c>
      <c r="C99" s="743"/>
    </row>
    <row r="100" spans="1:4">
      <c r="A100" s="739" t="s">
        <v>333</v>
      </c>
      <c r="B100" s="744">
        <f>C43</f>
        <v>5.5E-2</v>
      </c>
      <c r="C100" s="744"/>
    </row>
    <row r="101" spans="1:4">
      <c r="A101" s="6" t="s">
        <v>246</v>
      </c>
    </row>
    <row r="113" spans="1:4">
      <c r="A113" s="140"/>
      <c r="B113" s="140"/>
      <c r="C113" s="140"/>
      <c r="D113" s="30"/>
    </row>
  </sheetData>
  <mergeCells count="16">
    <mergeCell ref="E65:F65"/>
    <mergeCell ref="E66:F66"/>
    <mergeCell ref="B32:C32"/>
    <mergeCell ref="A1:C1"/>
    <mergeCell ref="D1:E1"/>
    <mergeCell ref="C29:D29"/>
    <mergeCell ref="A29:B29"/>
    <mergeCell ref="A44:B44"/>
    <mergeCell ref="C44:D44"/>
    <mergeCell ref="A90:C90"/>
    <mergeCell ref="A93:C93"/>
    <mergeCell ref="B33:C33"/>
    <mergeCell ref="B37:C37"/>
    <mergeCell ref="B38:C38"/>
    <mergeCell ref="A74:B74"/>
    <mergeCell ref="A82:B82"/>
  </mergeCells>
  <printOptions horizontalCentered="1" verticalCentered="1"/>
  <pageMargins left="0.7" right="0.7" top="0.75" bottom="0.75" header="0.3" footer="0.3"/>
  <pageSetup scale="51"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3" manualBreakCount="3">
    <brk id="37" max="8" man="1"/>
    <brk id="56" max="8" man="1"/>
    <brk id="86" max="8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4AF4B-AA19-44C8-886E-4B0199F2ACBD}">
  <sheetPr>
    <tabColor rgb="FF0070C0"/>
  </sheetPr>
  <dimension ref="A1:AZ599"/>
  <sheetViews>
    <sheetView showOutlineSymbols="0" showWhiteSpace="0" topLeftCell="A35" workbookViewId="0">
      <pane xSplit="2" topLeftCell="S1" activePane="topRight" state="frozen"/>
      <selection pane="topRight" activeCell="AV10" sqref="AV10:AX10"/>
    </sheetView>
  </sheetViews>
  <sheetFormatPr defaultColWidth="8.85546875" defaultRowHeight="12.6"/>
  <cols>
    <col min="1" max="1" width="45.5703125" style="6" customWidth="1"/>
    <col min="2" max="2" width="14.85546875" style="6" customWidth="1"/>
    <col min="3" max="3" width="19" style="6" bestFit="1" customWidth="1"/>
    <col min="4" max="4" width="20" style="6" bestFit="1" customWidth="1"/>
    <col min="5" max="5" width="18" style="6" bestFit="1" customWidth="1"/>
    <col min="6" max="6" width="20" style="6" bestFit="1" customWidth="1"/>
    <col min="7" max="7" width="18.5703125" style="116" bestFit="1" customWidth="1"/>
    <col min="8" max="8" width="19" style="6" customWidth="1"/>
    <col min="9" max="9" width="15.5703125" style="6" customWidth="1"/>
    <col min="10" max="10" width="16.42578125" style="6" customWidth="1"/>
    <col min="11" max="11" width="17.5703125" style="6" customWidth="1"/>
    <col min="12" max="12" width="14.140625" style="6" customWidth="1"/>
    <col min="13" max="13" width="14.42578125" style="6" customWidth="1"/>
    <col min="14" max="14" width="15.42578125" style="6" customWidth="1"/>
    <col min="15" max="15" width="16.140625" style="6" customWidth="1"/>
    <col min="16" max="16" width="15.42578125" style="6" customWidth="1"/>
    <col min="17" max="17" width="13.85546875" style="6" customWidth="1"/>
    <col min="18" max="18" width="17.140625" style="6" bestFit="1" customWidth="1"/>
    <col min="19" max="19" width="14" style="6" customWidth="1"/>
    <col min="20" max="20" width="12.85546875" style="6" customWidth="1"/>
    <col min="21" max="21" width="14.42578125" style="6" customWidth="1"/>
    <col min="22" max="22" width="16" style="6" customWidth="1"/>
    <col min="23" max="23" width="17" style="6" hidden="1" customWidth="1"/>
    <col min="24" max="24" width="16.42578125" style="6" hidden="1" customWidth="1"/>
    <col min="25" max="25" width="13.42578125" style="6" hidden="1" customWidth="1"/>
    <col min="26" max="26" width="15" style="6" hidden="1" customWidth="1"/>
    <col min="27" max="27" width="13.42578125" style="6" hidden="1" customWidth="1"/>
    <col min="28" max="28" width="16.85546875" style="117" hidden="1" customWidth="1"/>
    <col min="29" max="29" width="15" style="6" hidden="1" customWidth="1"/>
    <col min="30" max="30" width="16.140625" style="6" hidden="1" customWidth="1"/>
    <col min="31" max="31" width="13.42578125" style="117" hidden="1" customWidth="1"/>
    <col min="32" max="32" width="17.140625" style="6" hidden="1" customWidth="1"/>
    <col min="33" max="33" width="14.42578125" style="6" hidden="1" customWidth="1"/>
    <col min="34" max="34" width="17.5703125" style="6" hidden="1" customWidth="1"/>
    <col min="35" max="35" width="14.42578125" style="118" hidden="1" customWidth="1"/>
    <col min="36" max="36" width="14.85546875" style="6" hidden="1" customWidth="1"/>
    <col min="37" max="37" width="15" style="6" hidden="1" customWidth="1"/>
    <col min="38" max="38" width="15.140625" style="6" hidden="1" customWidth="1"/>
    <col min="39" max="39" width="13.5703125" style="6" hidden="1" customWidth="1"/>
    <col min="40" max="40" width="13.85546875" style="6" hidden="1" customWidth="1"/>
    <col min="41" max="41" width="15.5703125" style="6" hidden="1" customWidth="1"/>
    <col min="42" max="43" width="15" style="6" hidden="1" customWidth="1"/>
    <col min="44" max="47" width="15.140625" style="6" hidden="1" customWidth="1"/>
    <col min="48" max="50" width="17" style="6" customWidth="1"/>
    <col min="51" max="51" width="15" style="6" customWidth="1"/>
    <col min="52" max="52" width="17.85546875" style="6" bestFit="1" customWidth="1"/>
    <col min="53" max="53" width="9.5703125" style="6" bestFit="1" customWidth="1"/>
    <col min="54" max="54" width="11.85546875" style="6" bestFit="1" customWidth="1"/>
    <col min="55" max="56" width="9.5703125" style="6" bestFit="1" customWidth="1"/>
    <col min="57" max="16384" width="8.85546875" style="6"/>
  </cols>
  <sheetData>
    <row r="1" spans="1:52" ht="15" thickBot="1">
      <c r="A1" s="440" t="str">
        <f>'Development Program'!A29</f>
        <v>Apartments</v>
      </c>
      <c r="B1" s="199" t="s">
        <v>334</v>
      </c>
      <c r="C1" s="184" t="str">
        <f>'Development Program'!B27</f>
        <v>Pre-Development</v>
      </c>
      <c r="D1" s="184" t="str">
        <f>'Development Program'!C27</f>
        <v>Demolition</v>
      </c>
      <c r="E1" s="184" t="str">
        <f>'Development Program'!D27</f>
        <v>Construction</v>
      </c>
      <c r="F1" s="185" t="str">
        <f>'Development Program'!E27</f>
        <v>Close-out</v>
      </c>
      <c r="G1" s="6"/>
      <c r="AB1"/>
      <c r="AE1" s="6"/>
      <c r="AI1" s="6"/>
      <c r="AY1"/>
      <c r="AZ1"/>
    </row>
    <row r="2" spans="1:52" ht="15" thickBot="1">
      <c r="A2" s="441"/>
      <c r="B2" s="745" t="s">
        <v>335</v>
      </c>
      <c r="C2" s="746" t="str">
        <f>_xlfn.XLOOKUP($A$1,'Development Program'!$A$28:$A$33,'Development Program'!$B$28:$B$33)</f>
        <v>1/1/2024 to 8/31/2024</v>
      </c>
      <c r="D2" s="746" t="str">
        <f>_xlfn.XLOOKUP($A$1,'Development Program'!$A$28:$A$33,'Development Program'!$C$28:$C$33)</f>
        <v>9/1/2024 to 12/31/2024</v>
      </c>
      <c r="E2" s="746" t="str">
        <f>_xlfn.XLOOKUP($A$1,'Development Program'!$A$28:$A$33,'Development Program'!$D$28:$D$33)</f>
        <v>1/1/2025 to 12/31/27</v>
      </c>
      <c r="F2" s="849" t="str">
        <f>_xlfn.XLOOKUP($A$1,'Development Program'!$A$28:$A$33,'Development Program'!$E$28:$E$33)</f>
        <v>1/1/2028 to 12/31/2028</v>
      </c>
      <c r="G2" s="266" t="s">
        <v>337</v>
      </c>
      <c r="H2" s="263"/>
      <c r="I2" s="263"/>
      <c r="J2" s="263"/>
      <c r="K2" s="263"/>
      <c r="R2" s="266" t="s">
        <v>394</v>
      </c>
      <c r="S2" s="266" t="s">
        <v>395</v>
      </c>
      <c r="V2" s="264" t="s">
        <v>396</v>
      </c>
      <c r="W2" s="218"/>
      <c r="X2" s="218"/>
      <c r="AB2"/>
      <c r="AE2" s="6"/>
      <c r="AI2" s="6"/>
      <c r="AV2" s="443" t="s">
        <v>341</v>
      </c>
      <c r="AW2" s="443"/>
      <c r="AX2" s="443"/>
      <c r="AY2"/>
      <c r="AZ2"/>
    </row>
    <row r="3" spans="1:52" s="188" customFormat="1" ht="15" thickBot="1">
      <c r="A3" s="455"/>
      <c r="B3" s="189" t="s">
        <v>188</v>
      </c>
      <c r="C3" s="186">
        <v>45292</v>
      </c>
      <c r="D3" s="187">
        <f>EOMONTH(C3,3)</f>
        <v>45412</v>
      </c>
      <c r="E3" s="187">
        <f t="shared" ref="E3:AK3" si="0">EOMONTH(D3,3)</f>
        <v>45504</v>
      </c>
      <c r="F3" s="187">
        <f t="shared" si="0"/>
        <v>45596</v>
      </c>
      <c r="G3" s="187">
        <f t="shared" si="0"/>
        <v>45688</v>
      </c>
      <c r="H3" s="749">
        <f t="shared" si="0"/>
        <v>45777</v>
      </c>
      <c r="I3" s="749">
        <f t="shared" si="0"/>
        <v>45869</v>
      </c>
      <c r="J3" s="749">
        <f t="shared" si="0"/>
        <v>45961</v>
      </c>
      <c r="K3" s="749">
        <f t="shared" si="0"/>
        <v>46053</v>
      </c>
      <c r="L3" s="749">
        <f t="shared" si="0"/>
        <v>46142</v>
      </c>
      <c r="M3" s="749">
        <f t="shared" si="0"/>
        <v>46234</v>
      </c>
      <c r="N3" s="749">
        <f t="shared" si="0"/>
        <v>46326</v>
      </c>
      <c r="O3" s="749">
        <f t="shared" si="0"/>
        <v>46418</v>
      </c>
      <c r="P3" s="749">
        <f t="shared" si="0"/>
        <v>46507</v>
      </c>
      <c r="Q3" s="749">
        <f t="shared" si="0"/>
        <v>46599</v>
      </c>
      <c r="R3" s="187">
        <f t="shared" si="0"/>
        <v>46691</v>
      </c>
      <c r="S3" s="187">
        <f t="shared" si="0"/>
        <v>46783</v>
      </c>
      <c r="T3" s="749">
        <f t="shared" si="0"/>
        <v>46873</v>
      </c>
      <c r="U3" s="749">
        <f t="shared" si="0"/>
        <v>46965</v>
      </c>
      <c r="V3" s="187">
        <f t="shared" si="0"/>
        <v>47057</v>
      </c>
      <c r="W3" s="749">
        <f t="shared" si="0"/>
        <v>47149</v>
      </c>
      <c r="X3" s="749">
        <f t="shared" si="0"/>
        <v>47238</v>
      </c>
      <c r="Y3" s="749">
        <f t="shared" si="0"/>
        <v>47330</v>
      </c>
      <c r="Z3" s="749">
        <f t="shared" si="0"/>
        <v>47422</v>
      </c>
      <c r="AA3" s="749">
        <f t="shared" si="0"/>
        <v>47514</v>
      </c>
      <c r="AB3" s="749">
        <f t="shared" si="0"/>
        <v>47603</v>
      </c>
      <c r="AC3" s="749">
        <f t="shared" si="0"/>
        <v>47695</v>
      </c>
      <c r="AD3" s="749">
        <f t="shared" si="0"/>
        <v>47787</v>
      </c>
      <c r="AE3" s="749">
        <f t="shared" si="0"/>
        <v>47879</v>
      </c>
      <c r="AF3" s="749">
        <f t="shared" si="0"/>
        <v>47968</v>
      </c>
      <c r="AG3" s="749">
        <f t="shared" si="0"/>
        <v>48060</v>
      </c>
      <c r="AH3" s="749">
        <f t="shared" si="0"/>
        <v>48152</v>
      </c>
      <c r="AI3" s="749">
        <f t="shared" si="0"/>
        <v>48244</v>
      </c>
      <c r="AJ3" s="749">
        <f t="shared" si="0"/>
        <v>48334</v>
      </c>
      <c r="AK3" s="749">
        <f t="shared" si="0"/>
        <v>48426</v>
      </c>
      <c r="AL3" s="749">
        <f>EOMONTH(AK3,3)</f>
        <v>48518</v>
      </c>
      <c r="AM3" s="749">
        <f t="shared" ref="AM3:AU3" si="1">EOMONTH(AL3,3)</f>
        <v>48610</v>
      </c>
      <c r="AN3" s="749">
        <f t="shared" si="1"/>
        <v>48699</v>
      </c>
      <c r="AO3" s="749">
        <f t="shared" si="1"/>
        <v>48791</v>
      </c>
      <c r="AP3" s="749">
        <f t="shared" si="1"/>
        <v>48883</v>
      </c>
      <c r="AQ3" s="749">
        <f t="shared" si="1"/>
        <v>48975</v>
      </c>
      <c r="AR3" s="749">
        <f t="shared" si="1"/>
        <v>49064</v>
      </c>
      <c r="AS3" s="749">
        <f>EOMONTH(AR3,3)</f>
        <v>49156</v>
      </c>
      <c r="AT3" s="749">
        <f t="shared" si="1"/>
        <v>49248</v>
      </c>
      <c r="AU3" s="749">
        <f t="shared" si="1"/>
        <v>49340</v>
      </c>
      <c r="AV3" s="749" t="s">
        <v>342</v>
      </c>
      <c r="AW3" s="850" t="s">
        <v>343</v>
      </c>
      <c r="AX3" s="850"/>
      <c r="AY3"/>
      <c r="AZ3"/>
    </row>
    <row r="4" spans="1:52" ht="15" thickBot="1">
      <c r="A4" s="190" t="s">
        <v>344</v>
      </c>
      <c r="B4" s="191">
        <v>1</v>
      </c>
      <c r="C4" s="213">
        <v>0</v>
      </c>
      <c r="D4" s="213">
        <v>0</v>
      </c>
      <c r="E4" s="213">
        <v>0</v>
      </c>
      <c r="F4" s="213">
        <f t="shared" ref="F4" si="2">E4</f>
        <v>0</v>
      </c>
      <c r="G4" s="212">
        <v>0.05</v>
      </c>
      <c r="H4" s="212">
        <v>0.05</v>
      </c>
      <c r="I4" s="212">
        <v>0.1</v>
      </c>
      <c r="J4" s="212">
        <v>0.1</v>
      </c>
      <c r="K4" s="212">
        <v>0.1</v>
      </c>
      <c r="L4" s="212">
        <v>0.1</v>
      </c>
      <c r="M4" s="212">
        <v>0.1</v>
      </c>
      <c r="N4" s="212">
        <v>0.1</v>
      </c>
      <c r="O4" s="212">
        <v>0.1</v>
      </c>
      <c r="P4" s="212">
        <v>0.1</v>
      </c>
      <c r="Q4" s="212">
        <v>0.05</v>
      </c>
      <c r="R4" s="212">
        <v>0.05</v>
      </c>
      <c r="S4" s="212"/>
      <c r="T4" s="212"/>
      <c r="U4" s="212"/>
      <c r="V4" s="212"/>
      <c r="W4" s="212"/>
      <c r="X4" s="212"/>
      <c r="Y4" s="212"/>
      <c r="Z4" s="212"/>
      <c r="AA4" s="212"/>
      <c r="AB4" s="212"/>
      <c r="AC4" s="212"/>
      <c r="AD4" s="212"/>
      <c r="AE4" s="212"/>
      <c r="AF4" s="212"/>
      <c r="AG4" s="212"/>
      <c r="AH4" s="212"/>
      <c r="AI4" s="212"/>
      <c r="AJ4" s="212"/>
      <c r="AK4" s="212"/>
      <c r="AL4" s="212"/>
      <c r="AM4" s="212"/>
      <c r="AN4" s="212"/>
      <c r="AO4" s="212"/>
      <c r="AP4" s="212"/>
      <c r="AQ4" s="212"/>
      <c r="AR4" s="212"/>
      <c r="AS4" s="851"/>
      <c r="AT4" s="851"/>
      <c r="AU4" s="851"/>
      <c r="AV4" s="758">
        <f>SUM(C4:AR4)</f>
        <v>1</v>
      </c>
      <c r="AW4" s="759"/>
      <c r="AX4" s="760" t="s">
        <v>345</v>
      </c>
      <c r="AY4"/>
      <c r="AZ4"/>
    </row>
    <row r="5" spans="1:52" ht="14.45">
      <c r="A5" s="147" t="str">
        <f>'B Financial'!A46</f>
        <v>Hard Costs for Construction</v>
      </c>
      <c r="B5" s="852">
        <f>'B Financial'!C46</f>
        <v>101078100</v>
      </c>
      <c r="C5" s="763"/>
      <c r="D5" s="763"/>
      <c r="E5" s="763"/>
      <c r="F5" s="763"/>
      <c r="G5" s="763">
        <f>$B5*G$4</f>
        <v>5053905</v>
      </c>
      <c r="H5" s="763">
        <f t="shared" ref="H5:R19" si="3">$B5*H$4</f>
        <v>5053905</v>
      </c>
      <c r="I5" s="763">
        <f t="shared" si="3"/>
        <v>10107810</v>
      </c>
      <c r="J5" s="763">
        <f t="shared" si="3"/>
        <v>10107810</v>
      </c>
      <c r="K5" s="763">
        <f t="shared" si="3"/>
        <v>10107810</v>
      </c>
      <c r="L5" s="763">
        <f t="shared" si="3"/>
        <v>10107810</v>
      </c>
      <c r="M5" s="763">
        <f t="shared" si="3"/>
        <v>10107810</v>
      </c>
      <c r="N5" s="763">
        <f t="shared" si="3"/>
        <v>10107810</v>
      </c>
      <c r="O5" s="763">
        <f t="shared" si="3"/>
        <v>10107810</v>
      </c>
      <c r="P5" s="763">
        <f t="shared" si="3"/>
        <v>10107810</v>
      </c>
      <c r="Q5" s="763">
        <f t="shared" si="3"/>
        <v>5053905</v>
      </c>
      <c r="R5" s="763">
        <f t="shared" si="3"/>
        <v>5053905</v>
      </c>
      <c r="S5" s="763"/>
      <c r="T5" s="763"/>
      <c r="U5" s="763"/>
      <c r="V5" s="763"/>
      <c r="W5" s="763"/>
      <c r="X5" s="763"/>
      <c r="Y5" s="763"/>
      <c r="Z5" s="763"/>
      <c r="AA5" s="763"/>
      <c r="AB5" s="763"/>
      <c r="AC5" s="763"/>
      <c r="AD5" s="763"/>
      <c r="AE5" s="763"/>
      <c r="AF5" s="763"/>
      <c r="AG5" s="763"/>
      <c r="AH5" s="763"/>
      <c r="AI5" s="763"/>
      <c r="AJ5" s="763"/>
      <c r="AK5" s="763"/>
      <c r="AL5" s="763"/>
      <c r="AM5" s="763"/>
      <c r="AN5" s="763"/>
      <c r="AO5" s="763"/>
      <c r="AP5" s="763"/>
      <c r="AQ5" s="763"/>
      <c r="AR5" s="763"/>
      <c r="AS5" s="763"/>
      <c r="AT5" s="763"/>
      <c r="AU5" s="763"/>
      <c r="AV5" s="764">
        <f>SUM(C5:AU5)</f>
        <v>101078100</v>
      </c>
      <c r="AW5" s="764">
        <f t="shared" ref="AW5:AW26" si="4">B5</f>
        <v>101078100</v>
      </c>
      <c r="AX5" s="764">
        <f>AW5-AV5</f>
        <v>0</v>
      </c>
      <c r="AY5"/>
      <c r="AZ5"/>
    </row>
    <row r="6" spans="1:52" ht="14.45">
      <c r="A6" s="761" t="str">
        <f>'B Financial'!A47</f>
        <v>Parking stalls</v>
      </c>
      <c r="B6" s="797">
        <f>'B Financial'!C47</f>
        <v>318264</v>
      </c>
      <c r="C6" s="763"/>
      <c r="D6" s="763"/>
      <c r="E6" s="763"/>
      <c r="F6" s="763"/>
      <c r="G6" s="763">
        <f>$B6*G$4</f>
        <v>15913.2</v>
      </c>
      <c r="H6" s="763">
        <f t="shared" si="3"/>
        <v>15913.2</v>
      </c>
      <c r="I6" s="763">
        <f t="shared" si="3"/>
        <v>31826.400000000001</v>
      </c>
      <c r="J6" s="763">
        <f t="shared" si="3"/>
        <v>31826.400000000001</v>
      </c>
      <c r="K6" s="763">
        <f t="shared" si="3"/>
        <v>31826.400000000001</v>
      </c>
      <c r="L6" s="763">
        <f t="shared" si="3"/>
        <v>31826.400000000001</v>
      </c>
      <c r="M6" s="763">
        <f t="shared" si="3"/>
        <v>31826.400000000001</v>
      </c>
      <c r="N6" s="763">
        <f t="shared" si="3"/>
        <v>31826.400000000001</v>
      </c>
      <c r="O6" s="763">
        <f t="shared" si="3"/>
        <v>31826.400000000001</v>
      </c>
      <c r="P6" s="763">
        <f t="shared" si="3"/>
        <v>31826.400000000001</v>
      </c>
      <c r="Q6" s="763">
        <f t="shared" si="3"/>
        <v>15913.2</v>
      </c>
      <c r="R6" s="763">
        <f t="shared" si="3"/>
        <v>15913.2</v>
      </c>
      <c r="S6" s="763"/>
      <c r="T6" s="763"/>
      <c r="U6" s="763"/>
      <c r="V6" s="763"/>
      <c r="W6" s="763"/>
      <c r="X6" s="763"/>
      <c r="Y6" s="763"/>
      <c r="Z6" s="763"/>
      <c r="AA6" s="763"/>
      <c r="AB6" s="763"/>
      <c r="AC6" s="763"/>
      <c r="AD6" s="763"/>
      <c r="AE6" s="763"/>
      <c r="AF6" s="763"/>
      <c r="AG6" s="763"/>
      <c r="AH6" s="763"/>
      <c r="AI6" s="763"/>
      <c r="AJ6" s="763"/>
      <c r="AK6" s="763"/>
      <c r="AL6" s="763"/>
      <c r="AM6" s="763"/>
      <c r="AN6" s="763"/>
      <c r="AO6" s="763"/>
      <c r="AP6" s="763"/>
      <c r="AQ6" s="763"/>
      <c r="AR6" s="763"/>
      <c r="AS6" s="763"/>
      <c r="AT6" s="763"/>
      <c r="AU6" s="763"/>
      <c r="AV6" s="764">
        <f t="shared" ref="AV6:AV26" si="5">SUM(C6:AU6)</f>
        <v>318264</v>
      </c>
      <c r="AW6" s="764">
        <f t="shared" si="4"/>
        <v>318264</v>
      </c>
      <c r="AX6" s="764">
        <f t="shared" ref="AX6:AX26" si="6">AW6-AV6</f>
        <v>0</v>
      </c>
      <c r="AY6"/>
      <c r="AZ6"/>
    </row>
    <row r="7" spans="1:52" ht="14.45">
      <c r="A7" s="761" t="str">
        <f>'B Financial'!A48</f>
        <v>Hard Cost Contingency</v>
      </c>
      <c r="B7" s="797">
        <f>'B Financial'!C48</f>
        <v>8086248</v>
      </c>
      <c r="C7" s="763"/>
      <c r="D7" s="763"/>
      <c r="E7" s="763"/>
      <c r="F7" s="763"/>
      <c r="G7" s="763">
        <f t="shared" ref="G7:R25" si="7">$B7*G$4</f>
        <v>404312.4</v>
      </c>
      <c r="H7" s="763">
        <f t="shared" si="3"/>
        <v>404312.4</v>
      </c>
      <c r="I7" s="763">
        <f t="shared" si="3"/>
        <v>808624.8</v>
      </c>
      <c r="J7" s="763">
        <f t="shared" si="3"/>
        <v>808624.8</v>
      </c>
      <c r="K7" s="763">
        <f t="shared" si="3"/>
        <v>808624.8</v>
      </c>
      <c r="L7" s="763">
        <f t="shared" si="3"/>
        <v>808624.8</v>
      </c>
      <c r="M7" s="763">
        <f t="shared" si="3"/>
        <v>808624.8</v>
      </c>
      <c r="N7" s="763">
        <f t="shared" si="3"/>
        <v>808624.8</v>
      </c>
      <c r="O7" s="763">
        <f t="shared" si="3"/>
        <v>808624.8</v>
      </c>
      <c r="P7" s="763">
        <f t="shared" si="3"/>
        <v>808624.8</v>
      </c>
      <c r="Q7" s="763">
        <f t="shared" si="3"/>
        <v>404312.4</v>
      </c>
      <c r="R7" s="763">
        <f t="shared" si="3"/>
        <v>404312.4</v>
      </c>
      <c r="S7" s="763"/>
      <c r="T7" s="763"/>
      <c r="U7" s="763"/>
      <c r="V7" s="763"/>
      <c r="W7" s="763"/>
      <c r="X7" s="763"/>
      <c r="Y7" s="763"/>
      <c r="Z7" s="763"/>
      <c r="AA7" s="763"/>
      <c r="AB7" s="763"/>
      <c r="AC7" s="763"/>
      <c r="AD7" s="763"/>
      <c r="AE7" s="763"/>
      <c r="AF7" s="763"/>
      <c r="AG7" s="763"/>
      <c r="AH7" s="763"/>
      <c r="AI7" s="763"/>
      <c r="AJ7" s="763"/>
      <c r="AK7" s="763"/>
      <c r="AL7" s="763"/>
      <c r="AM7" s="763"/>
      <c r="AN7" s="763"/>
      <c r="AO7" s="763"/>
      <c r="AP7" s="763"/>
      <c r="AQ7" s="763"/>
      <c r="AR7" s="763"/>
      <c r="AS7" s="763"/>
      <c r="AT7" s="763"/>
      <c r="AU7" s="763"/>
      <c r="AV7" s="764">
        <f t="shared" si="5"/>
        <v>8086248</v>
      </c>
      <c r="AW7" s="764">
        <f t="shared" si="4"/>
        <v>8086248</v>
      </c>
      <c r="AX7" s="764">
        <f t="shared" si="6"/>
        <v>0</v>
      </c>
      <c r="AY7"/>
      <c r="AZ7"/>
    </row>
    <row r="8" spans="1:52" ht="14.45">
      <c r="A8" s="761" t="str">
        <f>'B Financial'!A49</f>
        <v>Demolition</v>
      </c>
      <c r="B8" s="797">
        <f>'B Financial'!C49</f>
        <v>246000</v>
      </c>
      <c r="C8" s="763"/>
      <c r="D8" s="763"/>
      <c r="E8" s="763"/>
      <c r="F8" s="763">
        <f>B8</f>
        <v>246000</v>
      </c>
      <c r="G8" s="763"/>
      <c r="H8" s="763"/>
      <c r="I8" s="763"/>
      <c r="J8" s="763"/>
      <c r="K8" s="763"/>
      <c r="L8" s="763"/>
      <c r="M8" s="763"/>
      <c r="N8" s="763"/>
      <c r="O8" s="763"/>
      <c r="P8" s="763"/>
      <c r="Q8" s="763"/>
      <c r="R8" s="763"/>
      <c r="S8" s="763"/>
      <c r="T8" s="763"/>
      <c r="U8" s="763"/>
      <c r="V8" s="763"/>
      <c r="W8" s="763"/>
      <c r="X8" s="763"/>
      <c r="Y8" s="763"/>
      <c r="Z8" s="763"/>
      <c r="AA8" s="763"/>
      <c r="AB8" s="763"/>
      <c r="AC8" s="763"/>
      <c r="AD8" s="763"/>
      <c r="AE8" s="763"/>
      <c r="AF8" s="763"/>
      <c r="AG8" s="763"/>
      <c r="AH8" s="763"/>
      <c r="AI8" s="763"/>
      <c r="AJ8" s="763"/>
      <c r="AK8" s="763"/>
      <c r="AL8" s="763"/>
      <c r="AM8" s="763"/>
      <c r="AN8" s="763"/>
      <c r="AO8" s="763"/>
      <c r="AP8" s="763"/>
      <c r="AQ8" s="763"/>
      <c r="AR8" s="763"/>
      <c r="AS8" s="763"/>
      <c r="AT8" s="763"/>
      <c r="AU8" s="763"/>
      <c r="AV8" s="764">
        <f t="shared" si="5"/>
        <v>246000</v>
      </c>
      <c r="AW8" s="764">
        <f t="shared" si="4"/>
        <v>246000</v>
      </c>
      <c r="AX8" s="764">
        <f t="shared" si="6"/>
        <v>0</v>
      </c>
      <c r="AY8"/>
      <c r="AZ8"/>
    </row>
    <row r="9" spans="1:52" ht="14.45">
      <c r="A9" s="761" t="str">
        <f>'B Financial'!A50</f>
        <v>LAND</v>
      </c>
      <c r="B9" s="797">
        <f>'B Financial'!C50</f>
        <v>2684516.2050000001</v>
      </c>
      <c r="C9" s="763">
        <f>B9</f>
        <v>2684516.2050000001</v>
      </c>
      <c r="D9" s="765"/>
      <c r="E9" s="767"/>
      <c r="F9" s="763"/>
      <c r="G9" s="763"/>
      <c r="H9" s="763"/>
      <c r="I9" s="763"/>
      <c r="J9" s="763"/>
      <c r="K9" s="763"/>
      <c r="L9" s="763"/>
      <c r="M9" s="763"/>
      <c r="N9" s="763"/>
      <c r="O9" s="763"/>
      <c r="P9" s="763"/>
      <c r="Q9" s="763"/>
      <c r="R9" s="763"/>
      <c r="S9" s="765"/>
      <c r="T9" s="765"/>
      <c r="U9" s="765"/>
      <c r="V9" s="765"/>
      <c r="W9" s="765"/>
      <c r="X9" s="765"/>
      <c r="Y9" s="765"/>
      <c r="Z9" s="765"/>
      <c r="AA9" s="765"/>
      <c r="AB9" s="765"/>
      <c r="AC9" s="765"/>
      <c r="AD9" s="765"/>
      <c r="AE9" s="853"/>
      <c r="AF9" s="853"/>
      <c r="AG9" s="853"/>
      <c r="AH9" s="853"/>
      <c r="AI9" s="853"/>
      <c r="AJ9" s="853"/>
      <c r="AK9" s="853"/>
      <c r="AL9" s="853"/>
      <c r="AM9" s="853"/>
      <c r="AN9" s="853"/>
      <c r="AO9" s="853"/>
      <c r="AP9" s="853"/>
      <c r="AQ9" s="853"/>
      <c r="AR9" s="853"/>
      <c r="AS9" s="853"/>
      <c r="AT9" s="853"/>
      <c r="AU9" s="853"/>
      <c r="AV9" s="764">
        <f t="shared" si="5"/>
        <v>2684516.2050000001</v>
      </c>
      <c r="AW9" s="764">
        <f t="shared" si="4"/>
        <v>2684516.2050000001</v>
      </c>
      <c r="AX9" s="764">
        <f t="shared" si="6"/>
        <v>0</v>
      </c>
      <c r="AY9"/>
      <c r="AZ9"/>
    </row>
    <row r="10" spans="1:52" ht="14.45">
      <c r="A10" s="761" t="str">
        <f>'B Financial'!A51</f>
        <v>Stormwater Utility Fee</v>
      </c>
      <c r="B10" s="797">
        <f>'B Financial'!C51</f>
        <v>0</v>
      </c>
      <c r="C10" s="214"/>
      <c r="D10" s="765"/>
      <c r="E10" s="767"/>
      <c r="F10" s="763"/>
      <c r="G10" s="763"/>
      <c r="H10" s="763"/>
      <c r="I10" s="763"/>
      <c r="J10" s="763"/>
      <c r="K10" s="763"/>
      <c r="L10" s="763"/>
      <c r="M10" s="763"/>
      <c r="N10" s="763"/>
      <c r="O10" s="763"/>
      <c r="P10" s="763"/>
      <c r="Q10" s="763"/>
      <c r="R10" s="763"/>
      <c r="S10" s="765"/>
      <c r="T10" s="765"/>
      <c r="U10" s="765"/>
      <c r="V10" s="765"/>
      <c r="W10" s="765"/>
      <c r="X10" s="765"/>
      <c r="Y10" s="765"/>
      <c r="Z10" s="765"/>
      <c r="AA10" s="765"/>
      <c r="AB10" s="765"/>
      <c r="AC10" s="765"/>
      <c r="AD10" s="765"/>
      <c r="AE10" s="853"/>
      <c r="AF10" s="853"/>
      <c r="AG10" s="853"/>
      <c r="AH10" s="853"/>
      <c r="AI10" s="853"/>
      <c r="AJ10" s="853"/>
      <c r="AK10" s="854"/>
      <c r="AL10" s="855"/>
      <c r="AM10" s="853"/>
      <c r="AN10" s="853"/>
      <c r="AO10" s="853"/>
      <c r="AP10" s="854"/>
      <c r="AQ10" s="853"/>
      <c r="AR10" s="853"/>
      <c r="AS10" s="853"/>
      <c r="AT10" s="853"/>
      <c r="AU10" s="853"/>
      <c r="AV10" s="764">
        <f t="shared" ref="AV10" si="8">SUM(C10:AU10)</f>
        <v>0</v>
      </c>
      <c r="AW10" s="764">
        <f t="shared" ref="AW10" si="9">B10</f>
        <v>0</v>
      </c>
      <c r="AX10" s="764">
        <f t="shared" ref="AX10" si="10">AW10-AV10</f>
        <v>0</v>
      </c>
      <c r="AY10"/>
      <c r="AZ10"/>
    </row>
    <row r="11" spans="1:52" ht="14.45">
      <c r="A11" s="761" t="str">
        <f>'B Financial'!A52</f>
        <v>Municipal Fees and Allowances</v>
      </c>
      <c r="B11" s="797">
        <f>'B Financial'!C52</f>
        <v>303533.80000000005</v>
      </c>
      <c r="C11" s="768"/>
      <c r="D11" s="765"/>
      <c r="E11" s="763"/>
      <c r="F11" s="763"/>
      <c r="G11" s="763">
        <f t="shared" si="7"/>
        <v>15176.690000000002</v>
      </c>
      <c r="H11" s="763">
        <f t="shared" si="3"/>
        <v>15176.690000000002</v>
      </c>
      <c r="I11" s="763">
        <f t="shared" si="3"/>
        <v>30353.380000000005</v>
      </c>
      <c r="J11" s="763">
        <f t="shared" si="3"/>
        <v>30353.380000000005</v>
      </c>
      <c r="K11" s="763">
        <f t="shared" si="3"/>
        <v>30353.380000000005</v>
      </c>
      <c r="L11" s="763">
        <f t="shared" si="3"/>
        <v>30353.380000000005</v>
      </c>
      <c r="M11" s="763">
        <f t="shared" si="3"/>
        <v>30353.380000000005</v>
      </c>
      <c r="N11" s="763">
        <f t="shared" si="3"/>
        <v>30353.380000000005</v>
      </c>
      <c r="O11" s="763">
        <f t="shared" si="3"/>
        <v>30353.380000000005</v>
      </c>
      <c r="P11" s="763">
        <f t="shared" si="3"/>
        <v>30353.380000000005</v>
      </c>
      <c r="Q11" s="763">
        <f t="shared" si="3"/>
        <v>15176.690000000002</v>
      </c>
      <c r="R11" s="763">
        <f t="shared" si="3"/>
        <v>15176.690000000002</v>
      </c>
      <c r="S11" s="766"/>
      <c r="T11" s="763"/>
      <c r="U11" s="765"/>
      <c r="V11" s="765"/>
      <c r="W11" s="765"/>
      <c r="X11" s="765"/>
      <c r="Y11" s="765"/>
      <c r="Z11" s="765"/>
      <c r="AA11" s="765"/>
      <c r="AB11" s="765"/>
      <c r="AC11" s="765"/>
      <c r="AD11" s="765"/>
      <c r="AE11" s="853"/>
      <c r="AF11" s="853"/>
      <c r="AG11" s="853"/>
      <c r="AH11" s="853"/>
      <c r="AI11" s="853"/>
      <c r="AJ11" s="853"/>
      <c r="AK11" s="854"/>
      <c r="AL11" s="855"/>
      <c r="AM11" s="853"/>
      <c r="AN11" s="853"/>
      <c r="AO11" s="853"/>
      <c r="AP11" s="854"/>
      <c r="AQ11" s="853"/>
      <c r="AR11" s="853"/>
      <c r="AS11" s="853"/>
      <c r="AT11" s="853"/>
      <c r="AU11" s="853"/>
      <c r="AV11" s="764">
        <f t="shared" si="5"/>
        <v>303533.80000000005</v>
      </c>
      <c r="AW11" s="764">
        <f t="shared" si="4"/>
        <v>303533.80000000005</v>
      </c>
      <c r="AX11" s="764">
        <f t="shared" si="6"/>
        <v>0</v>
      </c>
      <c r="AY11"/>
      <c r="AZ11"/>
    </row>
    <row r="12" spans="1:52" ht="14.45">
      <c r="A12" s="761" t="str">
        <f>'B Financial'!A53</f>
        <v>Infrastructure allocation</v>
      </c>
      <c r="B12" s="797">
        <f>'B Financial'!C53</f>
        <v>889036</v>
      </c>
      <c r="C12" s="768"/>
      <c r="D12" s="765"/>
      <c r="E12" s="763"/>
      <c r="F12" s="763"/>
      <c r="G12" s="763">
        <f t="shared" si="7"/>
        <v>44451.8</v>
      </c>
      <c r="H12" s="763">
        <f t="shared" si="3"/>
        <v>44451.8</v>
      </c>
      <c r="I12" s="763">
        <f t="shared" si="3"/>
        <v>88903.6</v>
      </c>
      <c r="J12" s="763">
        <f t="shared" si="3"/>
        <v>88903.6</v>
      </c>
      <c r="K12" s="763">
        <f t="shared" si="3"/>
        <v>88903.6</v>
      </c>
      <c r="L12" s="763">
        <f t="shared" si="3"/>
        <v>88903.6</v>
      </c>
      <c r="M12" s="763">
        <f t="shared" si="3"/>
        <v>88903.6</v>
      </c>
      <c r="N12" s="763">
        <f t="shared" si="3"/>
        <v>88903.6</v>
      </c>
      <c r="O12" s="763">
        <f t="shared" si="3"/>
        <v>88903.6</v>
      </c>
      <c r="P12" s="763">
        <f t="shared" si="3"/>
        <v>88903.6</v>
      </c>
      <c r="Q12" s="763">
        <f t="shared" si="3"/>
        <v>44451.8</v>
      </c>
      <c r="R12" s="763">
        <f t="shared" si="3"/>
        <v>44451.8</v>
      </c>
      <c r="S12" s="763"/>
      <c r="T12" s="763"/>
      <c r="U12" s="765"/>
      <c r="V12" s="765"/>
      <c r="W12" s="765"/>
      <c r="X12" s="765"/>
      <c r="Y12" s="765"/>
      <c r="Z12" s="765"/>
      <c r="AA12" s="765"/>
      <c r="AB12" s="765"/>
      <c r="AC12" s="765"/>
      <c r="AD12" s="765"/>
      <c r="AE12" s="853"/>
      <c r="AF12" s="853"/>
      <c r="AG12" s="853"/>
      <c r="AH12" s="853"/>
      <c r="AI12" s="853"/>
      <c r="AJ12" s="853"/>
      <c r="AK12" s="854"/>
      <c r="AL12" s="855"/>
      <c r="AM12" s="853"/>
      <c r="AN12" s="853"/>
      <c r="AO12" s="853"/>
      <c r="AP12" s="854"/>
      <c r="AQ12" s="853"/>
      <c r="AR12" s="856"/>
      <c r="AS12" s="856"/>
      <c r="AT12" s="856"/>
      <c r="AU12" s="856"/>
      <c r="AV12" s="764">
        <f t="shared" si="5"/>
        <v>889036</v>
      </c>
      <c r="AW12" s="764">
        <f t="shared" si="4"/>
        <v>889036</v>
      </c>
      <c r="AX12" s="764">
        <f t="shared" si="6"/>
        <v>0</v>
      </c>
      <c r="AY12"/>
      <c r="AZ12"/>
    </row>
    <row r="13" spans="1:52" ht="14.45">
      <c r="A13" s="761" t="str">
        <f>'B Financial'!A54</f>
        <v>Legal</v>
      </c>
      <c r="B13" s="797">
        <f>'B Financial'!C54</f>
        <v>758085.75</v>
      </c>
      <c r="C13" s="768"/>
      <c r="D13" s="768"/>
      <c r="E13" s="767"/>
      <c r="F13" s="767"/>
      <c r="G13" s="763">
        <f t="shared" si="7"/>
        <v>37904.287499999999</v>
      </c>
      <c r="H13" s="763">
        <f t="shared" si="3"/>
        <v>37904.287499999999</v>
      </c>
      <c r="I13" s="763">
        <f t="shared" si="3"/>
        <v>75808.574999999997</v>
      </c>
      <c r="J13" s="763">
        <f t="shared" si="3"/>
        <v>75808.574999999997</v>
      </c>
      <c r="K13" s="763">
        <f t="shared" si="3"/>
        <v>75808.574999999997</v>
      </c>
      <c r="L13" s="763">
        <f t="shared" si="3"/>
        <v>75808.574999999997</v>
      </c>
      <c r="M13" s="763">
        <f t="shared" si="3"/>
        <v>75808.574999999997</v>
      </c>
      <c r="N13" s="763">
        <f t="shared" si="3"/>
        <v>75808.574999999997</v>
      </c>
      <c r="O13" s="763">
        <f t="shared" si="3"/>
        <v>75808.574999999997</v>
      </c>
      <c r="P13" s="763">
        <f t="shared" si="3"/>
        <v>75808.574999999997</v>
      </c>
      <c r="Q13" s="763">
        <f t="shared" si="3"/>
        <v>37904.287499999999</v>
      </c>
      <c r="R13" s="763">
        <f t="shared" si="3"/>
        <v>37904.287499999999</v>
      </c>
      <c r="S13" s="765"/>
      <c r="T13" s="765"/>
      <c r="U13" s="765"/>
      <c r="V13" s="765"/>
      <c r="W13" s="765"/>
      <c r="X13" s="765"/>
      <c r="Y13" s="765"/>
      <c r="Z13" s="765"/>
      <c r="AA13" s="765"/>
      <c r="AB13" s="765"/>
      <c r="AC13" s="765"/>
      <c r="AD13" s="765"/>
      <c r="AE13" s="765"/>
      <c r="AF13" s="765"/>
      <c r="AG13" s="765"/>
      <c r="AH13" s="765"/>
      <c r="AI13" s="765"/>
      <c r="AJ13" s="765"/>
      <c r="AK13" s="857"/>
      <c r="AL13" s="858"/>
      <c r="AM13" s="765"/>
      <c r="AN13" s="765"/>
      <c r="AO13" s="765"/>
      <c r="AP13" s="857"/>
      <c r="AQ13" s="765"/>
      <c r="AR13" s="765"/>
      <c r="AS13" s="765"/>
      <c r="AT13" s="765"/>
      <c r="AU13" s="765"/>
      <c r="AV13" s="764">
        <f t="shared" si="5"/>
        <v>758085.74999999988</v>
      </c>
      <c r="AW13" s="764">
        <f t="shared" si="4"/>
        <v>758085.75</v>
      </c>
      <c r="AX13" s="764">
        <f t="shared" si="6"/>
        <v>0</v>
      </c>
      <c r="AY13"/>
      <c r="AZ13"/>
    </row>
    <row r="14" spans="1:52" ht="14.45">
      <c r="A14" s="761" t="str">
        <f>'B Financial'!A55</f>
        <v>Land Closing Costs/commissions</v>
      </c>
      <c r="B14" s="797">
        <f>'B Financial'!C55</f>
        <v>40267.743074999998</v>
      </c>
      <c r="C14" s="767">
        <f>B14</f>
        <v>40267.743074999998</v>
      </c>
      <c r="D14" s="763"/>
      <c r="E14" s="763"/>
      <c r="F14" s="763"/>
      <c r="G14" s="763"/>
      <c r="H14" s="763"/>
      <c r="I14" s="763"/>
      <c r="J14" s="763"/>
      <c r="K14" s="763"/>
      <c r="L14" s="763"/>
      <c r="M14" s="763"/>
      <c r="N14" s="763"/>
      <c r="O14" s="763"/>
      <c r="P14" s="763"/>
      <c r="Q14" s="763"/>
      <c r="R14" s="763"/>
      <c r="S14" s="763"/>
      <c r="T14" s="763"/>
      <c r="U14" s="763"/>
      <c r="V14" s="763"/>
      <c r="W14" s="763"/>
      <c r="X14" s="763"/>
      <c r="Y14" s="763"/>
      <c r="Z14" s="763"/>
      <c r="AA14" s="763"/>
      <c r="AB14" s="763"/>
      <c r="AC14" s="763"/>
      <c r="AD14" s="763"/>
      <c r="AE14" s="766"/>
      <c r="AF14" s="766"/>
      <c r="AG14" s="766"/>
      <c r="AH14" s="766"/>
      <c r="AI14" s="766"/>
      <c r="AJ14" s="766"/>
      <c r="AK14" s="859"/>
      <c r="AL14" s="860"/>
      <c r="AM14" s="766"/>
      <c r="AN14" s="766"/>
      <c r="AO14" s="766"/>
      <c r="AP14" s="859"/>
      <c r="AQ14" s="766"/>
      <c r="AR14" s="766"/>
      <c r="AS14" s="766"/>
      <c r="AT14" s="766"/>
      <c r="AU14" s="766"/>
      <c r="AV14" s="764">
        <f t="shared" si="5"/>
        <v>40267.743074999998</v>
      </c>
      <c r="AW14" s="764">
        <f t="shared" si="4"/>
        <v>40267.743074999998</v>
      </c>
      <c r="AX14" s="764">
        <f t="shared" si="6"/>
        <v>0</v>
      </c>
      <c r="AY14"/>
      <c r="AZ14"/>
    </row>
    <row r="15" spans="1:52" ht="14.45">
      <c r="A15" s="761" t="str">
        <f>'B Financial'!A56</f>
        <v xml:space="preserve">Design </v>
      </c>
      <c r="B15" s="797">
        <f>'B Financial'!C56</f>
        <v>4366573.92</v>
      </c>
      <c r="C15" s="763"/>
      <c r="D15" s="763"/>
      <c r="E15" s="763"/>
      <c r="F15" s="763"/>
      <c r="G15" s="763">
        <f t="shared" si="7"/>
        <v>218328.696</v>
      </c>
      <c r="H15" s="763">
        <f t="shared" si="3"/>
        <v>218328.696</v>
      </c>
      <c r="I15" s="763">
        <f t="shared" si="3"/>
        <v>436657.39199999999</v>
      </c>
      <c r="J15" s="763">
        <f t="shared" si="3"/>
        <v>436657.39199999999</v>
      </c>
      <c r="K15" s="763">
        <f t="shared" si="3"/>
        <v>436657.39199999999</v>
      </c>
      <c r="L15" s="763">
        <f t="shared" si="3"/>
        <v>436657.39199999999</v>
      </c>
      <c r="M15" s="763">
        <f t="shared" si="3"/>
        <v>436657.39199999999</v>
      </c>
      <c r="N15" s="763">
        <f t="shared" si="3"/>
        <v>436657.39199999999</v>
      </c>
      <c r="O15" s="763">
        <f t="shared" si="3"/>
        <v>436657.39199999999</v>
      </c>
      <c r="P15" s="763">
        <f t="shared" si="3"/>
        <v>436657.39199999999</v>
      </c>
      <c r="Q15" s="763">
        <f t="shared" si="3"/>
        <v>218328.696</v>
      </c>
      <c r="R15" s="763">
        <f t="shared" si="3"/>
        <v>218328.696</v>
      </c>
      <c r="S15" s="763"/>
      <c r="T15" s="763"/>
      <c r="U15" s="763"/>
      <c r="V15" s="763"/>
      <c r="W15" s="763"/>
      <c r="X15" s="763"/>
      <c r="Y15" s="763"/>
      <c r="Z15" s="763"/>
      <c r="AA15" s="763"/>
      <c r="AB15" s="763"/>
      <c r="AC15" s="763"/>
      <c r="AD15" s="763"/>
      <c r="AE15" s="763"/>
      <c r="AF15" s="763"/>
      <c r="AG15" s="763"/>
      <c r="AH15" s="763"/>
      <c r="AI15" s="763"/>
      <c r="AJ15" s="763"/>
      <c r="AK15" s="763"/>
      <c r="AL15" s="763"/>
      <c r="AM15" s="763"/>
      <c r="AN15" s="763"/>
      <c r="AO15" s="763"/>
      <c r="AP15" s="763"/>
      <c r="AQ15" s="766"/>
      <c r="AR15" s="766"/>
      <c r="AS15" s="766"/>
      <c r="AT15" s="766"/>
      <c r="AU15" s="766"/>
      <c r="AV15" s="764">
        <f t="shared" si="5"/>
        <v>4366573.92</v>
      </c>
      <c r="AW15" s="764">
        <f t="shared" si="4"/>
        <v>4366573.92</v>
      </c>
      <c r="AX15" s="764">
        <f t="shared" si="6"/>
        <v>0</v>
      </c>
      <c r="AY15"/>
      <c r="AZ15"/>
    </row>
    <row r="16" spans="1:52" ht="14.45">
      <c r="A16" s="761" t="str">
        <f>'B Financial'!A57</f>
        <v>Developer Fee</v>
      </c>
      <c r="B16" s="797">
        <f>'B Financial'!C57</f>
        <v>3563118.7625422496</v>
      </c>
      <c r="C16" s="763"/>
      <c r="D16" s="763"/>
      <c r="E16" s="763"/>
      <c r="F16" s="763"/>
      <c r="G16" s="763">
        <f t="shared" si="7"/>
        <v>178155.93812711249</v>
      </c>
      <c r="H16" s="763">
        <f t="shared" si="3"/>
        <v>178155.93812711249</v>
      </c>
      <c r="I16" s="763">
        <f t="shared" si="3"/>
        <v>356311.87625422498</v>
      </c>
      <c r="J16" s="763">
        <f t="shared" si="3"/>
        <v>356311.87625422498</v>
      </c>
      <c r="K16" s="763">
        <f t="shared" si="3"/>
        <v>356311.87625422498</v>
      </c>
      <c r="L16" s="763">
        <f t="shared" si="3"/>
        <v>356311.87625422498</v>
      </c>
      <c r="M16" s="763">
        <f t="shared" si="3"/>
        <v>356311.87625422498</v>
      </c>
      <c r="N16" s="763">
        <f t="shared" si="3"/>
        <v>356311.87625422498</v>
      </c>
      <c r="O16" s="763">
        <f t="shared" si="3"/>
        <v>356311.87625422498</v>
      </c>
      <c r="P16" s="763">
        <f t="shared" si="3"/>
        <v>356311.87625422498</v>
      </c>
      <c r="Q16" s="763">
        <f t="shared" si="3"/>
        <v>178155.93812711249</v>
      </c>
      <c r="R16" s="763">
        <f t="shared" si="3"/>
        <v>178155.93812711249</v>
      </c>
      <c r="S16" s="763"/>
      <c r="T16" s="763"/>
      <c r="U16" s="763"/>
      <c r="V16" s="763"/>
      <c r="W16" s="763"/>
      <c r="X16" s="763"/>
      <c r="Y16" s="763"/>
      <c r="Z16" s="763"/>
      <c r="AA16" s="763"/>
      <c r="AB16" s="763"/>
      <c r="AC16" s="763"/>
      <c r="AD16" s="763"/>
      <c r="AE16" s="763"/>
      <c r="AF16" s="763"/>
      <c r="AG16" s="763"/>
      <c r="AH16" s="763"/>
      <c r="AI16" s="763"/>
      <c r="AJ16" s="763"/>
      <c r="AK16" s="763"/>
      <c r="AL16" s="763"/>
      <c r="AM16" s="763"/>
      <c r="AN16" s="763"/>
      <c r="AO16" s="763"/>
      <c r="AP16" s="763"/>
      <c r="AQ16" s="763"/>
      <c r="AR16" s="763"/>
      <c r="AS16" s="763"/>
      <c r="AT16" s="763"/>
      <c r="AU16" s="763"/>
      <c r="AV16" s="764">
        <f t="shared" si="5"/>
        <v>3563118.7625422506</v>
      </c>
      <c r="AW16" s="764">
        <f t="shared" si="4"/>
        <v>3563118.7625422496</v>
      </c>
      <c r="AX16" s="764">
        <f t="shared" si="6"/>
        <v>0</v>
      </c>
      <c r="AY16"/>
      <c r="AZ16"/>
    </row>
    <row r="17" spans="1:52" ht="14.45">
      <c r="A17" s="761" t="str">
        <f>'B Financial'!A58</f>
        <v>Construction Management Fee</v>
      </c>
      <c r="B17" s="797">
        <f>'B Financial'!C58</f>
        <v>2183286.96</v>
      </c>
      <c r="C17" s="763"/>
      <c r="D17" s="763"/>
      <c r="E17" s="763"/>
      <c r="F17" s="763"/>
      <c r="G17" s="763">
        <f t="shared" si="7"/>
        <v>109164.348</v>
      </c>
      <c r="H17" s="763">
        <f t="shared" si="3"/>
        <v>109164.348</v>
      </c>
      <c r="I17" s="763">
        <f t="shared" si="3"/>
        <v>218328.696</v>
      </c>
      <c r="J17" s="763">
        <f t="shared" si="3"/>
        <v>218328.696</v>
      </c>
      <c r="K17" s="763">
        <f t="shared" si="3"/>
        <v>218328.696</v>
      </c>
      <c r="L17" s="763">
        <f t="shared" si="3"/>
        <v>218328.696</v>
      </c>
      <c r="M17" s="763">
        <f t="shared" si="3"/>
        <v>218328.696</v>
      </c>
      <c r="N17" s="763">
        <f t="shared" si="3"/>
        <v>218328.696</v>
      </c>
      <c r="O17" s="763">
        <f t="shared" si="3"/>
        <v>218328.696</v>
      </c>
      <c r="P17" s="763">
        <f t="shared" si="3"/>
        <v>218328.696</v>
      </c>
      <c r="Q17" s="763">
        <f t="shared" si="3"/>
        <v>109164.348</v>
      </c>
      <c r="R17" s="763">
        <f t="shared" si="3"/>
        <v>109164.348</v>
      </c>
      <c r="S17" s="763"/>
      <c r="T17" s="763"/>
      <c r="U17" s="763"/>
      <c r="V17" s="763"/>
      <c r="W17" s="763"/>
      <c r="X17" s="763"/>
      <c r="Y17" s="763"/>
      <c r="Z17" s="763"/>
      <c r="AA17" s="763"/>
      <c r="AB17" s="763"/>
      <c r="AC17" s="763"/>
      <c r="AD17" s="763"/>
      <c r="AE17" s="763"/>
      <c r="AF17" s="763"/>
      <c r="AG17" s="763"/>
      <c r="AH17" s="763"/>
      <c r="AI17" s="763"/>
      <c r="AJ17" s="763"/>
      <c r="AK17" s="763"/>
      <c r="AL17" s="763"/>
      <c r="AM17" s="763"/>
      <c r="AN17" s="763"/>
      <c r="AO17" s="763"/>
      <c r="AP17" s="763"/>
      <c r="AQ17" s="763"/>
      <c r="AR17" s="763"/>
      <c r="AS17" s="763"/>
      <c r="AT17" s="763"/>
      <c r="AU17" s="763"/>
      <c r="AV17" s="764">
        <f t="shared" si="5"/>
        <v>2183286.96</v>
      </c>
      <c r="AW17" s="764">
        <f t="shared" si="4"/>
        <v>2183286.96</v>
      </c>
      <c r="AX17" s="764">
        <f t="shared" si="6"/>
        <v>0</v>
      </c>
      <c r="AY17"/>
      <c r="AZ17"/>
    </row>
    <row r="18" spans="1:52" ht="14.45">
      <c r="A18" s="761" t="str">
        <f>'B Financial'!A59</f>
        <v>Taxes</v>
      </c>
      <c r="B18" s="797">
        <f>'B Financial'!C59</f>
        <v>161070.97229999999</v>
      </c>
      <c r="C18" s="767"/>
      <c r="D18" s="763"/>
      <c r="E18" s="763"/>
      <c r="F18" s="763"/>
      <c r="G18" s="763">
        <f>B18</f>
        <v>161070.97229999999</v>
      </c>
      <c r="H18" s="763"/>
      <c r="I18" s="763"/>
      <c r="J18" s="763"/>
      <c r="K18" s="763"/>
      <c r="L18" s="763"/>
      <c r="M18" s="763"/>
      <c r="N18" s="763"/>
      <c r="O18" s="763"/>
      <c r="P18" s="763"/>
      <c r="Q18" s="763"/>
      <c r="R18" s="763"/>
      <c r="S18" s="214"/>
      <c r="T18" s="763"/>
      <c r="U18" s="214"/>
      <c r="V18" s="763"/>
      <c r="W18" s="763"/>
      <c r="X18" s="214"/>
      <c r="Y18" s="763"/>
      <c r="Z18" s="763"/>
      <c r="AA18" s="763"/>
      <c r="AB18" s="763"/>
      <c r="AC18" s="763"/>
      <c r="AD18" s="763"/>
      <c r="AE18" s="214"/>
      <c r="AF18" s="763"/>
      <c r="AG18" s="214"/>
      <c r="AH18" s="763"/>
      <c r="AI18" s="766"/>
      <c r="AJ18" s="763"/>
      <c r="AK18" s="763"/>
      <c r="AL18" s="763"/>
      <c r="AM18" s="763"/>
      <c r="AN18" s="763"/>
      <c r="AO18" s="763"/>
      <c r="AP18" s="861"/>
      <c r="AQ18" s="763"/>
      <c r="AR18" s="763"/>
      <c r="AS18" s="763"/>
      <c r="AT18" s="763"/>
      <c r="AU18" s="763"/>
      <c r="AV18" s="764">
        <f t="shared" si="5"/>
        <v>161070.97229999999</v>
      </c>
      <c r="AW18" s="764">
        <f t="shared" si="4"/>
        <v>161070.97229999999</v>
      </c>
      <c r="AX18" s="764">
        <f t="shared" si="6"/>
        <v>0</v>
      </c>
      <c r="AY18"/>
      <c r="AZ18"/>
    </row>
    <row r="19" spans="1:52" ht="14.45">
      <c r="A19" s="761" t="str">
        <f>'B Financial'!A60</f>
        <v>Insurance</v>
      </c>
      <c r="B19" s="797">
        <f>'B Financial'!C60</f>
        <v>606230.65924799885</v>
      </c>
      <c r="C19" s="767"/>
      <c r="D19" s="214"/>
      <c r="E19" s="214"/>
      <c r="F19" s="763"/>
      <c r="G19" s="763">
        <f t="shared" si="7"/>
        <v>30311.532962399942</v>
      </c>
      <c r="H19" s="763">
        <f t="shared" si="3"/>
        <v>30311.532962399942</v>
      </c>
      <c r="I19" s="763">
        <f t="shared" si="3"/>
        <v>60623.065924799885</v>
      </c>
      <c r="J19" s="763">
        <f t="shared" si="3"/>
        <v>60623.065924799885</v>
      </c>
      <c r="K19" s="763">
        <f t="shared" si="3"/>
        <v>60623.065924799885</v>
      </c>
      <c r="L19" s="763">
        <f t="shared" si="3"/>
        <v>60623.065924799885</v>
      </c>
      <c r="M19" s="763">
        <f t="shared" si="3"/>
        <v>60623.065924799885</v>
      </c>
      <c r="N19" s="763">
        <f t="shared" si="3"/>
        <v>60623.065924799885</v>
      </c>
      <c r="O19" s="763">
        <f t="shared" si="3"/>
        <v>60623.065924799885</v>
      </c>
      <c r="P19" s="763">
        <f t="shared" si="3"/>
        <v>60623.065924799885</v>
      </c>
      <c r="Q19" s="763">
        <f t="shared" si="3"/>
        <v>30311.532962399942</v>
      </c>
      <c r="R19" s="763">
        <f t="shared" si="3"/>
        <v>30311.532962399942</v>
      </c>
      <c r="S19" s="763"/>
      <c r="T19" s="214"/>
      <c r="U19" s="763"/>
      <c r="V19" s="763"/>
      <c r="W19" s="763"/>
      <c r="X19" s="763"/>
      <c r="Y19" s="763"/>
      <c r="Z19" s="763"/>
      <c r="AA19" s="763"/>
      <c r="AB19" s="763"/>
      <c r="AC19" s="763"/>
      <c r="AD19" s="763"/>
      <c r="AE19" s="763"/>
      <c r="AF19" s="763"/>
      <c r="AG19" s="763"/>
      <c r="AH19" s="763"/>
      <c r="AI19" s="763"/>
      <c r="AJ19" s="763"/>
      <c r="AK19" s="861"/>
      <c r="AL19" s="862"/>
      <c r="AM19" s="763"/>
      <c r="AN19" s="763"/>
      <c r="AO19" s="763"/>
      <c r="AP19" s="861"/>
      <c r="AQ19" s="763"/>
      <c r="AR19" s="763"/>
      <c r="AS19" s="763"/>
      <c r="AT19" s="763"/>
      <c r="AU19" s="763"/>
      <c r="AV19" s="764">
        <f t="shared" si="5"/>
        <v>606230.65924799885</v>
      </c>
      <c r="AW19" s="764">
        <f t="shared" si="4"/>
        <v>606230.65924799885</v>
      </c>
      <c r="AX19" s="764">
        <f t="shared" si="6"/>
        <v>0</v>
      </c>
      <c r="AY19"/>
      <c r="AZ19"/>
    </row>
    <row r="20" spans="1:52" ht="14.45">
      <c r="A20" s="761" t="str">
        <f>'B Financial'!A61</f>
        <v>Marketing, FFE and Preleasing</v>
      </c>
      <c r="B20" s="797">
        <f>'B Financial'!C61</f>
        <v>400000</v>
      </c>
      <c r="C20" s="767"/>
      <c r="D20" s="763"/>
      <c r="E20" s="763"/>
      <c r="F20" s="763"/>
      <c r="G20" s="763"/>
      <c r="H20" s="763"/>
      <c r="I20" s="763"/>
      <c r="J20" s="763"/>
      <c r="K20" s="763"/>
      <c r="L20" s="763"/>
      <c r="M20" s="763"/>
      <c r="N20" s="763"/>
      <c r="O20" s="763"/>
      <c r="P20" s="763"/>
      <c r="Q20" s="763"/>
      <c r="R20" s="763"/>
      <c r="S20" s="763">
        <f>$B$20*0.25</f>
        <v>100000</v>
      </c>
      <c r="T20" s="763">
        <f t="shared" ref="T20:V20" si="11">$B$20*0.25</f>
        <v>100000</v>
      </c>
      <c r="U20" s="763">
        <f t="shared" si="11"/>
        <v>100000</v>
      </c>
      <c r="V20" s="763">
        <f t="shared" si="11"/>
        <v>100000</v>
      </c>
      <c r="W20" s="763"/>
      <c r="X20" s="863"/>
      <c r="Y20" s="863"/>
      <c r="Z20" s="863"/>
      <c r="AA20" s="863"/>
      <c r="AB20" s="864"/>
      <c r="AC20" s="766"/>
      <c r="AD20" s="766"/>
      <c r="AE20" s="763"/>
      <c r="AF20" s="214"/>
      <c r="AG20" s="214"/>
      <c r="AH20" s="214"/>
      <c r="AI20" s="863"/>
      <c r="AJ20" s="863"/>
      <c r="AK20" s="863"/>
      <c r="AL20" s="863"/>
      <c r="AM20" s="766"/>
      <c r="AN20" s="766"/>
      <c r="AO20" s="766"/>
      <c r="AP20" s="859"/>
      <c r="AQ20" s="766"/>
      <c r="AR20" s="766"/>
      <c r="AS20" s="766"/>
      <c r="AT20" s="766"/>
      <c r="AU20" s="766"/>
      <c r="AV20" s="764">
        <f t="shared" si="5"/>
        <v>400000</v>
      </c>
      <c r="AW20" s="764">
        <f t="shared" si="4"/>
        <v>400000</v>
      </c>
      <c r="AX20" s="764">
        <f t="shared" si="6"/>
        <v>0</v>
      </c>
      <c r="AY20"/>
      <c r="AZ20"/>
    </row>
    <row r="21" spans="1:52" ht="14.45">
      <c r="A21" s="761" t="str">
        <f>'B Financial'!A62</f>
        <v>Operating Deficit</v>
      </c>
      <c r="B21" s="797">
        <f>'B Financial'!C62</f>
        <v>1550314.5606000002</v>
      </c>
      <c r="C21" s="767"/>
      <c r="D21" s="763"/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>
        <f>$B$21*0.25</f>
        <v>387578.64015000005</v>
      </c>
      <c r="T21" s="763">
        <f t="shared" ref="T21:V21" si="12">$B$21*0.25</f>
        <v>387578.64015000005</v>
      </c>
      <c r="U21" s="763">
        <f t="shared" si="12"/>
        <v>387578.64015000005</v>
      </c>
      <c r="V21" s="763">
        <f t="shared" si="12"/>
        <v>387578.64015000005</v>
      </c>
      <c r="W21" s="763"/>
      <c r="X21" s="763"/>
      <c r="Y21" s="763"/>
      <c r="Z21" s="865"/>
      <c r="AA21" s="865"/>
      <c r="AB21" s="864"/>
      <c r="AC21" s="766"/>
      <c r="AD21" s="766"/>
      <c r="AE21" s="763"/>
      <c r="AF21" s="863"/>
      <c r="AG21" s="863"/>
      <c r="AH21" s="863"/>
      <c r="AI21" s="863"/>
      <c r="AJ21" s="214"/>
      <c r="AK21" s="220"/>
      <c r="AL21" s="220"/>
      <c r="AM21" s="220"/>
      <c r="AN21" s="220"/>
      <c r="AO21" s="220"/>
      <c r="AP21" s="220"/>
      <c r="AQ21" s="766"/>
      <c r="AR21" s="767"/>
      <c r="AS21" s="767"/>
      <c r="AT21" s="767"/>
      <c r="AU21" s="767"/>
      <c r="AV21" s="764">
        <f t="shared" si="5"/>
        <v>1550314.5606000002</v>
      </c>
      <c r="AW21" s="764">
        <f t="shared" si="4"/>
        <v>1550314.5606000002</v>
      </c>
      <c r="AX21" s="764">
        <f t="shared" si="6"/>
        <v>0</v>
      </c>
      <c r="AY21"/>
      <c r="AZ21"/>
    </row>
    <row r="22" spans="1:52" ht="14.45">
      <c r="A22" s="761" t="str">
        <f>'B Financial'!A63</f>
        <v>Retail Tenant Improvements</v>
      </c>
      <c r="B22" s="797">
        <f>'B Financial'!C63</f>
        <v>0</v>
      </c>
      <c r="C22" s="767"/>
      <c r="D22" s="763"/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6"/>
      <c r="AB22" s="864"/>
      <c r="AC22" s="767"/>
      <c r="AD22" s="766"/>
      <c r="AE22" s="763"/>
      <c r="AF22" s="863"/>
      <c r="AG22" s="863"/>
      <c r="AH22" s="863"/>
      <c r="AI22" s="863"/>
      <c r="AJ22" s="865"/>
      <c r="AK22" s="866"/>
      <c r="AL22" s="860"/>
      <c r="AM22" s="766"/>
      <c r="AN22" s="766"/>
      <c r="AO22" s="766"/>
      <c r="AP22" s="859"/>
      <c r="AQ22" s="766"/>
      <c r="AR22" s="766"/>
      <c r="AS22" s="766"/>
      <c r="AT22" s="766"/>
      <c r="AU22" s="766"/>
      <c r="AV22" s="764">
        <f t="shared" si="5"/>
        <v>0</v>
      </c>
      <c r="AW22" s="764">
        <f t="shared" si="4"/>
        <v>0</v>
      </c>
      <c r="AX22" s="764">
        <f t="shared" si="6"/>
        <v>0</v>
      </c>
      <c r="AY22"/>
      <c r="AZ22"/>
    </row>
    <row r="23" spans="1:52" ht="14.45">
      <c r="A23" s="761" t="str">
        <f>'B Financial'!A64</f>
        <v>Retail brokerage</v>
      </c>
      <c r="B23" s="797">
        <f>'B Financial'!C64</f>
        <v>0</v>
      </c>
      <c r="C23" s="767"/>
      <c r="D23" s="763"/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861"/>
      <c r="AL23" s="860"/>
      <c r="AM23" s="766"/>
      <c r="AN23" s="763"/>
      <c r="AO23" s="763"/>
      <c r="AP23" s="861"/>
      <c r="AQ23" s="763"/>
      <c r="AR23" s="763"/>
      <c r="AS23" s="763"/>
      <c r="AT23" s="763"/>
      <c r="AU23" s="763"/>
      <c r="AV23" s="764">
        <f t="shared" si="5"/>
        <v>0</v>
      </c>
      <c r="AW23" s="764">
        <f t="shared" si="4"/>
        <v>0</v>
      </c>
      <c r="AX23" s="764">
        <f t="shared" si="6"/>
        <v>0</v>
      </c>
      <c r="AY23"/>
      <c r="AZ23"/>
    </row>
    <row r="24" spans="1:52" ht="14.45">
      <c r="A24" s="761" t="str">
        <f>'B Financial'!A65</f>
        <v>Construction Loan Origination</v>
      </c>
      <c r="B24" s="797">
        <f>'B Financial'!C65</f>
        <v>1144905</v>
      </c>
      <c r="C24" s="763"/>
      <c r="D24" s="763"/>
      <c r="E24" s="763"/>
      <c r="F24" s="763"/>
      <c r="G24" s="763">
        <f>B24</f>
        <v>1144905</v>
      </c>
      <c r="H24" s="763"/>
      <c r="I24" s="763"/>
      <c r="J24" s="763"/>
      <c r="K24" s="763"/>
      <c r="L24" s="763"/>
      <c r="M24" s="763"/>
      <c r="N24" s="763"/>
      <c r="O24" s="763"/>
      <c r="P24" s="763"/>
      <c r="Q24" s="763"/>
      <c r="R24" s="763"/>
      <c r="S24" s="763"/>
      <c r="T24" s="763"/>
      <c r="U24" s="763"/>
      <c r="V24" s="763"/>
      <c r="W24" s="214"/>
      <c r="X24" s="763"/>
      <c r="Y24" s="763"/>
      <c r="Z24" s="763"/>
      <c r="AA24" s="763"/>
      <c r="AB24" s="763"/>
      <c r="AC24" s="763"/>
      <c r="AD24" s="763"/>
      <c r="AE24" s="763"/>
      <c r="AF24" s="763"/>
      <c r="AG24" s="763"/>
      <c r="AH24" s="763"/>
      <c r="AI24" s="763"/>
      <c r="AJ24" s="763"/>
      <c r="AK24" s="861"/>
      <c r="AL24" s="862"/>
      <c r="AM24" s="763"/>
      <c r="AN24" s="763"/>
      <c r="AO24" s="763"/>
      <c r="AP24" s="861"/>
      <c r="AQ24" s="763"/>
      <c r="AR24" s="763"/>
      <c r="AS24" s="763"/>
      <c r="AT24" s="763"/>
      <c r="AU24" s="763"/>
      <c r="AV24" s="764">
        <f t="shared" si="5"/>
        <v>1144905</v>
      </c>
      <c r="AW24" s="764">
        <f t="shared" si="4"/>
        <v>1144905</v>
      </c>
      <c r="AX24" s="764">
        <f t="shared" si="6"/>
        <v>0</v>
      </c>
      <c r="AY24"/>
      <c r="AZ24"/>
    </row>
    <row r="25" spans="1:52" ht="14.45">
      <c r="A25" s="761" t="str">
        <f>'B Financial'!A66</f>
        <v>Construction Interest</v>
      </c>
      <c r="B25" s="797">
        <f>'B Financial'!C66</f>
        <v>5342890.0000000009</v>
      </c>
      <c r="C25" s="773"/>
      <c r="D25" s="763"/>
      <c r="E25" s="763"/>
      <c r="F25" s="763"/>
      <c r="G25" s="763">
        <f t="shared" si="7"/>
        <v>267144.50000000006</v>
      </c>
      <c r="H25" s="763">
        <f t="shared" si="7"/>
        <v>267144.50000000006</v>
      </c>
      <c r="I25" s="763">
        <f t="shared" si="7"/>
        <v>534289.00000000012</v>
      </c>
      <c r="J25" s="763">
        <f t="shared" si="7"/>
        <v>534289.00000000012</v>
      </c>
      <c r="K25" s="763">
        <f t="shared" si="7"/>
        <v>534289.00000000012</v>
      </c>
      <c r="L25" s="763">
        <f t="shared" si="7"/>
        <v>534289.00000000012</v>
      </c>
      <c r="M25" s="763">
        <f t="shared" si="7"/>
        <v>534289.00000000012</v>
      </c>
      <c r="N25" s="763">
        <f t="shared" si="7"/>
        <v>534289.00000000012</v>
      </c>
      <c r="O25" s="763">
        <f t="shared" si="7"/>
        <v>534289.00000000012</v>
      </c>
      <c r="P25" s="763">
        <f t="shared" si="7"/>
        <v>534289.00000000012</v>
      </c>
      <c r="Q25" s="763">
        <f t="shared" si="7"/>
        <v>267144.50000000006</v>
      </c>
      <c r="R25" s="763">
        <f t="shared" si="7"/>
        <v>267144.50000000006</v>
      </c>
      <c r="S25" s="763"/>
      <c r="T25" s="763"/>
      <c r="U25" s="763"/>
      <c r="V25" s="763"/>
      <c r="W25" s="763"/>
      <c r="X25" s="763"/>
      <c r="Y25" s="763"/>
      <c r="Z25" s="763"/>
      <c r="AA25" s="763"/>
      <c r="AB25" s="763"/>
      <c r="AC25" s="763"/>
      <c r="AD25" s="763"/>
      <c r="AE25" s="763"/>
      <c r="AF25" s="763"/>
      <c r="AG25" s="763"/>
      <c r="AH25" s="763"/>
      <c r="AI25" s="763"/>
      <c r="AJ25" s="763"/>
      <c r="AK25" s="763"/>
      <c r="AL25" s="763"/>
      <c r="AM25" s="763"/>
      <c r="AN25" s="763"/>
      <c r="AO25" s="763"/>
      <c r="AP25" s="763"/>
      <c r="AQ25" s="763"/>
      <c r="AR25" s="763"/>
      <c r="AS25" s="763"/>
      <c r="AT25" s="763"/>
      <c r="AU25" s="763"/>
      <c r="AV25" s="764">
        <f t="shared" si="5"/>
        <v>5342890.0000000009</v>
      </c>
      <c r="AW25" s="764">
        <f t="shared" si="4"/>
        <v>5342890.0000000009</v>
      </c>
      <c r="AX25" s="764">
        <f t="shared" si="6"/>
        <v>0</v>
      </c>
      <c r="AY25"/>
      <c r="AZ25"/>
    </row>
    <row r="26" spans="1:52" ht="15" thickBot="1">
      <c r="A26" s="867" t="str">
        <f>'B Financial'!A67</f>
        <v>Additional Contingency</v>
      </c>
      <c r="B26" s="776">
        <f>'B Financial'!C67</f>
        <v>0</v>
      </c>
      <c r="C26" s="775"/>
      <c r="D26" s="775"/>
      <c r="E26" s="775"/>
      <c r="F26" s="775"/>
      <c r="G26" s="775"/>
      <c r="H26" s="775"/>
      <c r="I26" s="775"/>
      <c r="J26" s="775"/>
      <c r="K26" s="775"/>
      <c r="L26" s="775"/>
      <c r="M26" s="775"/>
      <c r="N26" s="775"/>
      <c r="O26" s="775"/>
      <c r="P26" s="775"/>
      <c r="Q26" s="775"/>
      <c r="R26" s="775"/>
      <c r="S26" s="775"/>
      <c r="T26" s="775"/>
      <c r="U26" s="775"/>
      <c r="V26" s="775"/>
      <c r="W26" s="775"/>
      <c r="X26" s="775"/>
      <c r="Y26" s="775"/>
      <c r="Z26" s="775"/>
      <c r="AA26" s="775"/>
      <c r="AB26" s="775"/>
      <c r="AC26" s="775"/>
      <c r="AD26" s="775"/>
      <c r="AE26" s="775"/>
      <c r="AF26" s="775"/>
      <c r="AG26" s="775"/>
      <c r="AH26" s="775"/>
      <c r="AI26" s="775"/>
      <c r="AJ26" s="775"/>
      <c r="AK26" s="775"/>
      <c r="AL26" s="775"/>
      <c r="AM26" s="868"/>
      <c r="AN26" s="868"/>
      <c r="AO26" s="868"/>
      <c r="AP26" s="868"/>
      <c r="AQ26" s="869"/>
      <c r="AR26" s="869"/>
      <c r="AS26" s="869"/>
      <c r="AT26" s="869"/>
      <c r="AU26" s="869"/>
      <c r="AV26" s="776">
        <f t="shared" si="5"/>
        <v>0</v>
      </c>
      <c r="AW26" s="776">
        <f t="shared" si="4"/>
        <v>0</v>
      </c>
      <c r="AX26" s="776">
        <f t="shared" si="6"/>
        <v>0</v>
      </c>
      <c r="AY26"/>
      <c r="AZ26"/>
    </row>
    <row r="27" spans="1:52" ht="15.6" thickTop="1" thickBot="1">
      <c r="A27" s="141" t="str">
        <f>'A Financial'!A57</f>
        <v>Total Project Cost</v>
      </c>
      <c r="B27" s="142">
        <f t="shared" ref="B27:AU27" si="13">SUM(B5:B26)</f>
        <v>133722442.33276522</v>
      </c>
      <c r="C27" s="870">
        <f t="shared" si="13"/>
        <v>2724783.9480750002</v>
      </c>
      <c r="D27" s="870">
        <f t="shared" si="13"/>
        <v>0</v>
      </c>
      <c r="E27" s="870">
        <f t="shared" si="13"/>
        <v>0</v>
      </c>
      <c r="F27" s="870">
        <f t="shared" si="13"/>
        <v>246000</v>
      </c>
      <c r="G27" s="870">
        <f t="shared" si="13"/>
        <v>7680744.3648895118</v>
      </c>
      <c r="H27" s="870">
        <f t="shared" si="13"/>
        <v>6374768.3925895123</v>
      </c>
      <c r="I27" s="870">
        <f t="shared" si="13"/>
        <v>12749536.785179025</v>
      </c>
      <c r="J27" s="870">
        <f t="shared" si="13"/>
        <v>12749536.785179025</v>
      </c>
      <c r="K27" s="870">
        <f t="shared" si="13"/>
        <v>12749536.785179025</v>
      </c>
      <c r="L27" s="870">
        <f t="shared" si="13"/>
        <v>12749536.785179025</v>
      </c>
      <c r="M27" s="870">
        <f t="shared" si="13"/>
        <v>12749536.785179025</v>
      </c>
      <c r="N27" s="870">
        <f t="shared" si="13"/>
        <v>12749536.785179025</v>
      </c>
      <c r="O27" s="870">
        <f t="shared" si="13"/>
        <v>12749536.785179025</v>
      </c>
      <c r="P27" s="870">
        <f t="shared" si="13"/>
        <v>12749536.785179025</v>
      </c>
      <c r="Q27" s="870">
        <f t="shared" si="13"/>
        <v>6374768.3925895123</v>
      </c>
      <c r="R27" s="870">
        <f t="shared" si="13"/>
        <v>6374768.3925895123</v>
      </c>
      <c r="S27" s="870">
        <f t="shared" si="13"/>
        <v>487578.64015000005</v>
      </c>
      <c r="T27" s="870">
        <f t="shared" si="13"/>
        <v>487578.64015000005</v>
      </c>
      <c r="U27" s="870">
        <f t="shared" si="13"/>
        <v>487578.64015000005</v>
      </c>
      <c r="V27" s="870">
        <f t="shared" si="13"/>
        <v>487578.64015000005</v>
      </c>
      <c r="W27" s="870">
        <f t="shared" si="13"/>
        <v>0</v>
      </c>
      <c r="X27" s="870">
        <f t="shared" si="13"/>
        <v>0</v>
      </c>
      <c r="Y27" s="870">
        <f t="shared" si="13"/>
        <v>0</v>
      </c>
      <c r="Z27" s="870">
        <f t="shared" si="13"/>
        <v>0</v>
      </c>
      <c r="AA27" s="870">
        <f t="shared" si="13"/>
        <v>0</v>
      </c>
      <c r="AB27" s="870">
        <f t="shared" si="13"/>
        <v>0</v>
      </c>
      <c r="AC27" s="870">
        <f t="shared" si="13"/>
        <v>0</v>
      </c>
      <c r="AD27" s="870">
        <f t="shared" si="13"/>
        <v>0</v>
      </c>
      <c r="AE27" s="870">
        <f t="shared" si="13"/>
        <v>0</v>
      </c>
      <c r="AF27" s="870">
        <f t="shared" si="13"/>
        <v>0</v>
      </c>
      <c r="AG27" s="870">
        <f t="shared" si="13"/>
        <v>0</v>
      </c>
      <c r="AH27" s="870">
        <f t="shared" si="13"/>
        <v>0</v>
      </c>
      <c r="AI27" s="870">
        <f t="shared" si="13"/>
        <v>0</v>
      </c>
      <c r="AJ27" s="870">
        <f t="shared" si="13"/>
        <v>0</v>
      </c>
      <c r="AK27" s="870">
        <f t="shared" si="13"/>
        <v>0</v>
      </c>
      <c r="AL27" s="870">
        <f t="shared" si="13"/>
        <v>0</v>
      </c>
      <c r="AM27" s="870">
        <f t="shared" si="13"/>
        <v>0</v>
      </c>
      <c r="AN27" s="870">
        <f t="shared" si="13"/>
        <v>0</v>
      </c>
      <c r="AO27" s="870">
        <f t="shared" si="13"/>
        <v>0</v>
      </c>
      <c r="AP27" s="870">
        <f t="shared" si="13"/>
        <v>0</v>
      </c>
      <c r="AQ27" s="870">
        <f t="shared" si="13"/>
        <v>0</v>
      </c>
      <c r="AR27" s="870">
        <f t="shared" si="13"/>
        <v>0</v>
      </c>
      <c r="AS27" s="870">
        <f t="shared" si="13"/>
        <v>0</v>
      </c>
      <c r="AT27" s="870">
        <f t="shared" si="13"/>
        <v>0</v>
      </c>
      <c r="AU27" s="870">
        <f t="shared" si="13"/>
        <v>0</v>
      </c>
      <c r="AV27" s="146">
        <f>SUM(AV5:AV26)</f>
        <v>133722442.33276522</v>
      </c>
      <c r="AW27" s="129">
        <f>SUM(AW5:AW26)</f>
        <v>133722442.33276522</v>
      </c>
      <c r="AX27" s="124"/>
      <c r="AY27"/>
      <c r="AZ27"/>
    </row>
    <row r="28" spans="1:52" ht="14.45">
      <c r="A28" s="126" t="s">
        <v>346</v>
      </c>
      <c r="B28" s="192">
        <f>'B Financial'!B76</f>
        <v>0</v>
      </c>
      <c r="C28" s="800"/>
      <c r="D28" s="800"/>
      <c r="E28" s="800"/>
      <c r="F28" s="800"/>
      <c r="G28" s="800"/>
      <c r="H28" s="800"/>
      <c r="I28" s="800"/>
      <c r="J28" s="800"/>
      <c r="K28" s="800"/>
      <c r="L28" s="800"/>
      <c r="M28" s="800"/>
      <c r="N28" s="800"/>
      <c r="O28" s="800"/>
      <c r="P28" s="800"/>
      <c r="Q28" s="800"/>
      <c r="R28" s="800"/>
      <c r="S28" s="800"/>
      <c r="T28" s="800"/>
      <c r="U28" s="800"/>
      <c r="V28" s="800"/>
      <c r="W28" s="800"/>
      <c r="X28" s="800"/>
      <c r="Y28" s="800"/>
      <c r="Z28" s="800"/>
      <c r="AA28" s="800"/>
      <c r="AB28" s="800"/>
      <c r="AC28" s="800"/>
      <c r="AD28" s="800"/>
      <c r="AE28" s="800"/>
      <c r="AF28" s="800"/>
      <c r="AG28" s="800"/>
      <c r="AH28" s="800"/>
      <c r="AI28" s="800"/>
      <c r="AJ28" s="800"/>
      <c r="AK28" s="800"/>
      <c r="AL28" s="800"/>
      <c r="AM28" s="800"/>
      <c r="AN28" s="800"/>
      <c r="AO28" s="800"/>
      <c r="AP28" s="800"/>
      <c r="AQ28" s="800"/>
      <c r="AR28" s="800"/>
      <c r="AS28" s="800"/>
      <c r="AT28" s="800"/>
      <c r="AU28" s="800"/>
      <c r="AV28" s="871"/>
      <c r="AW28" s="800"/>
      <c r="AX28" s="124"/>
      <c r="AY28"/>
      <c r="AZ28"/>
    </row>
    <row r="29" spans="1:52" ht="15" thickBot="1">
      <c r="A29" s="778" t="s">
        <v>347</v>
      </c>
      <c r="B29" s="872">
        <f>B27+B28</f>
        <v>133722442.33276522</v>
      </c>
      <c r="C29" s="793"/>
      <c r="D29" s="793"/>
      <c r="E29" s="793"/>
      <c r="F29" s="793"/>
      <c r="G29" s="793"/>
      <c r="H29" s="793"/>
      <c r="I29" s="793"/>
      <c r="J29" s="793"/>
      <c r="K29" s="793"/>
      <c r="L29" s="793"/>
      <c r="M29" s="793"/>
      <c r="N29" s="793"/>
      <c r="O29" s="793"/>
      <c r="P29" s="793"/>
      <c r="Q29" s="793"/>
      <c r="R29" s="793"/>
      <c r="S29" s="793"/>
      <c r="T29" s="793"/>
      <c r="U29" s="793"/>
      <c r="V29" s="793"/>
      <c r="W29" s="793"/>
      <c r="X29" s="793"/>
      <c r="Y29" s="793"/>
      <c r="Z29" s="791"/>
      <c r="AA29" s="791"/>
      <c r="AB29" s="791"/>
      <c r="AC29" s="791"/>
      <c r="AD29" s="791"/>
      <c r="AE29" s="791"/>
      <c r="AF29" s="791"/>
      <c r="AG29" s="791"/>
      <c r="AH29" s="793"/>
      <c r="AI29" s="793"/>
      <c r="AJ29" s="793"/>
      <c r="AK29" s="793"/>
      <c r="AL29" s="793"/>
      <c r="AM29" s="793"/>
      <c r="AN29" s="793"/>
      <c r="AO29" s="793"/>
      <c r="AP29" s="793"/>
      <c r="AQ29" s="793"/>
      <c r="AR29" s="793"/>
      <c r="AS29" s="793"/>
      <c r="AT29" s="793"/>
      <c r="AU29" s="793"/>
      <c r="AV29" s="793"/>
      <c r="AW29" s="793"/>
      <c r="AX29" s="780"/>
      <c r="AY29"/>
      <c r="AZ29"/>
    </row>
    <row r="30" spans="1:52" ht="14.45">
      <c r="A30" s="781" t="s">
        <v>348</v>
      </c>
      <c r="B30" s="782">
        <f>SUM(C30:AR30)</f>
        <v>53489000</v>
      </c>
      <c r="C30" s="764">
        <f>C27</f>
        <v>2724783.9480750002</v>
      </c>
      <c r="D30" s="764">
        <f t="shared" ref="D30:V30" si="14">IF(C31+D27&lt;=$B$31,D27,($B$31-C31))</f>
        <v>0</v>
      </c>
      <c r="E30" s="764">
        <f t="shared" si="14"/>
        <v>0</v>
      </c>
      <c r="F30" s="764">
        <f t="shared" si="14"/>
        <v>246000</v>
      </c>
      <c r="G30" s="764">
        <f t="shared" si="14"/>
        <v>7680744.3648895118</v>
      </c>
      <c r="H30" s="764">
        <f t="shared" si="14"/>
        <v>6374768.3925895123</v>
      </c>
      <c r="I30" s="764">
        <f t="shared" si="14"/>
        <v>12749536.785179025</v>
      </c>
      <c r="J30" s="764">
        <f t="shared" si="14"/>
        <v>12749536.785179025</v>
      </c>
      <c r="K30" s="764">
        <f t="shared" si="14"/>
        <v>10963629.724087924</v>
      </c>
      <c r="L30" s="764">
        <f t="shared" si="14"/>
        <v>0</v>
      </c>
      <c r="M30" s="764">
        <f t="shared" si="14"/>
        <v>0</v>
      </c>
      <c r="N30" s="764">
        <f t="shared" si="14"/>
        <v>0</v>
      </c>
      <c r="O30" s="764">
        <f t="shared" si="14"/>
        <v>0</v>
      </c>
      <c r="P30" s="764">
        <f t="shared" si="14"/>
        <v>0</v>
      </c>
      <c r="Q30" s="764">
        <f t="shared" si="14"/>
        <v>0</v>
      </c>
      <c r="R30" s="764">
        <f t="shared" si="14"/>
        <v>0</v>
      </c>
      <c r="S30" s="764">
        <f t="shared" si="14"/>
        <v>0</v>
      </c>
      <c r="T30" s="764">
        <f t="shared" si="14"/>
        <v>0</v>
      </c>
      <c r="U30" s="764">
        <f t="shared" si="14"/>
        <v>0</v>
      </c>
      <c r="V30" s="764">
        <f t="shared" si="14"/>
        <v>0</v>
      </c>
      <c r="W30" s="764">
        <f t="shared" ref="W30" si="15">IF(V31+W27&lt;=$B$31,W27,($B$31-V31))</f>
        <v>0</v>
      </c>
      <c r="X30" s="764">
        <f t="shared" ref="X30" si="16">IF(W31+X27&lt;=$B$31,X27,($B$31-W31))</f>
        <v>0</v>
      </c>
      <c r="Y30" s="764">
        <f t="shared" ref="Y30" si="17">IF(X31+Y27&lt;=$B$31,Y27,($B$31-X31))</f>
        <v>0</v>
      </c>
      <c r="Z30" s="764">
        <f t="shared" ref="Z30" si="18">IF(Y31+Z27&lt;=$B$31,Z27,($B$31-Y31))</f>
        <v>0</v>
      </c>
      <c r="AA30" s="764">
        <f t="shared" ref="AA30" si="19">IF(Z31+AA27&lt;=$B$31,AA27,($B$31-Z31))</f>
        <v>0</v>
      </c>
      <c r="AB30" s="764">
        <f t="shared" ref="AB30" si="20">IF(AA31+AB27&lt;=$B$31,AB27,($B$31-AA31))</f>
        <v>0</v>
      </c>
      <c r="AC30" s="764">
        <f t="shared" ref="AC30" si="21">IF(AB31+AC27&lt;=$B$31,AC27,($B$31-AB31))</f>
        <v>0</v>
      </c>
      <c r="AD30" s="764">
        <f t="shared" ref="AD30" si="22">IF(AC31+AD27&lt;=$B$31,AD27,($B$31-AC31))</f>
        <v>0</v>
      </c>
      <c r="AE30" s="764">
        <f t="shared" ref="AE30" si="23">IF(AD31+AE27&lt;=$B$31,AE27,($B$31-AD31))</f>
        <v>0</v>
      </c>
      <c r="AF30" s="764">
        <f t="shared" ref="AF30" si="24">IF(AE31+AF27&lt;=$B$31,AF27,($B$31-AE31))</f>
        <v>0</v>
      </c>
      <c r="AG30" s="764">
        <f t="shared" ref="AG30" si="25">IF(AF31+AG27&lt;=$B$31,AG27,($B$31-AF31))</f>
        <v>0</v>
      </c>
      <c r="AH30" s="764">
        <f t="shared" ref="AH30" si="26">IF(AG31+AH27&lt;=$B$31,AH27,($B$31-AG31))</f>
        <v>0</v>
      </c>
      <c r="AI30" s="764">
        <f t="shared" ref="AI30" si="27">IF(AH31+AI27&lt;=$B$31,AI27,($B$31-AH31))</f>
        <v>0</v>
      </c>
      <c r="AJ30" s="764">
        <f t="shared" ref="AJ30" si="28">IF(AI31+AJ27&lt;=$B$31,AJ27,($B$31-AI31))</f>
        <v>0</v>
      </c>
      <c r="AK30" s="764">
        <f t="shared" ref="AK30" si="29">IF(AJ31+AK27&lt;=$B$31,AK27,($B$31-AJ31))</f>
        <v>0</v>
      </c>
      <c r="AL30" s="764">
        <f t="shared" ref="AL30" si="30">IF(AK31+AL27&lt;=$B$31,AL27,($B$31-AK31))</f>
        <v>0</v>
      </c>
      <c r="AM30" s="764">
        <f t="shared" ref="AM30" si="31">IF(AL31+AM27&lt;=$B$31,AM27,($B$31-AL31))</f>
        <v>0</v>
      </c>
      <c r="AN30" s="764">
        <f t="shared" ref="AN30" si="32">IF(AM31+AN27&lt;=$B$31,AN27,($B$31-AM31))</f>
        <v>0</v>
      </c>
      <c r="AO30" s="764">
        <f t="shared" ref="AO30" si="33">IF(AN31+AO27&lt;=$B$31,AO27,($B$31-AN31))</f>
        <v>0</v>
      </c>
      <c r="AP30" s="764">
        <f t="shared" ref="AP30" si="34">IF(AO31+AP27&lt;=$B$31,AP27,($B$31-AO31))</f>
        <v>0</v>
      </c>
      <c r="AQ30" s="764">
        <f t="shared" ref="AQ30" si="35">IF(AP31+AQ27&lt;=$B$31,AQ27,($B$31-AP31))</f>
        <v>0</v>
      </c>
      <c r="AR30" s="764">
        <f t="shared" ref="AR30" si="36">IF(AQ31+AR27&lt;=$B$31,AR27,($B$31-AQ31))</f>
        <v>0</v>
      </c>
      <c r="AS30" s="764">
        <f t="shared" ref="AS30" si="37">IF(AR31+AS27&lt;=$B$31,AS27,($B$31-AR31))</f>
        <v>0</v>
      </c>
      <c r="AT30" s="764">
        <f t="shared" ref="AT30" si="38">IF(AS31+AT27&lt;=$B$31,AT27,($B$31-AS31))</f>
        <v>0</v>
      </c>
      <c r="AU30" s="764">
        <f t="shared" ref="AU30" si="39">IF(AT31+AU27&lt;=$B$31,AU27,($B$31-AT31))</f>
        <v>0</v>
      </c>
      <c r="AV30" s="783"/>
      <c r="AW30" s="783"/>
      <c r="AX30" s="783"/>
      <c r="AY30"/>
      <c r="AZ30"/>
    </row>
    <row r="31" spans="1:52" ht="15" thickBot="1">
      <c r="A31" s="761" t="s">
        <v>349</v>
      </c>
      <c r="B31" s="784">
        <f>'B Financial'!B79</f>
        <v>53489000</v>
      </c>
      <c r="C31" s="764">
        <f>C30</f>
        <v>2724783.9480750002</v>
      </c>
      <c r="D31" s="764">
        <f>IF(SUM($C$30:D30)&lt;=$B31,SUM($C$30:D30),0)</f>
        <v>2724783.9480750002</v>
      </c>
      <c r="E31" s="764">
        <f>IF(SUM($C$30:E30)&lt;=$B31,SUM($C$30:E30),0)</f>
        <v>2724783.9480750002</v>
      </c>
      <c r="F31" s="764">
        <f>IF(SUM($C$30:F30)&lt;=$B31,SUM($C$30:F30),0)</f>
        <v>2970783.9480750002</v>
      </c>
      <c r="G31" s="764">
        <f>IF(SUM($C$30:G30)&lt;=$B31,SUM($C$30:G30),0)</f>
        <v>10651528.312964512</v>
      </c>
      <c r="H31" s="764">
        <f>IF(SUM($C$30:H30)&lt;=$B31,SUM($C$30:H30),0)</f>
        <v>17026296.705554023</v>
      </c>
      <c r="I31" s="764">
        <f>IF(SUM($C$30:I30)&lt;=$B31,SUM($C$30:I30),0)</f>
        <v>29775833.49073305</v>
      </c>
      <c r="J31" s="764">
        <f>IF(SUM($C$30:J30)&lt;=$B31,SUM($C$30:J30),0)</f>
        <v>42525370.275912076</v>
      </c>
      <c r="K31" s="764">
        <f>IF(SUM($C$30:K30)&lt;=$B31,SUM($C$30:K30),0)</f>
        <v>53489000</v>
      </c>
      <c r="L31" s="764">
        <f>IF(SUM($C$30:L30)&lt;=$B31,SUM($C$30:L30),0)</f>
        <v>53489000</v>
      </c>
      <c r="M31" s="764">
        <f>IF(SUM($C$30:M30)&lt;=$B31,SUM($C$30:M30),0)</f>
        <v>53489000</v>
      </c>
      <c r="N31" s="764">
        <f>IF(SUM($C$30:N30)&lt;=$B31,SUM($C$30:N30),0)</f>
        <v>53489000</v>
      </c>
      <c r="O31" s="764">
        <f>IF(SUM($C$30:O30)&lt;=$B31,SUM($C$30:O30),0)</f>
        <v>53489000</v>
      </c>
      <c r="P31" s="764">
        <f>IF(SUM($C$30:P30)&lt;=$B31,SUM($C$30:P30),0)</f>
        <v>53489000</v>
      </c>
      <c r="Q31" s="764">
        <f>IF(SUM($C$30:Q30)&lt;=$B31,SUM($C$30:Q30),0)</f>
        <v>53489000</v>
      </c>
      <c r="R31" s="764">
        <f>IF(SUM($C$30:R30)&lt;=$B31,SUM($C$30:R30),0)</f>
        <v>53489000</v>
      </c>
      <c r="S31" s="764">
        <f>IF(SUM($C$30:S30)&lt;=$B31,SUM($C$30:S30),0)</f>
        <v>53489000</v>
      </c>
      <c r="T31" s="764">
        <f>IF(SUM($C$30:T30)&lt;=$B31,SUM($C$30:T30),0)</f>
        <v>53489000</v>
      </c>
      <c r="U31" s="764">
        <f>IF(SUM($C$30:U30)&lt;=$B31,SUM($C$30:U30),0)</f>
        <v>53489000</v>
      </c>
      <c r="V31" s="764">
        <f>IF(SUM($C$30:V30)&lt;=$B31,SUM($C$30:V30),0)</f>
        <v>53489000</v>
      </c>
      <c r="W31" s="764">
        <f>IF(SUM($C$30:W30)&lt;=$B31,SUM($C$30:W30),0)</f>
        <v>53489000</v>
      </c>
      <c r="X31" s="764">
        <f>IF(SUM($C$30:X30)&lt;=$B31,SUM($C$30:X30),0)</f>
        <v>53489000</v>
      </c>
      <c r="Y31" s="764">
        <f>IF(SUM($C$30:Y30)&lt;=$B31,SUM($C$30:Y30),0)</f>
        <v>53489000</v>
      </c>
      <c r="Z31" s="764">
        <f>IF(SUM($C$30:Z30)&lt;=$B31,SUM($C$30:Z30),0)</f>
        <v>53489000</v>
      </c>
      <c r="AA31" s="764">
        <f>IF(SUM($C$30:AA30)&lt;=$B31,SUM($C$30:AA30),0)</f>
        <v>53489000</v>
      </c>
      <c r="AB31" s="764">
        <f>IF(SUM($C$30:AB30)&lt;=$B31,SUM($C$30:AB30),0)</f>
        <v>53489000</v>
      </c>
      <c r="AC31" s="764">
        <f>IF(SUM($C$30:AC30)&lt;=$B31,SUM($C$30:AC30),0)</f>
        <v>53489000</v>
      </c>
      <c r="AD31" s="764">
        <f>IF(SUM($C$30:AD30)&lt;=$B31,SUM($C$30:AD30),0)</f>
        <v>53489000</v>
      </c>
      <c r="AE31" s="764">
        <f>IF(SUM($C$30:AE30)&lt;=$B31,SUM($C$30:AE30),0)</f>
        <v>53489000</v>
      </c>
      <c r="AF31" s="764">
        <f>IF(SUM($C$30:AF30)&lt;=$B31,SUM($C$30:AF30),0)</f>
        <v>53489000</v>
      </c>
      <c r="AG31" s="764">
        <f>IF(SUM($C$30:AG30)&lt;=$B31,SUM($C$30:AG30),0)</f>
        <v>53489000</v>
      </c>
      <c r="AH31" s="764">
        <f>IF(SUM($C$30:AH30)&lt;=$B31,SUM($C$30:AH30),0)</f>
        <v>53489000</v>
      </c>
      <c r="AI31" s="764">
        <f>IF(SUM($C$30:AI30)&lt;=$B31,SUM($C$30:AI30),0)</f>
        <v>53489000</v>
      </c>
      <c r="AJ31" s="764">
        <f>IF(SUM($C$30:AJ30)&lt;=$B31,SUM($C$30:AJ30),0)</f>
        <v>53489000</v>
      </c>
      <c r="AK31" s="764">
        <f>IF(SUM($C$30:AK30)&lt;=$B31,SUM($C$30:AK30),0)</f>
        <v>53489000</v>
      </c>
      <c r="AL31" s="764">
        <f>IF(SUM($C$30:AL30)&lt;=$B31,SUM($C$30:AL30),0)</f>
        <v>53489000</v>
      </c>
      <c r="AM31" s="764">
        <f>IF(SUM($C$30:AM30)&lt;=$B31,SUM($C$30:AM30),0)</f>
        <v>53489000</v>
      </c>
      <c r="AN31" s="764">
        <f>IF(SUM($C$30:AN30)&lt;=$B31,SUM($C$30:AN30),0)</f>
        <v>53489000</v>
      </c>
      <c r="AO31" s="764">
        <f>IF(SUM($C$30:AO30)&lt;=$B31,SUM($C$30:AO30),0)</f>
        <v>53489000</v>
      </c>
      <c r="AP31" s="764">
        <f>IF(SUM($C$30:AP30)&lt;=$B31,SUM($C$30:AP30),0)</f>
        <v>53489000</v>
      </c>
      <c r="AQ31" s="764">
        <f>IF(SUM($C$30:AQ30)&lt;=$B31,SUM($C$30:AQ30),0)</f>
        <v>53489000</v>
      </c>
      <c r="AR31" s="764">
        <f>IF(SUM($C$30:AR30)&lt;=$B31,SUM($C$30:AR30),0)</f>
        <v>53489000</v>
      </c>
      <c r="AS31" s="764">
        <f>IF(SUM($C$30:AS30)&lt;=$B31,SUM($C$30:AS30),0)</f>
        <v>53489000</v>
      </c>
      <c r="AT31" s="764">
        <f>IF(SUM($C$30:AT30)&lt;=$B31,SUM($C$30:AT30),0)</f>
        <v>53489000</v>
      </c>
      <c r="AU31" s="764">
        <f>IF(SUM($C$30:AU30)&lt;=$B31,SUM($C$30:AU30),0)</f>
        <v>53489000</v>
      </c>
      <c r="AV31" s="783"/>
      <c r="AW31" s="783"/>
      <c r="AX31" s="783"/>
      <c r="AY31"/>
      <c r="AZ31"/>
    </row>
    <row r="32" spans="1:52" ht="14.45">
      <c r="A32" s="130" t="s">
        <v>350</v>
      </c>
      <c r="B32" s="131">
        <f>'B Financial'!B78</f>
        <v>80233000</v>
      </c>
      <c r="C32" s="785"/>
      <c r="D32" s="786"/>
      <c r="E32" s="786"/>
      <c r="F32" s="786"/>
      <c r="G32" s="786"/>
      <c r="H32" s="786"/>
      <c r="I32" s="786"/>
      <c r="J32" s="786"/>
      <c r="K32" s="786"/>
      <c r="L32" s="786"/>
      <c r="M32" s="786"/>
      <c r="N32" s="786"/>
      <c r="O32" s="786"/>
      <c r="P32" s="786"/>
      <c r="Q32" s="786"/>
      <c r="R32" s="786"/>
      <c r="S32" s="786"/>
      <c r="T32" s="786"/>
      <c r="U32" s="786"/>
      <c r="V32" s="786"/>
      <c r="W32" s="786"/>
      <c r="X32" s="786"/>
      <c r="Y32" s="786"/>
      <c r="Z32" s="786"/>
      <c r="AA32" s="786"/>
      <c r="AB32" s="786"/>
      <c r="AC32" s="786"/>
      <c r="AD32" s="786"/>
      <c r="AE32" s="786"/>
      <c r="AF32" s="786"/>
      <c r="AG32" s="786"/>
      <c r="AH32" s="786"/>
      <c r="AI32" s="786"/>
      <c r="AJ32" s="786"/>
      <c r="AK32" s="786"/>
      <c r="AL32" s="786"/>
      <c r="AM32" s="786"/>
      <c r="AN32" s="786"/>
      <c r="AO32" s="786"/>
      <c r="AP32" s="786"/>
      <c r="AQ32" s="786"/>
      <c r="AR32" s="786"/>
      <c r="AS32" s="785"/>
      <c r="AT32" s="785"/>
      <c r="AU32" s="785"/>
      <c r="AV32" s="785"/>
      <c r="AW32" s="785"/>
      <c r="AX32" s="783"/>
      <c r="AY32"/>
      <c r="AZ32"/>
    </row>
    <row r="33" spans="1:52" ht="15" thickBot="1">
      <c r="A33" s="787" t="s">
        <v>351</v>
      </c>
      <c r="B33" s="788">
        <f>PMT(0.045,30,(B32))</f>
        <v>-4925627.6621851539</v>
      </c>
      <c r="C33" s="785"/>
      <c r="D33" s="786"/>
      <c r="E33" s="786"/>
      <c r="F33" s="786"/>
      <c r="G33" s="786"/>
      <c r="H33" s="786"/>
      <c r="I33" s="786"/>
      <c r="J33" s="786"/>
      <c r="K33" s="786"/>
      <c r="L33" s="786"/>
      <c r="M33" s="786"/>
      <c r="N33" s="786"/>
      <c r="O33" s="786"/>
      <c r="P33" s="786"/>
      <c r="Q33" s="786"/>
      <c r="R33" s="786"/>
      <c r="S33" s="786"/>
      <c r="T33" s="786"/>
      <c r="U33" s="786"/>
      <c r="V33" s="786"/>
      <c r="W33" s="786"/>
      <c r="X33" s="786"/>
      <c r="Y33" s="786"/>
      <c r="Z33" s="786"/>
      <c r="AA33" s="786"/>
      <c r="AB33" s="786"/>
      <c r="AC33" s="786"/>
      <c r="AD33" s="786"/>
      <c r="AE33" s="786"/>
      <c r="AF33" s="786"/>
      <c r="AG33" s="786"/>
      <c r="AH33" s="786"/>
      <c r="AI33" s="786"/>
      <c r="AJ33" s="786"/>
      <c r="AK33" s="786"/>
      <c r="AL33" s="786"/>
      <c r="AM33" s="786"/>
      <c r="AN33" s="786"/>
      <c r="AO33" s="786"/>
      <c r="AP33" s="786"/>
      <c r="AQ33" s="786"/>
      <c r="AR33" s="786"/>
      <c r="AS33" s="785"/>
      <c r="AT33" s="785"/>
      <c r="AU33" s="785"/>
      <c r="AV33" s="785"/>
      <c r="AW33" s="785"/>
      <c r="AX33" s="783"/>
      <c r="AY33"/>
      <c r="AZ33"/>
    </row>
    <row r="34" spans="1:52" ht="14.45">
      <c r="A34" s="132" t="s">
        <v>352</v>
      </c>
      <c r="B34" s="133">
        <f>SUM(C34:AV34)</f>
        <v>0</v>
      </c>
      <c r="C34" s="764"/>
      <c r="D34" s="764"/>
      <c r="E34" s="764"/>
      <c r="F34" s="764"/>
      <c r="G34" s="764"/>
      <c r="H34" s="764"/>
      <c r="I34" s="764"/>
      <c r="J34" s="764"/>
      <c r="K34" s="764"/>
      <c r="L34" s="764"/>
      <c r="M34" s="764"/>
      <c r="N34" s="764"/>
      <c r="O34" s="764"/>
      <c r="P34" s="764"/>
      <c r="Q34" s="764"/>
      <c r="R34" s="764"/>
      <c r="S34" s="764"/>
      <c r="T34" s="764"/>
      <c r="U34" s="764"/>
      <c r="V34" s="764"/>
      <c r="W34" s="764"/>
      <c r="X34" s="764"/>
      <c r="Y34" s="764"/>
      <c r="Z34" s="764"/>
      <c r="AA34" s="764"/>
      <c r="AB34" s="764"/>
      <c r="AC34" s="764"/>
      <c r="AD34" s="764"/>
      <c r="AE34" s="764"/>
      <c r="AF34" s="764"/>
      <c r="AG34" s="764"/>
      <c r="AH34" s="764"/>
      <c r="AI34" s="764"/>
      <c r="AJ34" s="764"/>
      <c r="AK34" s="764"/>
      <c r="AL34" s="764"/>
      <c r="AM34" s="764"/>
      <c r="AN34" s="764"/>
      <c r="AO34" s="764"/>
      <c r="AP34" s="764"/>
      <c r="AQ34" s="764"/>
      <c r="AR34" s="764"/>
      <c r="AS34" s="764"/>
      <c r="AT34" s="764"/>
      <c r="AU34" s="764"/>
      <c r="AV34" s="791"/>
      <c r="AW34" s="785"/>
      <c r="AX34" s="783"/>
      <c r="AY34"/>
      <c r="AZ34"/>
    </row>
    <row r="35" spans="1:52" ht="14.45">
      <c r="A35" s="789" t="s">
        <v>353</v>
      </c>
      <c r="B35" s="790"/>
      <c r="C35" s="764"/>
      <c r="D35" s="764"/>
      <c r="E35" s="764"/>
      <c r="F35" s="764"/>
      <c r="G35" s="764"/>
      <c r="H35" s="764"/>
      <c r="I35" s="764"/>
      <c r="J35" s="764"/>
      <c r="K35" s="764"/>
      <c r="L35" s="764"/>
      <c r="M35" s="764"/>
      <c r="N35" s="764"/>
      <c r="O35" s="764"/>
      <c r="P35" s="764"/>
      <c r="Q35" s="764"/>
      <c r="R35" s="764"/>
      <c r="S35" s="764"/>
      <c r="T35" s="764"/>
      <c r="U35" s="764"/>
      <c r="V35" s="764"/>
      <c r="W35" s="764"/>
      <c r="X35" s="764"/>
      <c r="Y35" s="764"/>
      <c r="Z35" s="764"/>
      <c r="AA35" s="764"/>
      <c r="AB35" s="764"/>
      <c r="AC35" s="764"/>
      <c r="AD35" s="764"/>
      <c r="AE35" s="764"/>
      <c r="AF35" s="764"/>
      <c r="AG35" s="764"/>
      <c r="AH35" s="764"/>
      <c r="AI35" s="764"/>
      <c r="AJ35" s="764"/>
      <c r="AK35" s="764"/>
      <c r="AL35" s="764"/>
      <c r="AM35" s="764"/>
      <c r="AN35" s="764"/>
      <c r="AO35" s="764"/>
      <c r="AP35" s="764"/>
      <c r="AQ35" s="764"/>
      <c r="AR35" s="764"/>
      <c r="AS35" s="70"/>
      <c r="AT35" s="70"/>
      <c r="AU35" s="70"/>
      <c r="AV35" s="791"/>
      <c r="AW35" s="786"/>
      <c r="AX35" s="783"/>
      <c r="AY35"/>
      <c r="AZ35"/>
    </row>
    <row r="36" spans="1:52" ht="14.45">
      <c r="A36" s="781" t="s">
        <v>354</v>
      </c>
      <c r="B36" s="782">
        <f>'B Financial'!B86+'B Financial'!B87</f>
        <v>80796700</v>
      </c>
      <c r="C36" s="791"/>
      <c r="D36" s="792"/>
      <c r="E36" s="792"/>
      <c r="F36" s="792"/>
      <c r="G36" s="792"/>
      <c r="H36" s="792"/>
      <c r="I36" s="792"/>
      <c r="J36" s="792"/>
      <c r="K36" s="792"/>
      <c r="L36" s="792"/>
      <c r="M36" s="792"/>
      <c r="N36" s="792"/>
      <c r="O36" s="792"/>
      <c r="P36" s="792"/>
      <c r="Q36" s="792"/>
      <c r="R36" s="792"/>
      <c r="S36" s="792"/>
      <c r="T36" s="792"/>
      <c r="U36" s="792"/>
      <c r="V36" s="792"/>
      <c r="W36" s="792"/>
      <c r="X36" s="792"/>
      <c r="Y36" s="792"/>
      <c r="Z36" s="792"/>
      <c r="AA36" s="792"/>
      <c r="AB36" s="792"/>
      <c r="AC36" s="792"/>
      <c r="AD36" s="792"/>
      <c r="AE36" s="792"/>
      <c r="AF36" s="792"/>
      <c r="AG36" s="873"/>
      <c r="AH36" s="792"/>
      <c r="AI36" s="792"/>
      <c r="AJ36" s="792"/>
      <c r="AK36" s="792"/>
      <c r="AL36" s="792"/>
      <c r="AM36" s="792"/>
      <c r="AN36" s="792"/>
      <c r="AO36" s="792"/>
      <c r="AP36" s="792"/>
      <c r="AQ36" s="792"/>
      <c r="AR36" s="792"/>
      <c r="AS36" s="202"/>
      <c r="AT36" s="202"/>
      <c r="AU36" s="202"/>
      <c r="AV36" s="793"/>
      <c r="AW36" s="794"/>
      <c r="AX36" s="795"/>
      <c r="AY36"/>
      <c r="AZ36"/>
    </row>
    <row r="37" spans="1:52" ht="14.45">
      <c r="A37" s="781" t="s">
        <v>397</v>
      </c>
      <c r="B37" s="796">
        <f>SUM(C37:AU37)</f>
        <v>27307700</v>
      </c>
      <c r="C37" s="797">
        <f t="shared" ref="C37:U37" si="40">-C30</f>
        <v>-2724783.9480750002</v>
      </c>
      <c r="D37" s="797">
        <f t="shared" si="40"/>
        <v>0</v>
      </c>
      <c r="E37" s="797">
        <f t="shared" si="40"/>
        <v>0</v>
      </c>
      <c r="F37" s="797">
        <f t="shared" si="40"/>
        <v>-246000</v>
      </c>
      <c r="G37" s="797">
        <f t="shared" si="40"/>
        <v>-7680744.3648895118</v>
      </c>
      <c r="H37" s="797">
        <f t="shared" si="40"/>
        <v>-6374768.3925895123</v>
      </c>
      <c r="I37" s="797">
        <f t="shared" si="40"/>
        <v>-12749536.785179025</v>
      </c>
      <c r="J37" s="797">
        <f t="shared" si="40"/>
        <v>-12749536.785179025</v>
      </c>
      <c r="K37" s="797">
        <f t="shared" si="40"/>
        <v>-10963629.724087924</v>
      </c>
      <c r="L37" s="797">
        <f t="shared" si="40"/>
        <v>0</v>
      </c>
      <c r="M37" s="797">
        <f t="shared" si="40"/>
        <v>0</v>
      </c>
      <c r="N37" s="797">
        <f t="shared" si="40"/>
        <v>0</v>
      </c>
      <c r="O37" s="797">
        <f t="shared" si="40"/>
        <v>0</v>
      </c>
      <c r="P37" s="797">
        <f t="shared" si="40"/>
        <v>0</v>
      </c>
      <c r="Q37" s="797">
        <f t="shared" si="40"/>
        <v>0</v>
      </c>
      <c r="R37" s="797">
        <f t="shared" si="40"/>
        <v>0</v>
      </c>
      <c r="S37" s="797">
        <f t="shared" si="40"/>
        <v>0</v>
      </c>
      <c r="T37" s="797">
        <f t="shared" si="40"/>
        <v>0</v>
      </c>
      <c r="U37" s="797">
        <f t="shared" si="40"/>
        <v>0</v>
      </c>
      <c r="V37" s="797">
        <f>B36</f>
        <v>80796700</v>
      </c>
      <c r="W37" s="797"/>
      <c r="X37" s="874"/>
      <c r="Y37" s="797"/>
      <c r="Z37" s="797"/>
      <c r="AA37" s="797"/>
      <c r="AB37" s="797"/>
      <c r="AC37" s="797"/>
      <c r="AD37" s="797"/>
      <c r="AE37" s="797"/>
      <c r="AF37" s="797"/>
      <c r="AG37" s="797"/>
      <c r="AH37" s="797"/>
      <c r="AI37" s="797"/>
      <c r="AJ37" s="797"/>
      <c r="AK37" s="135"/>
      <c r="AL37" s="875"/>
      <c r="AM37" s="875"/>
      <c r="AN37" s="875"/>
      <c r="AO37" s="875"/>
      <c r="AP37" s="875"/>
      <c r="AQ37" s="875"/>
      <c r="AR37" s="875"/>
      <c r="AS37" s="876"/>
      <c r="AT37" s="876"/>
      <c r="AU37" s="876"/>
      <c r="AV37" s="136"/>
      <c r="AW37" s="797"/>
      <c r="AX37" s="764"/>
      <c r="AY37"/>
      <c r="AZ37"/>
    </row>
    <row r="38" spans="1:52" ht="14.45">
      <c r="A38" s="781" t="s">
        <v>356</v>
      </c>
      <c r="B38" s="799">
        <f>IF(B37&lt;0,0,IRR(C37:AIW37))</f>
        <v>3.1897391365914851E-2</v>
      </c>
      <c r="C38" s="800"/>
      <c r="D38" s="800"/>
      <c r="E38" s="800"/>
      <c r="F38" s="800"/>
      <c r="G38" s="800"/>
      <c r="H38" s="800"/>
      <c r="I38" s="800"/>
      <c r="J38" s="800"/>
      <c r="K38" s="800"/>
      <c r="L38" s="800"/>
      <c r="M38" s="800"/>
      <c r="N38" s="800"/>
      <c r="O38" s="800"/>
      <c r="P38" s="800"/>
      <c r="Q38" s="800"/>
      <c r="R38" s="800"/>
      <c r="S38" s="800"/>
      <c r="T38" s="800"/>
      <c r="U38" s="800"/>
      <c r="V38" s="800"/>
      <c r="W38" s="800"/>
      <c r="X38" s="800"/>
      <c r="Y38" s="800"/>
      <c r="Z38" s="800"/>
      <c r="AA38" s="800"/>
      <c r="AB38" s="800"/>
      <c r="AC38" s="800"/>
      <c r="AD38" s="800"/>
      <c r="AE38" s="800"/>
      <c r="AF38" s="800"/>
      <c r="AG38" s="800"/>
      <c r="AH38" s="800"/>
      <c r="AI38" s="800"/>
      <c r="AJ38" s="800"/>
      <c r="AK38" s="800"/>
      <c r="AL38" s="800"/>
      <c r="AM38" s="800"/>
      <c r="AN38" s="800"/>
      <c r="AO38" s="800"/>
      <c r="AP38" s="800"/>
      <c r="AQ38" s="800"/>
      <c r="AR38" s="800"/>
      <c r="AS38" s="800"/>
      <c r="AT38" s="800"/>
      <c r="AU38" s="800"/>
      <c r="AV38" s="793"/>
      <c r="AW38" s="800"/>
      <c r="AX38" s="801"/>
      <c r="AY38"/>
      <c r="AZ38"/>
    </row>
    <row r="39" spans="1:52" ht="14.45">
      <c r="A39" s="772" t="s">
        <v>357</v>
      </c>
      <c r="B39" s="877">
        <f>POWER((1+B38),4)-1</f>
        <v>0.13382507729453086</v>
      </c>
      <c r="C39" s="793"/>
      <c r="D39" s="793"/>
      <c r="E39" s="803"/>
      <c r="F39" s="803"/>
      <c r="G39" s="803"/>
      <c r="H39" s="803"/>
      <c r="I39" s="803"/>
      <c r="J39" s="803"/>
      <c r="K39" s="803"/>
      <c r="L39" s="803"/>
      <c r="M39" s="803"/>
      <c r="N39" s="803"/>
      <c r="O39" s="803"/>
      <c r="P39" s="804"/>
      <c r="Q39" s="803"/>
      <c r="R39" s="803"/>
      <c r="S39" s="803"/>
      <c r="T39" s="803"/>
      <c r="U39" s="803"/>
      <c r="V39" s="804"/>
      <c r="W39" s="803"/>
      <c r="X39" s="803"/>
      <c r="Y39" s="803"/>
      <c r="Z39" s="803"/>
      <c r="AA39" s="803"/>
      <c r="AB39" s="803"/>
      <c r="AC39" s="803"/>
      <c r="AD39" s="803"/>
      <c r="AE39" s="803"/>
      <c r="AF39" s="803"/>
      <c r="AG39" s="803"/>
      <c r="AH39" s="803"/>
      <c r="AI39" s="803"/>
      <c r="AJ39" s="803"/>
      <c r="AK39" s="803"/>
      <c r="AL39" s="803"/>
      <c r="AM39" s="803"/>
      <c r="AN39" s="803"/>
      <c r="AO39" s="803"/>
      <c r="AP39" s="803"/>
      <c r="AQ39" s="803"/>
      <c r="AR39" s="878"/>
      <c r="AS39" s="878"/>
      <c r="AT39" s="878"/>
      <c r="AU39" s="878"/>
      <c r="AV39" s="803"/>
      <c r="AW39" s="803"/>
      <c r="AX39" s="805"/>
      <c r="AY39"/>
      <c r="AZ39"/>
    </row>
    <row r="40" spans="1:52" ht="12.95">
      <c r="A40" s="879" t="s">
        <v>358</v>
      </c>
      <c r="B40" s="789"/>
      <c r="C40" s="793"/>
      <c r="D40" s="793"/>
      <c r="E40" s="793"/>
      <c r="F40" s="793"/>
      <c r="G40" s="793"/>
      <c r="H40" s="793"/>
      <c r="I40" s="793"/>
      <c r="J40" s="793"/>
      <c r="K40" s="793"/>
      <c r="L40" s="793"/>
      <c r="M40" s="793"/>
      <c r="N40" s="793"/>
      <c r="O40" s="793"/>
      <c r="P40" s="793"/>
      <c r="Q40" s="793"/>
      <c r="R40" s="793"/>
      <c r="S40" s="793"/>
      <c r="T40" s="793"/>
      <c r="U40" s="793"/>
      <c r="V40" s="793"/>
      <c r="W40" s="793"/>
      <c r="X40" s="793"/>
      <c r="Y40" s="793"/>
      <c r="Z40" s="793"/>
      <c r="AA40" s="793"/>
      <c r="AB40" s="793"/>
      <c r="AC40" s="793"/>
      <c r="AD40" s="793"/>
      <c r="AE40" s="793"/>
      <c r="AF40" s="793"/>
      <c r="AG40" s="793"/>
      <c r="AH40" s="793"/>
      <c r="AI40" s="793"/>
      <c r="AJ40" s="793"/>
      <c r="AK40" s="793"/>
      <c r="AL40" s="793"/>
      <c r="AM40" s="793"/>
      <c r="AN40" s="793"/>
      <c r="AO40" s="793"/>
      <c r="AP40" s="793"/>
      <c r="AQ40" s="793"/>
      <c r="AR40" s="793"/>
      <c r="AS40" s="793"/>
      <c r="AT40" s="793"/>
      <c r="AU40" s="793"/>
      <c r="AV40" s="793"/>
      <c r="AW40" s="793"/>
      <c r="AX40" s="772"/>
    </row>
    <row r="41" spans="1:52">
      <c r="A41" s="781" t="s">
        <v>359</v>
      </c>
      <c r="B41" s="880">
        <f>'B Financial'!B86-B28</f>
        <v>161029700</v>
      </c>
      <c r="C41" s="793"/>
      <c r="D41" s="793"/>
      <c r="E41" s="793"/>
      <c r="F41" s="793"/>
      <c r="G41" s="793"/>
      <c r="H41" s="793"/>
      <c r="I41" s="793"/>
      <c r="J41" s="793"/>
      <c r="K41" s="793"/>
      <c r="L41" s="793"/>
      <c r="M41" s="786"/>
      <c r="N41" s="793"/>
      <c r="O41" s="793"/>
      <c r="P41" s="793"/>
      <c r="Q41" s="793"/>
      <c r="R41" s="793"/>
      <c r="S41" s="786"/>
      <c r="T41" s="793"/>
      <c r="U41" s="793"/>
      <c r="V41" s="793"/>
      <c r="W41" s="793"/>
      <c r="X41" s="793"/>
      <c r="Y41" s="793"/>
      <c r="Z41" s="793"/>
      <c r="AA41" s="793"/>
      <c r="AB41" s="793"/>
      <c r="AC41" s="793"/>
      <c r="AD41" s="793"/>
      <c r="AE41" s="793"/>
      <c r="AF41" s="793"/>
      <c r="AG41" s="793"/>
      <c r="AH41" s="793"/>
      <c r="AI41" s="793"/>
      <c r="AJ41" s="793"/>
      <c r="AK41" s="793"/>
      <c r="AL41" s="793"/>
      <c r="AM41" s="793"/>
      <c r="AN41" s="793"/>
      <c r="AO41" s="793"/>
      <c r="AP41" s="793"/>
      <c r="AQ41" s="793"/>
      <c r="AR41" s="793"/>
      <c r="AS41" s="793"/>
      <c r="AT41" s="793"/>
      <c r="AU41" s="793"/>
      <c r="AV41" s="793"/>
      <c r="AW41" s="793"/>
      <c r="AX41" s="772"/>
    </row>
    <row r="42" spans="1:52" ht="12.95">
      <c r="A42" s="781" t="s">
        <v>360</v>
      </c>
      <c r="B42" s="796">
        <f>SUM(C42:AU42)</f>
        <v>27307257.667234778</v>
      </c>
      <c r="C42" s="764">
        <f>-C27</f>
        <v>-2724783.9480750002</v>
      </c>
      <c r="D42" s="764">
        <f t="shared" ref="D42:W42" si="41">-D27</f>
        <v>0</v>
      </c>
      <c r="E42" s="764">
        <f t="shared" si="41"/>
        <v>0</v>
      </c>
      <c r="F42" s="764">
        <f t="shared" si="41"/>
        <v>-246000</v>
      </c>
      <c r="G42" s="764">
        <f t="shared" si="41"/>
        <v>-7680744.3648895118</v>
      </c>
      <c r="H42" s="764">
        <f t="shared" si="41"/>
        <v>-6374768.3925895123</v>
      </c>
      <c r="I42" s="764">
        <f t="shared" si="41"/>
        <v>-12749536.785179025</v>
      </c>
      <c r="J42" s="764">
        <f t="shared" si="41"/>
        <v>-12749536.785179025</v>
      </c>
      <c r="K42" s="764">
        <f t="shared" si="41"/>
        <v>-12749536.785179025</v>
      </c>
      <c r="L42" s="764">
        <f t="shared" si="41"/>
        <v>-12749536.785179025</v>
      </c>
      <c r="M42" s="764">
        <f t="shared" si="41"/>
        <v>-12749536.785179025</v>
      </c>
      <c r="N42" s="764">
        <f t="shared" si="41"/>
        <v>-12749536.785179025</v>
      </c>
      <c r="O42" s="764">
        <f t="shared" si="41"/>
        <v>-12749536.785179025</v>
      </c>
      <c r="P42" s="764">
        <f t="shared" si="41"/>
        <v>-12749536.785179025</v>
      </c>
      <c r="Q42" s="764">
        <f t="shared" si="41"/>
        <v>-6374768.3925895123</v>
      </c>
      <c r="R42" s="764">
        <f t="shared" si="41"/>
        <v>-6374768.3925895123</v>
      </c>
      <c r="S42" s="764">
        <f t="shared" si="41"/>
        <v>-487578.64015000005</v>
      </c>
      <c r="T42" s="764">
        <f t="shared" si="41"/>
        <v>-487578.64015000005</v>
      </c>
      <c r="U42" s="764">
        <f t="shared" si="41"/>
        <v>-487578.64015000005</v>
      </c>
      <c r="V42" s="764">
        <f>-V27+B41</f>
        <v>160542121.35984999</v>
      </c>
      <c r="W42" s="764">
        <f t="shared" si="41"/>
        <v>0</v>
      </c>
      <c r="X42" s="801"/>
      <c r="Y42" s="764"/>
      <c r="Z42" s="764"/>
      <c r="AA42" s="764"/>
      <c r="AB42" s="764"/>
      <c r="AC42" s="764"/>
      <c r="AD42" s="764"/>
      <c r="AE42" s="764"/>
      <c r="AF42" s="764"/>
      <c r="AG42" s="764"/>
      <c r="AH42" s="764"/>
      <c r="AI42" s="764"/>
      <c r="AJ42" s="764"/>
      <c r="AK42" s="764"/>
      <c r="AL42" s="764"/>
      <c r="AM42" s="764"/>
      <c r="AN42" s="764"/>
      <c r="AO42" s="764"/>
      <c r="AP42" s="764"/>
      <c r="AQ42" s="764"/>
      <c r="AR42" s="764"/>
      <c r="AS42" s="764"/>
      <c r="AT42" s="764"/>
      <c r="AU42" s="764"/>
      <c r="AV42" s="881"/>
      <c r="AW42" s="772"/>
      <c r="AX42" s="772"/>
    </row>
    <row r="43" spans="1:52">
      <c r="A43" s="781" t="s">
        <v>361</v>
      </c>
      <c r="B43" s="799">
        <f>IF(B42&lt;0,0,IRR(C42:AU42))</f>
        <v>1.9227803215870143E-2</v>
      </c>
      <c r="C43" s="793"/>
      <c r="D43" s="793"/>
      <c r="E43" s="793"/>
      <c r="F43" s="793"/>
      <c r="G43" s="793"/>
      <c r="H43" s="793"/>
      <c r="I43" s="793"/>
      <c r="J43" s="793"/>
      <c r="K43" s="793"/>
      <c r="L43" s="793"/>
      <c r="M43" s="793"/>
      <c r="N43" s="793"/>
      <c r="O43" s="793"/>
      <c r="P43" s="793"/>
      <c r="Q43" s="793"/>
      <c r="R43" s="793"/>
      <c r="S43" s="793"/>
      <c r="T43" s="793"/>
      <c r="U43" s="793"/>
      <c r="V43" s="793"/>
      <c r="W43" s="793"/>
      <c r="X43" s="793"/>
      <c r="Y43" s="793"/>
      <c r="Z43" s="793"/>
      <c r="AA43" s="793"/>
      <c r="AB43" s="793"/>
      <c r="AC43" s="793"/>
      <c r="AD43" s="793"/>
      <c r="AE43" s="793"/>
      <c r="AF43" s="793"/>
      <c r="AG43" s="793"/>
      <c r="AH43" s="793"/>
      <c r="AI43" s="793"/>
      <c r="AJ43" s="793"/>
      <c r="AK43" s="793"/>
      <c r="AL43" s="793"/>
      <c r="AM43" s="793"/>
      <c r="AN43" s="793"/>
      <c r="AO43" s="793"/>
      <c r="AP43" s="793"/>
      <c r="AQ43" s="793"/>
      <c r="AR43" s="793"/>
      <c r="AS43" s="793"/>
      <c r="AT43" s="793"/>
      <c r="AU43" s="793"/>
      <c r="AV43" s="793"/>
      <c r="AW43" s="793"/>
      <c r="AX43" s="772"/>
    </row>
    <row r="44" spans="1:52" ht="12.95">
      <c r="A44" s="772" t="s">
        <v>362</v>
      </c>
      <c r="B44" s="802">
        <f>POWER((1+B43),4)-1</f>
        <v>7.9158034769562624E-2</v>
      </c>
      <c r="C44" s="793"/>
      <c r="D44" s="793"/>
      <c r="E44" s="793"/>
      <c r="F44" s="793"/>
      <c r="G44" s="793"/>
      <c r="H44" s="793"/>
      <c r="I44" s="793"/>
      <c r="J44" s="793"/>
      <c r="K44" s="793"/>
      <c r="L44" s="793"/>
      <c r="M44" s="793"/>
      <c r="N44" s="793"/>
      <c r="O44" s="793"/>
      <c r="P44" s="793"/>
      <c r="Q44" s="793"/>
      <c r="R44" s="793"/>
      <c r="S44" s="793"/>
      <c r="T44" s="793"/>
      <c r="U44" s="793"/>
      <c r="V44" s="793"/>
      <c r="W44" s="793"/>
      <c r="X44" s="793"/>
      <c r="Y44" s="793"/>
      <c r="Z44" s="793"/>
      <c r="AA44" s="793"/>
      <c r="AB44" s="793"/>
      <c r="AC44" s="793"/>
      <c r="AD44" s="793"/>
      <c r="AE44" s="793"/>
      <c r="AF44" s="793"/>
      <c r="AG44" s="793"/>
      <c r="AH44" s="793"/>
      <c r="AI44" s="793"/>
      <c r="AJ44" s="793"/>
      <c r="AK44" s="793"/>
      <c r="AL44" s="793"/>
      <c r="AM44" s="793"/>
      <c r="AN44" s="793"/>
      <c r="AO44" s="793"/>
      <c r="AP44" s="793"/>
      <c r="AQ44" s="793"/>
      <c r="AR44" s="793"/>
      <c r="AS44" s="793"/>
      <c r="AT44" s="793"/>
      <c r="AU44" s="793"/>
      <c r="AV44" s="793"/>
      <c r="AW44" s="793"/>
      <c r="AX44" s="772"/>
    </row>
    <row r="45" spans="1:52">
      <c r="G45" s="6"/>
      <c r="AB45" s="6"/>
      <c r="AE45" s="6"/>
      <c r="AI45" s="6"/>
    </row>
    <row r="46" spans="1:52">
      <c r="G46" s="6"/>
      <c r="AB46" s="6"/>
      <c r="AE46" s="6"/>
      <c r="AI46" s="6"/>
    </row>
    <row r="47" spans="1:52">
      <c r="G47" s="6"/>
      <c r="AB47" s="6"/>
      <c r="AE47" s="6"/>
      <c r="AI47" s="6"/>
    </row>
    <row r="48" spans="1:52">
      <c r="G48" s="6"/>
      <c r="AB48" s="6"/>
      <c r="AE48" s="6"/>
      <c r="AI48" s="6"/>
    </row>
    <row r="49" spans="7:35">
      <c r="G49" s="6"/>
      <c r="AB49" s="6"/>
      <c r="AE49" s="6"/>
      <c r="AI49" s="6"/>
    </row>
    <row r="50" spans="7:35">
      <c r="G50" s="6"/>
      <c r="AB50" s="6"/>
      <c r="AE50" s="6"/>
      <c r="AI50" s="6"/>
    </row>
    <row r="51" spans="7:35">
      <c r="G51" s="6"/>
      <c r="AB51" s="6"/>
      <c r="AE51" s="6"/>
      <c r="AI51" s="6"/>
    </row>
    <row r="52" spans="7:35">
      <c r="G52" s="6"/>
    </row>
    <row r="53" spans="7:35">
      <c r="G53" s="6"/>
    </row>
    <row r="54" spans="7:35">
      <c r="G54" s="6"/>
    </row>
    <row r="55" spans="7:35">
      <c r="G55" s="6"/>
    </row>
    <row r="56" spans="7:35">
      <c r="G56" s="6"/>
    </row>
    <row r="57" spans="7:35">
      <c r="G57" s="6"/>
    </row>
    <row r="58" spans="7:35">
      <c r="G58" s="6"/>
    </row>
    <row r="59" spans="7:35">
      <c r="G59" s="6"/>
    </row>
    <row r="60" spans="7:35">
      <c r="G60" s="6"/>
    </row>
    <row r="61" spans="7:35">
      <c r="G61" s="6"/>
    </row>
    <row r="62" spans="7:35">
      <c r="G62" s="6"/>
    </row>
    <row r="63" spans="7:35">
      <c r="G63" s="6"/>
    </row>
    <row r="64" spans="7:35">
      <c r="G64" s="6"/>
    </row>
    <row r="65" spans="7:7">
      <c r="G65" s="6"/>
    </row>
    <row r="66" spans="7:7">
      <c r="G66" s="6"/>
    </row>
    <row r="67" spans="7:7">
      <c r="G67" s="6"/>
    </row>
    <row r="68" spans="7:7">
      <c r="G68" s="6"/>
    </row>
    <row r="69" spans="7:7">
      <c r="G69" s="6"/>
    </row>
    <row r="70" spans="7:7">
      <c r="G70" s="6"/>
    </row>
    <row r="71" spans="7:7">
      <c r="G71" s="6"/>
    </row>
    <row r="72" spans="7:7">
      <c r="G72" s="6"/>
    </row>
    <row r="73" spans="7:7">
      <c r="G73" s="6"/>
    </row>
    <row r="74" spans="7:7">
      <c r="G74" s="6"/>
    </row>
    <row r="75" spans="7:7">
      <c r="G75" s="6"/>
    </row>
    <row r="76" spans="7:7">
      <c r="G76" s="6"/>
    </row>
    <row r="77" spans="7:7">
      <c r="G77" s="6"/>
    </row>
    <row r="78" spans="7:7">
      <c r="G78" s="6"/>
    </row>
    <row r="79" spans="7:7">
      <c r="G79" s="6"/>
    </row>
    <row r="80" spans="7:7">
      <c r="G80" s="6"/>
    </row>
    <row r="81" spans="7:7">
      <c r="G81" s="6"/>
    </row>
    <row r="82" spans="7:7">
      <c r="G82" s="6"/>
    </row>
    <row r="83" spans="7:7">
      <c r="G83" s="6"/>
    </row>
    <row r="84" spans="7:7">
      <c r="G84" s="6"/>
    </row>
    <row r="85" spans="7:7">
      <c r="G85" s="6"/>
    </row>
    <row r="86" spans="7:7">
      <c r="G86" s="6"/>
    </row>
    <row r="87" spans="7:7">
      <c r="G87" s="6"/>
    </row>
    <row r="88" spans="7:7">
      <c r="G88" s="6"/>
    </row>
    <row r="89" spans="7:7">
      <c r="G89" s="6"/>
    </row>
    <row r="90" spans="7:7">
      <c r="G90" s="6"/>
    </row>
    <row r="91" spans="7:7">
      <c r="G91" s="6"/>
    </row>
    <row r="92" spans="7:7">
      <c r="G92" s="6"/>
    </row>
    <row r="93" spans="7:7">
      <c r="G93" s="6"/>
    </row>
    <row r="94" spans="7:7">
      <c r="G94" s="6"/>
    </row>
    <row r="95" spans="7:7">
      <c r="G95" s="6"/>
    </row>
    <row r="96" spans="7:7">
      <c r="G96" s="6"/>
    </row>
    <row r="97" spans="7:7">
      <c r="G97" s="6"/>
    </row>
    <row r="98" spans="7:7">
      <c r="G98" s="6"/>
    </row>
    <row r="99" spans="7:7">
      <c r="G99" s="6"/>
    </row>
    <row r="100" spans="7:7">
      <c r="G100" s="6"/>
    </row>
    <row r="101" spans="7:7">
      <c r="G101" s="6"/>
    </row>
    <row r="102" spans="7:7">
      <c r="G102" s="6"/>
    </row>
    <row r="103" spans="7:7">
      <c r="G103" s="6"/>
    </row>
    <row r="104" spans="7:7">
      <c r="G104" s="6"/>
    </row>
    <row r="105" spans="7:7">
      <c r="G105" s="6"/>
    </row>
    <row r="106" spans="7:7">
      <c r="G106" s="6"/>
    </row>
    <row r="107" spans="7:7">
      <c r="G107" s="6"/>
    </row>
    <row r="108" spans="7:7">
      <c r="G108" s="6"/>
    </row>
    <row r="109" spans="7:7">
      <c r="G109" s="6"/>
    </row>
    <row r="110" spans="7:7">
      <c r="G110" s="6"/>
    </row>
    <row r="111" spans="7:7">
      <c r="G111" s="6"/>
    </row>
    <row r="112" spans="7:7">
      <c r="G112" s="6"/>
    </row>
    <row r="113" spans="7:7">
      <c r="G113" s="6"/>
    </row>
    <row r="114" spans="7:7">
      <c r="G114" s="6"/>
    </row>
    <row r="115" spans="7:7">
      <c r="G115" s="6"/>
    </row>
    <row r="116" spans="7:7">
      <c r="G116" s="6"/>
    </row>
    <row r="117" spans="7:7">
      <c r="G117" s="6"/>
    </row>
    <row r="118" spans="7:7">
      <c r="G118" s="6"/>
    </row>
    <row r="119" spans="7:7">
      <c r="G119" s="6"/>
    </row>
    <row r="120" spans="7:7">
      <c r="G120" s="6"/>
    </row>
    <row r="121" spans="7:7">
      <c r="G121" s="6"/>
    </row>
    <row r="122" spans="7:7">
      <c r="G122" s="6"/>
    </row>
    <row r="123" spans="7:7">
      <c r="G123" s="6"/>
    </row>
    <row r="124" spans="7:7">
      <c r="G124" s="6"/>
    </row>
    <row r="125" spans="7:7">
      <c r="G125" s="6"/>
    </row>
    <row r="126" spans="7:7">
      <c r="G126" s="6"/>
    </row>
    <row r="127" spans="7:7">
      <c r="G127" s="6"/>
    </row>
    <row r="128" spans="7:7">
      <c r="G128" s="6"/>
    </row>
    <row r="129" spans="7:7">
      <c r="G129" s="6"/>
    </row>
    <row r="130" spans="7:7">
      <c r="G130" s="6"/>
    </row>
    <row r="131" spans="7:7">
      <c r="G131" s="6"/>
    </row>
    <row r="132" spans="7:7">
      <c r="G132" s="6"/>
    </row>
    <row r="133" spans="7:7">
      <c r="G133" s="6"/>
    </row>
    <row r="134" spans="7:7">
      <c r="G134" s="6"/>
    </row>
    <row r="135" spans="7:7">
      <c r="G135" s="6"/>
    </row>
    <row r="136" spans="7:7">
      <c r="G136" s="6"/>
    </row>
    <row r="137" spans="7:7">
      <c r="G137" s="6"/>
    </row>
    <row r="138" spans="7:7">
      <c r="G138" s="6"/>
    </row>
    <row r="139" spans="7:7">
      <c r="G139" s="6"/>
    </row>
    <row r="140" spans="7:7">
      <c r="G140" s="6"/>
    </row>
    <row r="141" spans="7:7">
      <c r="G141" s="6"/>
    </row>
    <row r="142" spans="7:7">
      <c r="G142" s="6"/>
    </row>
    <row r="143" spans="7:7">
      <c r="G143" s="6"/>
    </row>
    <row r="144" spans="7:7">
      <c r="G144" s="6"/>
    </row>
    <row r="145" spans="7:7">
      <c r="G145" s="6"/>
    </row>
    <row r="146" spans="7:7">
      <c r="G146" s="6"/>
    </row>
    <row r="147" spans="7:7">
      <c r="G147" s="6"/>
    </row>
    <row r="148" spans="7:7">
      <c r="G148" s="6"/>
    </row>
    <row r="149" spans="7:7">
      <c r="G149" s="6"/>
    </row>
    <row r="150" spans="7:7">
      <c r="G150" s="6"/>
    </row>
    <row r="151" spans="7:7">
      <c r="G151" s="6"/>
    </row>
    <row r="152" spans="7:7">
      <c r="G152" s="6"/>
    </row>
    <row r="153" spans="7:7">
      <c r="G153" s="6"/>
    </row>
    <row r="154" spans="7:7">
      <c r="G154" s="6"/>
    </row>
    <row r="155" spans="7:7">
      <c r="G155" s="6"/>
    </row>
    <row r="156" spans="7:7">
      <c r="G156" s="6"/>
    </row>
    <row r="157" spans="7:7">
      <c r="G157" s="6"/>
    </row>
    <row r="158" spans="7:7">
      <c r="G158" s="6"/>
    </row>
    <row r="159" spans="7:7">
      <c r="G159" s="6"/>
    </row>
    <row r="160" spans="7:7">
      <c r="G160" s="6"/>
    </row>
    <row r="161" spans="7:7">
      <c r="G161" s="6"/>
    </row>
    <row r="162" spans="7:7">
      <c r="G162" s="6"/>
    </row>
    <row r="163" spans="7:7">
      <c r="G163" s="6"/>
    </row>
    <row r="164" spans="7:7">
      <c r="G164" s="6"/>
    </row>
    <row r="165" spans="7:7">
      <c r="G165" s="6"/>
    </row>
    <row r="166" spans="7:7">
      <c r="G166" s="6"/>
    </row>
    <row r="167" spans="7:7">
      <c r="G167" s="6"/>
    </row>
    <row r="168" spans="7:7">
      <c r="G168" s="6"/>
    </row>
    <row r="169" spans="7:7">
      <c r="G169" s="6"/>
    </row>
    <row r="170" spans="7:7">
      <c r="G170" s="6"/>
    </row>
    <row r="171" spans="7:7">
      <c r="G171" s="6"/>
    </row>
    <row r="172" spans="7:7">
      <c r="G172" s="6"/>
    </row>
    <row r="173" spans="7:7">
      <c r="G173" s="6"/>
    </row>
    <row r="174" spans="7:7">
      <c r="G174" s="6"/>
    </row>
    <row r="175" spans="7:7">
      <c r="G175" s="6"/>
    </row>
    <row r="176" spans="7:7">
      <c r="G176" s="6"/>
    </row>
    <row r="177" spans="7:7">
      <c r="G177" s="6"/>
    </row>
    <row r="178" spans="7:7">
      <c r="G178" s="6"/>
    </row>
    <row r="179" spans="7:7">
      <c r="G179" s="6"/>
    </row>
    <row r="180" spans="7:7">
      <c r="G180" s="6"/>
    </row>
    <row r="181" spans="7:7">
      <c r="G181" s="6"/>
    </row>
    <row r="182" spans="7:7">
      <c r="G182" s="6"/>
    </row>
    <row r="183" spans="7:7">
      <c r="G183" s="6"/>
    </row>
    <row r="184" spans="7:7">
      <c r="G184" s="6"/>
    </row>
    <row r="185" spans="7:7">
      <c r="G185" s="6"/>
    </row>
    <row r="186" spans="7:7">
      <c r="G186" s="6"/>
    </row>
    <row r="187" spans="7:7">
      <c r="G187" s="6"/>
    </row>
    <row r="188" spans="7:7">
      <c r="G188" s="6"/>
    </row>
    <row r="189" spans="7:7">
      <c r="G189" s="6"/>
    </row>
    <row r="190" spans="7:7">
      <c r="G190" s="6"/>
    </row>
    <row r="191" spans="7:7">
      <c r="G191" s="6"/>
    </row>
    <row r="192" spans="7:7">
      <c r="G192" s="6"/>
    </row>
    <row r="193" spans="7:7">
      <c r="G193" s="6"/>
    </row>
    <row r="194" spans="7:7">
      <c r="G194" s="6"/>
    </row>
    <row r="195" spans="7:7">
      <c r="G195" s="6"/>
    </row>
    <row r="196" spans="7:7">
      <c r="G196" s="6"/>
    </row>
    <row r="197" spans="7:7">
      <c r="G197" s="6"/>
    </row>
    <row r="198" spans="7:7">
      <c r="G198" s="6"/>
    </row>
    <row r="199" spans="7:7">
      <c r="G199" s="6"/>
    </row>
    <row r="200" spans="7:7">
      <c r="G200" s="6"/>
    </row>
    <row r="201" spans="7:7">
      <c r="G201" s="6"/>
    </row>
    <row r="202" spans="7:7">
      <c r="G202" s="6"/>
    </row>
    <row r="203" spans="7:7">
      <c r="G203" s="6"/>
    </row>
    <row r="204" spans="7:7">
      <c r="G204" s="6"/>
    </row>
    <row r="205" spans="7:7">
      <c r="G205" s="6"/>
    </row>
    <row r="206" spans="7:7">
      <c r="G206" s="6"/>
    </row>
    <row r="207" spans="7:7">
      <c r="G207" s="6"/>
    </row>
    <row r="208" spans="7:7">
      <c r="G208" s="6"/>
    </row>
    <row r="209" spans="7:7">
      <c r="G209" s="6"/>
    </row>
    <row r="210" spans="7:7">
      <c r="G210" s="6"/>
    </row>
    <row r="211" spans="7:7">
      <c r="G211" s="6"/>
    </row>
    <row r="212" spans="7:7">
      <c r="G212" s="6"/>
    </row>
    <row r="213" spans="7:7">
      <c r="G213" s="6"/>
    </row>
    <row r="214" spans="7:7">
      <c r="G214" s="6"/>
    </row>
    <row r="215" spans="7:7">
      <c r="G215" s="6"/>
    </row>
    <row r="216" spans="7:7">
      <c r="G216" s="6"/>
    </row>
    <row r="217" spans="7:7">
      <c r="G217" s="6"/>
    </row>
    <row r="218" spans="7:7">
      <c r="G218" s="6"/>
    </row>
    <row r="219" spans="7:7">
      <c r="G219" s="6"/>
    </row>
    <row r="220" spans="7:7">
      <c r="G220" s="6"/>
    </row>
    <row r="221" spans="7:7">
      <c r="G221" s="6"/>
    </row>
    <row r="222" spans="7:7">
      <c r="G222" s="6"/>
    </row>
    <row r="223" spans="7:7">
      <c r="G223" s="6"/>
    </row>
    <row r="224" spans="7:7">
      <c r="G224" s="6"/>
    </row>
    <row r="225" spans="7:7">
      <c r="G225" s="6"/>
    </row>
    <row r="226" spans="7:7">
      <c r="G226" s="6"/>
    </row>
    <row r="227" spans="7:7">
      <c r="G227" s="6"/>
    </row>
    <row r="228" spans="7:7">
      <c r="G228" s="6"/>
    </row>
    <row r="229" spans="7:7">
      <c r="G229" s="6"/>
    </row>
    <row r="230" spans="7:7">
      <c r="G230" s="6"/>
    </row>
    <row r="231" spans="7:7">
      <c r="G231" s="6"/>
    </row>
    <row r="232" spans="7:7">
      <c r="G232" s="6"/>
    </row>
    <row r="233" spans="7:7">
      <c r="G233" s="6"/>
    </row>
    <row r="234" spans="7:7">
      <c r="G234" s="6"/>
    </row>
    <row r="235" spans="7:7">
      <c r="G235" s="6"/>
    </row>
    <row r="236" spans="7:7">
      <c r="G236" s="6"/>
    </row>
    <row r="237" spans="7:7">
      <c r="G237" s="6"/>
    </row>
    <row r="238" spans="7:7">
      <c r="G238" s="6"/>
    </row>
    <row r="239" spans="7:7">
      <c r="G239" s="6"/>
    </row>
    <row r="240" spans="7:7">
      <c r="G240" s="6"/>
    </row>
    <row r="241" spans="7:7">
      <c r="G241" s="6"/>
    </row>
    <row r="242" spans="7:7">
      <c r="G242" s="6"/>
    </row>
    <row r="243" spans="7:7">
      <c r="G243" s="6"/>
    </row>
    <row r="244" spans="7:7">
      <c r="G244" s="6"/>
    </row>
    <row r="245" spans="7:7">
      <c r="G245" s="6"/>
    </row>
    <row r="246" spans="7:7">
      <c r="G246" s="6"/>
    </row>
    <row r="247" spans="7:7">
      <c r="G247" s="6"/>
    </row>
    <row r="248" spans="7:7">
      <c r="G248" s="6"/>
    </row>
    <row r="249" spans="7:7">
      <c r="G249" s="6"/>
    </row>
    <row r="250" spans="7:7">
      <c r="G250" s="6"/>
    </row>
    <row r="251" spans="7:7">
      <c r="G251" s="6"/>
    </row>
    <row r="252" spans="7:7">
      <c r="G252" s="6"/>
    </row>
    <row r="253" spans="7:7">
      <c r="G253" s="6"/>
    </row>
    <row r="254" spans="7:7">
      <c r="G254" s="6"/>
    </row>
    <row r="255" spans="7:7">
      <c r="G255" s="6"/>
    </row>
    <row r="256" spans="7:7">
      <c r="G256" s="6"/>
    </row>
    <row r="257" spans="7:7">
      <c r="G257" s="6"/>
    </row>
    <row r="258" spans="7:7">
      <c r="G258" s="6"/>
    </row>
    <row r="259" spans="7:7">
      <c r="G259" s="6"/>
    </row>
    <row r="260" spans="7:7">
      <c r="G260" s="6"/>
    </row>
    <row r="261" spans="7:7">
      <c r="G261" s="6"/>
    </row>
    <row r="262" spans="7:7">
      <c r="G262" s="6"/>
    </row>
    <row r="263" spans="7:7">
      <c r="G263" s="6"/>
    </row>
    <row r="264" spans="7:7">
      <c r="G264" s="6"/>
    </row>
    <row r="265" spans="7:7">
      <c r="G265" s="6"/>
    </row>
    <row r="266" spans="7:7">
      <c r="G266" s="6"/>
    </row>
    <row r="267" spans="7:7">
      <c r="G267" s="6"/>
    </row>
    <row r="268" spans="7:7">
      <c r="G268" s="6"/>
    </row>
    <row r="269" spans="7:7">
      <c r="G269" s="6"/>
    </row>
    <row r="270" spans="7:7">
      <c r="G270" s="6"/>
    </row>
    <row r="271" spans="7:7">
      <c r="G271" s="6"/>
    </row>
    <row r="272" spans="7:7">
      <c r="G272" s="6"/>
    </row>
    <row r="273" spans="7:7">
      <c r="G273" s="6"/>
    </row>
    <row r="274" spans="7:7">
      <c r="G274" s="6"/>
    </row>
    <row r="275" spans="7:7">
      <c r="G275" s="6"/>
    </row>
    <row r="276" spans="7:7">
      <c r="G276" s="6"/>
    </row>
    <row r="277" spans="7:7">
      <c r="G277" s="6"/>
    </row>
    <row r="278" spans="7:7">
      <c r="G278" s="6"/>
    </row>
    <row r="279" spans="7:7">
      <c r="G279" s="6"/>
    </row>
    <row r="280" spans="7:7">
      <c r="G280" s="6"/>
    </row>
    <row r="281" spans="7:7">
      <c r="G281" s="6"/>
    </row>
    <row r="282" spans="7:7">
      <c r="G282" s="6"/>
    </row>
    <row r="283" spans="7:7">
      <c r="G283" s="6"/>
    </row>
    <row r="284" spans="7:7">
      <c r="G284" s="6"/>
    </row>
    <row r="285" spans="7:7">
      <c r="G285" s="6"/>
    </row>
    <row r="286" spans="7:7">
      <c r="G286" s="6"/>
    </row>
    <row r="287" spans="7:7">
      <c r="G287" s="6"/>
    </row>
    <row r="288" spans="7:7">
      <c r="G288" s="6"/>
    </row>
    <row r="289" spans="7:7">
      <c r="G289" s="6"/>
    </row>
    <row r="290" spans="7:7">
      <c r="G290" s="6"/>
    </row>
    <row r="291" spans="7:7">
      <c r="G291" s="6"/>
    </row>
    <row r="292" spans="7:7">
      <c r="G292" s="6"/>
    </row>
    <row r="293" spans="7:7">
      <c r="G293" s="6"/>
    </row>
    <row r="294" spans="7:7">
      <c r="G294" s="6"/>
    </row>
    <row r="295" spans="7:7">
      <c r="G295" s="6"/>
    </row>
    <row r="296" spans="7:7">
      <c r="G296" s="6"/>
    </row>
    <row r="297" spans="7:7">
      <c r="G297" s="6"/>
    </row>
    <row r="298" spans="7:7">
      <c r="G298" s="6"/>
    </row>
    <row r="299" spans="7:7">
      <c r="G299" s="6"/>
    </row>
    <row r="300" spans="7:7">
      <c r="G300" s="6"/>
    </row>
    <row r="301" spans="7:7">
      <c r="G301" s="6"/>
    </row>
    <row r="302" spans="7:7">
      <c r="G302" s="6"/>
    </row>
    <row r="303" spans="7:7">
      <c r="G303" s="6"/>
    </row>
    <row r="304" spans="7:7">
      <c r="G304" s="6"/>
    </row>
    <row r="305" spans="7:7">
      <c r="G305" s="6"/>
    </row>
    <row r="306" spans="7:7">
      <c r="G306" s="6"/>
    </row>
    <row r="307" spans="7:7">
      <c r="G307" s="6"/>
    </row>
    <row r="308" spans="7:7">
      <c r="G308" s="6"/>
    </row>
    <row r="309" spans="7:7">
      <c r="G309" s="6"/>
    </row>
    <row r="310" spans="7:7">
      <c r="G310" s="6"/>
    </row>
    <row r="311" spans="7:7">
      <c r="G311" s="6"/>
    </row>
    <row r="312" spans="7:7">
      <c r="G312" s="6"/>
    </row>
    <row r="313" spans="7:7">
      <c r="G313" s="6"/>
    </row>
    <row r="314" spans="7:7">
      <c r="G314" s="6"/>
    </row>
    <row r="315" spans="7:7">
      <c r="G315" s="6"/>
    </row>
    <row r="316" spans="7:7">
      <c r="G316" s="6"/>
    </row>
    <row r="317" spans="7:7">
      <c r="G317" s="6"/>
    </row>
    <row r="318" spans="7:7">
      <c r="G318" s="6"/>
    </row>
    <row r="319" spans="7:7">
      <c r="G319" s="6"/>
    </row>
    <row r="320" spans="7:7">
      <c r="G320" s="6"/>
    </row>
    <row r="321" spans="7:7">
      <c r="G321" s="6"/>
    </row>
    <row r="322" spans="7:7">
      <c r="G322" s="6"/>
    </row>
    <row r="323" spans="7:7">
      <c r="G323" s="6"/>
    </row>
    <row r="324" spans="7:7">
      <c r="G324" s="6"/>
    </row>
    <row r="325" spans="7:7">
      <c r="G325" s="6"/>
    </row>
    <row r="326" spans="7:7">
      <c r="G326" s="6"/>
    </row>
    <row r="327" spans="7:7">
      <c r="G327" s="6"/>
    </row>
    <row r="328" spans="7:7">
      <c r="G328" s="6"/>
    </row>
    <row r="329" spans="7:7">
      <c r="G329" s="6"/>
    </row>
    <row r="330" spans="7:7">
      <c r="G330" s="6"/>
    </row>
    <row r="331" spans="7:7">
      <c r="G331" s="6"/>
    </row>
    <row r="332" spans="7:7">
      <c r="G332" s="6"/>
    </row>
    <row r="333" spans="7:7">
      <c r="G333" s="6"/>
    </row>
    <row r="334" spans="7:7">
      <c r="G334" s="6"/>
    </row>
    <row r="335" spans="7:7">
      <c r="G335" s="6"/>
    </row>
    <row r="336" spans="7:7">
      <c r="G336" s="6"/>
    </row>
    <row r="337" spans="7:7">
      <c r="G337" s="6"/>
    </row>
    <row r="338" spans="7:7">
      <c r="G338" s="6"/>
    </row>
    <row r="339" spans="7:7">
      <c r="G339" s="6"/>
    </row>
    <row r="340" spans="7:7">
      <c r="G340" s="6"/>
    </row>
    <row r="341" spans="7:7">
      <c r="G341" s="6"/>
    </row>
    <row r="342" spans="7:7">
      <c r="G342" s="6"/>
    </row>
    <row r="343" spans="7:7">
      <c r="G343" s="6"/>
    </row>
    <row r="344" spans="7:7">
      <c r="G344" s="6"/>
    </row>
    <row r="345" spans="7:7">
      <c r="G345" s="6"/>
    </row>
    <row r="346" spans="7:7">
      <c r="G346" s="6"/>
    </row>
    <row r="347" spans="7:7">
      <c r="G347" s="6"/>
    </row>
    <row r="348" spans="7:7">
      <c r="G348" s="6"/>
    </row>
    <row r="349" spans="7:7">
      <c r="G349" s="6"/>
    </row>
    <row r="350" spans="7:7">
      <c r="G350" s="6"/>
    </row>
    <row r="351" spans="7:7">
      <c r="G351" s="6"/>
    </row>
    <row r="352" spans="7:7">
      <c r="G352" s="6"/>
    </row>
    <row r="353" spans="7:7">
      <c r="G353" s="6"/>
    </row>
    <row r="354" spans="7:7">
      <c r="G354" s="6"/>
    </row>
    <row r="355" spans="7:7">
      <c r="G355" s="6"/>
    </row>
    <row r="356" spans="7:7">
      <c r="G356" s="6"/>
    </row>
    <row r="357" spans="7:7">
      <c r="G357" s="6"/>
    </row>
    <row r="358" spans="7:7">
      <c r="G358" s="6"/>
    </row>
    <row r="359" spans="7:7">
      <c r="G359" s="6"/>
    </row>
    <row r="360" spans="7:7">
      <c r="G360" s="6"/>
    </row>
    <row r="361" spans="7:7">
      <c r="G361" s="6"/>
    </row>
    <row r="362" spans="7:7">
      <c r="G362" s="6"/>
    </row>
    <row r="363" spans="7:7">
      <c r="G363" s="6"/>
    </row>
    <row r="364" spans="7:7">
      <c r="G364" s="6"/>
    </row>
    <row r="365" spans="7:7">
      <c r="G365" s="6"/>
    </row>
    <row r="366" spans="7:7">
      <c r="G366" s="6"/>
    </row>
    <row r="367" spans="7:7">
      <c r="G367" s="6"/>
    </row>
    <row r="368" spans="7:7">
      <c r="G368" s="6"/>
    </row>
    <row r="369" spans="7:7">
      <c r="G369" s="6"/>
    </row>
    <row r="370" spans="7:7">
      <c r="G370" s="6"/>
    </row>
    <row r="371" spans="7:7">
      <c r="G371" s="6"/>
    </row>
    <row r="372" spans="7:7">
      <c r="G372" s="6"/>
    </row>
    <row r="373" spans="7:7">
      <c r="G373" s="6"/>
    </row>
    <row r="374" spans="7:7">
      <c r="G374" s="6"/>
    </row>
    <row r="375" spans="7:7">
      <c r="G375" s="6"/>
    </row>
    <row r="376" spans="7:7">
      <c r="G376" s="6"/>
    </row>
    <row r="377" spans="7:7">
      <c r="G377" s="6"/>
    </row>
    <row r="378" spans="7:7">
      <c r="G378" s="6"/>
    </row>
    <row r="379" spans="7:7">
      <c r="G379" s="6"/>
    </row>
    <row r="380" spans="7:7">
      <c r="G380" s="6"/>
    </row>
    <row r="381" spans="7:7">
      <c r="G381" s="6"/>
    </row>
    <row r="382" spans="7:7">
      <c r="G382" s="6"/>
    </row>
    <row r="383" spans="7:7">
      <c r="G383" s="6"/>
    </row>
    <row r="384" spans="7:7">
      <c r="G384" s="6"/>
    </row>
    <row r="385" spans="7:7">
      <c r="G385" s="6"/>
    </row>
    <row r="386" spans="7:7">
      <c r="G386" s="6"/>
    </row>
    <row r="387" spans="7:7">
      <c r="G387" s="6"/>
    </row>
    <row r="388" spans="7:7">
      <c r="G388" s="6"/>
    </row>
    <row r="389" spans="7:7">
      <c r="G389" s="6"/>
    </row>
    <row r="390" spans="7:7">
      <c r="G390" s="6"/>
    </row>
    <row r="391" spans="7:7">
      <c r="G391" s="6"/>
    </row>
    <row r="392" spans="7:7">
      <c r="G392" s="6"/>
    </row>
    <row r="393" spans="7:7">
      <c r="G393" s="6"/>
    </row>
    <row r="394" spans="7:7">
      <c r="G394" s="6"/>
    </row>
    <row r="395" spans="7:7">
      <c r="G395" s="6"/>
    </row>
    <row r="396" spans="7:7">
      <c r="G396" s="6"/>
    </row>
    <row r="397" spans="7:7">
      <c r="G397" s="6"/>
    </row>
    <row r="398" spans="7:7">
      <c r="G398" s="6"/>
    </row>
    <row r="399" spans="7:7">
      <c r="G399" s="6"/>
    </row>
    <row r="400" spans="7:7">
      <c r="G400" s="6"/>
    </row>
    <row r="401" spans="7:7">
      <c r="G401" s="6"/>
    </row>
    <row r="402" spans="7:7">
      <c r="G402" s="6"/>
    </row>
    <row r="403" spans="7:7">
      <c r="G403" s="6"/>
    </row>
    <row r="404" spans="7:7">
      <c r="G404" s="6"/>
    </row>
    <row r="405" spans="7:7">
      <c r="G405" s="6"/>
    </row>
    <row r="406" spans="7:7">
      <c r="G406" s="6"/>
    </row>
    <row r="407" spans="7:7">
      <c r="G407" s="6"/>
    </row>
    <row r="408" spans="7:7">
      <c r="G408" s="6"/>
    </row>
    <row r="409" spans="7:7">
      <c r="G409" s="6"/>
    </row>
    <row r="410" spans="7:7">
      <c r="G410" s="6"/>
    </row>
    <row r="411" spans="7:7">
      <c r="G411" s="6"/>
    </row>
    <row r="412" spans="7:7">
      <c r="G412" s="6"/>
    </row>
    <row r="413" spans="7:7">
      <c r="G413" s="6"/>
    </row>
    <row r="414" spans="7:7">
      <c r="G414" s="6"/>
    </row>
    <row r="415" spans="7:7">
      <c r="G415" s="6"/>
    </row>
    <row r="416" spans="7:7">
      <c r="G416" s="6"/>
    </row>
    <row r="417" spans="7:7">
      <c r="G417" s="6"/>
    </row>
    <row r="418" spans="7:7">
      <c r="G418" s="6"/>
    </row>
    <row r="419" spans="7:7">
      <c r="G419" s="6"/>
    </row>
    <row r="420" spans="7:7">
      <c r="G420" s="6"/>
    </row>
    <row r="421" spans="7:7">
      <c r="G421" s="6"/>
    </row>
    <row r="422" spans="7:7">
      <c r="G422" s="6"/>
    </row>
    <row r="423" spans="7:7">
      <c r="G423" s="6"/>
    </row>
    <row r="424" spans="7:7">
      <c r="G424" s="6"/>
    </row>
    <row r="425" spans="7:7">
      <c r="G425" s="6"/>
    </row>
    <row r="426" spans="7:7">
      <c r="G426" s="6"/>
    </row>
    <row r="427" spans="7:7">
      <c r="G427" s="6"/>
    </row>
    <row r="428" spans="7:7">
      <c r="G428" s="6"/>
    </row>
    <row r="429" spans="7:7">
      <c r="G429" s="6"/>
    </row>
    <row r="430" spans="7:7">
      <c r="G430" s="6"/>
    </row>
    <row r="431" spans="7:7">
      <c r="G431" s="6"/>
    </row>
    <row r="432" spans="7:7">
      <c r="G432" s="6"/>
    </row>
    <row r="433" spans="7:7">
      <c r="G433" s="6"/>
    </row>
    <row r="434" spans="7:7">
      <c r="G434" s="6"/>
    </row>
    <row r="435" spans="7:7">
      <c r="G435" s="6"/>
    </row>
    <row r="436" spans="7:7">
      <c r="G436" s="6"/>
    </row>
    <row r="437" spans="7:7">
      <c r="G437" s="6"/>
    </row>
    <row r="438" spans="7:7">
      <c r="G438" s="6"/>
    </row>
    <row r="439" spans="7:7">
      <c r="G439" s="6"/>
    </row>
    <row r="440" spans="7:7">
      <c r="G440" s="6"/>
    </row>
    <row r="441" spans="7:7">
      <c r="G441" s="6"/>
    </row>
    <row r="442" spans="7:7">
      <c r="G442" s="6"/>
    </row>
    <row r="443" spans="7:7">
      <c r="G443" s="6"/>
    </row>
    <row r="444" spans="7:7">
      <c r="G444" s="6"/>
    </row>
    <row r="445" spans="7:7">
      <c r="G445" s="6"/>
    </row>
    <row r="446" spans="7:7">
      <c r="G446" s="6"/>
    </row>
    <row r="447" spans="7:7">
      <c r="G447" s="6"/>
    </row>
    <row r="448" spans="7:7">
      <c r="G448" s="6"/>
    </row>
    <row r="449" spans="7:7">
      <c r="G449" s="6"/>
    </row>
    <row r="450" spans="7:7">
      <c r="G450" s="6"/>
    </row>
    <row r="451" spans="7:7">
      <c r="G451" s="6"/>
    </row>
    <row r="452" spans="7:7">
      <c r="G452" s="6"/>
    </row>
    <row r="453" spans="7:7">
      <c r="G453" s="6"/>
    </row>
    <row r="454" spans="7:7">
      <c r="G454" s="6"/>
    </row>
    <row r="455" spans="7:7">
      <c r="G455" s="6"/>
    </row>
    <row r="456" spans="7:7">
      <c r="G456" s="6"/>
    </row>
    <row r="457" spans="7:7">
      <c r="G457" s="6"/>
    </row>
    <row r="458" spans="7:7">
      <c r="G458" s="6"/>
    </row>
    <row r="459" spans="7:7">
      <c r="G459" s="6"/>
    </row>
    <row r="460" spans="7:7">
      <c r="G460" s="6"/>
    </row>
    <row r="461" spans="7:7">
      <c r="G461" s="6"/>
    </row>
    <row r="462" spans="7:7">
      <c r="G462" s="6"/>
    </row>
    <row r="463" spans="7:7">
      <c r="G463" s="6"/>
    </row>
    <row r="464" spans="7:7">
      <c r="G464" s="6"/>
    </row>
    <row r="465" spans="7:7">
      <c r="G465" s="6"/>
    </row>
    <row r="466" spans="7:7">
      <c r="G466" s="6"/>
    </row>
    <row r="467" spans="7:7">
      <c r="G467" s="6"/>
    </row>
    <row r="468" spans="7:7">
      <c r="G468" s="6"/>
    </row>
    <row r="469" spans="7:7">
      <c r="G469" s="6"/>
    </row>
    <row r="470" spans="7:7">
      <c r="G470" s="6"/>
    </row>
    <row r="471" spans="7:7">
      <c r="G471" s="6"/>
    </row>
    <row r="472" spans="7:7">
      <c r="G472" s="6"/>
    </row>
    <row r="473" spans="7:7">
      <c r="G473" s="6"/>
    </row>
    <row r="474" spans="7:7">
      <c r="G474" s="6"/>
    </row>
    <row r="475" spans="7:7">
      <c r="G475" s="6"/>
    </row>
    <row r="476" spans="7:7">
      <c r="G476" s="6"/>
    </row>
    <row r="477" spans="7:7">
      <c r="G477" s="6"/>
    </row>
    <row r="478" spans="7:7">
      <c r="G478" s="6"/>
    </row>
    <row r="479" spans="7:7">
      <c r="G479" s="6"/>
    </row>
    <row r="480" spans="7:7">
      <c r="G480" s="6"/>
    </row>
    <row r="481" spans="7:7">
      <c r="G481" s="6"/>
    </row>
    <row r="482" spans="7:7">
      <c r="G482" s="6"/>
    </row>
    <row r="483" spans="7:7">
      <c r="G483" s="6"/>
    </row>
    <row r="484" spans="7:7">
      <c r="G484" s="6"/>
    </row>
    <row r="485" spans="7:7">
      <c r="G485" s="6"/>
    </row>
    <row r="486" spans="7:7">
      <c r="G486" s="6"/>
    </row>
    <row r="487" spans="7:7">
      <c r="G487" s="6"/>
    </row>
    <row r="488" spans="7:7">
      <c r="G488" s="6"/>
    </row>
    <row r="489" spans="7:7">
      <c r="G489" s="6"/>
    </row>
    <row r="490" spans="7:7">
      <c r="G490" s="6"/>
    </row>
    <row r="491" spans="7:7">
      <c r="G491" s="6"/>
    </row>
    <row r="492" spans="7:7">
      <c r="G492" s="6"/>
    </row>
    <row r="493" spans="7:7">
      <c r="G493" s="6"/>
    </row>
    <row r="494" spans="7:7">
      <c r="G494" s="6"/>
    </row>
    <row r="495" spans="7:7">
      <c r="G495" s="6"/>
    </row>
    <row r="496" spans="7:7">
      <c r="G496" s="6"/>
    </row>
    <row r="497" spans="7:7">
      <c r="G497" s="6"/>
    </row>
    <row r="498" spans="7:7">
      <c r="G498" s="6"/>
    </row>
    <row r="499" spans="7:7">
      <c r="G499" s="6"/>
    </row>
    <row r="500" spans="7:7">
      <c r="G500" s="6"/>
    </row>
    <row r="501" spans="7:7">
      <c r="G501" s="6"/>
    </row>
    <row r="502" spans="7:7">
      <c r="G502" s="6"/>
    </row>
    <row r="503" spans="7:7">
      <c r="G503" s="6"/>
    </row>
    <row r="504" spans="7:7">
      <c r="G504" s="6"/>
    </row>
    <row r="505" spans="7:7">
      <c r="G505" s="6"/>
    </row>
    <row r="506" spans="7:7">
      <c r="G506" s="6"/>
    </row>
    <row r="507" spans="7:7">
      <c r="G507" s="6"/>
    </row>
    <row r="508" spans="7:7">
      <c r="G508" s="6"/>
    </row>
    <row r="509" spans="7:7">
      <c r="G509" s="6"/>
    </row>
    <row r="510" spans="7:7">
      <c r="G510" s="6"/>
    </row>
    <row r="511" spans="7:7">
      <c r="G511" s="6"/>
    </row>
    <row r="512" spans="7:7">
      <c r="G512" s="6"/>
    </row>
    <row r="513" spans="7:7">
      <c r="G513" s="6"/>
    </row>
    <row r="514" spans="7:7">
      <c r="G514" s="6"/>
    </row>
    <row r="515" spans="7:7">
      <c r="G515" s="6"/>
    </row>
    <row r="516" spans="7:7">
      <c r="G516" s="6"/>
    </row>
    <row r="517" spans="7:7">
      <c r="G517" s="6"/>
    </row>
    <row r="518" spans="7:7">
      <c r="G518" s="6"/>
    </row>
    <row r="519" spans="7:7">
      <c r="G519" s="6"/>
    </row>
    <row r="520" spans="7:7">
      <c r="G520" s="6"/>
    </row>
    <row r="521" spans="7:7">
      <c r="G521" s="6"/>
    </row>
    <row r="522" spans="7:7">
      <c r="G522" s="6"/>
    </row>
    <row r="523" spans="7:7">
      <c r="G523" s="6"/>
    </row>
    <row r="524" spans="7:7">
      <c r="G524" s="6"/>
    </row>
    <row r="525" spans="7:7">
      <c r="G525" s="6"/>
    </row>
    <row r="526" spans="7:7">
      <c r="G526" s="6"/>
    </row>
    <row r="527" spans="7:7">
      <c r="G527" s="6"/>
    </row>
    <row r="528" spans="7:7">
      <c r="G528" s="6"/>
    </row>
    <row r="529" spans="7:7">
      <c r="G529" s="6"/>
    </row>
    <row r="530" spans="7:7">
      <c r="G530" s="6"/>
    </row>
    <row r="531" spans="7:7">
      <c r="G531" s="6"/>
    </row>
    <row r="532" spans="7:7">
      <c r="G532" s="6"/>
    </row>
    <row r="533" spans="7:7">
      <c r="G533" s="6"/>
    </row>
    <row r="534" spans="7:7">
      <c r="G534" s="6"/>
    </row>
    <row r="535" spans="7:7">
      <c r="G535" s="6"/>
    </row>
    <row r="536" spans="7:7">
      <c r="G536" s="6"/>
    </row>
    <row r="537" spans="7:7">
      <c r="G537" s="6"/>
    </row>
    <row r="538" spans="7:7">
      <c r="G538" s="6"/>
    </row>
    <row r="539" spans="7:7">
      <c r="G539" s="6"/>
    </row>
    <row r="540" spans="7:7">
      <c r="G540" s="6"/>
    </row>
    <row r="541" spans="7:7">
      <c r="G541" s="6"/>
    </row>
    <row r="542" spans="7:7">
      <c r="G542" s="6"/>
    </row>
    <row r="543" spans="7:7">
      <c r="G543" s="6"/>
    </row>
    <row r="544" spans="7:7">
      <c r="G544" s="6"/>
    </row>
    <row r="545" spans="7:7">
      <c r="G545" s="6"/>
    </row>
    <row r="546" spans="7:7">
      <c r="G546" s="6"/>
    </row>
    <row r="547" spans="7:7">
      <c r="G547" s="6"/>
    </row>
    <row r="548" spans="7:7">
      <c r="G548" s="6"/>
    </row>
    <row r="549" spans="7:7">
      <c r="G549" s="6"/>
    </row>
    <row r="550" spans="7:7">
      <c r="G550" s="6"/>
    </row>
    <row r="551" spans="7:7">
      <c r="G551" s="6"/>
    </row>
    <row r="552" spans="7:7">
      <c r="G552" s="6"/>
    </row>
    <row r="553" spans="7:7">
      <c r="G553" s="6"/>
    </row>
    <row r="554" spans="7:7">
      <c r="G554" s="6"/>
    </row>
    <row r="555" spans="7:7">
      <c r="G555" s="6"/>
    </row>
    <row r="556" spans="7:7">
      <c r="G556" s="6"/>
    </row>
    <row r="557" spans="7:7">
      <c r="G557" s="6"/>
    </row>
    <row r="558" spans="7:7">
      <c r="G558" s="6"/>
    </row>
    <row r="559" spans="7:7">
      <c r="G559" s="6"/>
    </row>
    <row r="560" spans="7:7">
      <c r="G560" s="6"/>
    </row>
    <row r="561" spans="7:7">
      <c r="G561" s="6"/>
    </row>
    <row r="562" spans="7:7">
      <c r="G562" s="6"/>
    </row>
    <row r="563" spans="7:7">
      <c r="G563" s="6"/>
    </row>
    <row r="564" spans="7:7">
      <c r="G564" s="6"/>
    </row>
    <row r="565" spans="7:7">
      <c r="G565" s="6"/>
    </row>
    <row r="566" spans="7:7">
      <c r="G566" s="6"/>
    </row>
    <row r="567" spans="7:7">
      <c r="G567" s="6"/>
    </row>
    <row r="568" spans="7:7">
      <c r="G568" s="6"/>
    </row>
    <row r="569" spans="7:7">
      <c r="G569" s="6"/>
    </row>
    <row r="570" spans="7:7">
      <c r="G570" s="6"/>
    </row>
    <row r="571" spans="7:7">
      <c r="G571" s="6"/>
    </row>
    <row r="572" spans="7:7">
      <c r="G572" s="6"/>
    </row>
    <row r="573" spans="7:7">
      <c r="G573" s="6"/>
    </row>
    <row r="574" spans="7:7">
      <c r="G574" s="6"/>
    </row>
    <row r="575" spans="7:7">
      <c r="G575" s="6"/>
    </row>
    <row r="576" spans="7:7">
      <c r="G576" s="6"/>
    </row>
    <row r="577" spans="7:7">
      <c r="G577" s="6"/>
    </row>
    <row r="578" spans="7:7">
      <c r="G578" s="6"/>
    </row>
    <row r="579" spans="7:7">
      <c r="G579" s="6"/>
    </row>
    <row r="580" spans="7:7">
      <c r="G580" s="6"/>
    </row>
    <row r="581" spans="7:7">
      <c r="G581" s="6"/>
    </row>
    <row r="582" spans="7:7">
      <c r="G582" s="6"/>
    </row>
    <row r="583" spans="7:7">
      <c r="G583" s="6"/>
    </row>
    <row r="584" spans="7:7">
      <c r="G584" s="6"/>
    </row>
    <row r="585" spans="7:7">
      <c r="G585" s="6"/>
    </row>
    <row r="586" spans="7:7">
      <c r="G586" s="6"/>
    </row>
    <row r="587" spans="7:7">
      <c r="G587" s="6"/>
    </row>
    <row r="588" spans="7:7">
      <c r="G588" s="6"/>
    </row>
    <row r="589" spans="7:7">
      <c r="G589" s="6"/>
    </row>
    <row r="590" spans="7:7">
      <c r="G590" s="6"/>
    </row>
    <row r="591" spans="7:7">
      <c r="G591" s="6"/>
    </row>
    <row r="592" spans="7:7">
      <c r="G592" s="6"/>
    </row>
    <row r="593" spans="7:7">
      <c r="G593" s="6"/>
    </row>
    <row r="594" spans="7:7">
      <c r="G594" s="6"/>
    </row>
    <row r="595" spans="7:7">
      <c r="G595" s="6"/>
    </row>
    <row r="596" spans="7:7">
      <c r="G596" s="6"/>
    </row>
    <row r="597" spans="7:7">
      <c r="G597" s="6"/>
    </row>
    <row r="598" spans="7:7">
      <c r="G598" s="6"/>
    </row>
    <row r="599" spans="7:7">
      <c r="G599" s="6"/>
    </row>
  </sheetData>
  <mergeCells count="4">
    <mergeCell ref="A1:A3"/>
    <mergeCell ref="A35:B35"/>
    <mergeCell ref="A40:B40"/>
    <mergeCell ref="AV2:AX2"/>
  </mergeCells>
  <conditionalFormatting sqref="AV3:AX3">
    <cfRule type="cellIs" dxfId="107" priority="13" operator="equal">
      <formula>#REF!</formula>
    </cfRule>
    <cfRule type="cellIs" dxfId="106" priority="14" operator="equal">
      <formula>#REF!</formula>
    </cfRule>
  </conditionalFormatting>
  <conditionalFormatting sqref="AV3:AX3">
    <cfRule type="cellIs" dxfId="105" priority="15" operator="equal">
      <formula>#REF!</formula>
    </cfRule>
    <cfRule type="cellIs" dxfId="104" priority="16" operator="equal">
      <formula>#REF!</formula>
    </cfRule>
  </conditionalFormatting>
  <conditionalFormatting sqref="Y4:AU4">
    <cfRule type="cellIs" dxfId="103" priority="9" operator="equal">
      <formula>#REF!</formula>
    </cfRule>
    <cfRule type="cellIs" dxfId="102" priority="10" operator="equal">
      <formula>#REF!</formula>
    </cfRule>
  </conditionalFormatting>
  <conditionalFormatting sqref="Y4:AU4">
    <cfRule type="cellIs" dxfId="101" priority="11" operator="equal">
      <formula>#REF!</formula>
    </cfRule>
    <cfRule type="cellIs" dxfId="100" priority="12" operator="equal">
      <formula>#REF!</formula>
    </cfRule>
  </conditionalFormatting>
  <conditionalFormatting sqref="Y4:AC4">
    <cfRule type="cellIs" dxfId="99" priority="5" operator="equal">
      <formula>#REF!</formula>
    </cfRule>
    <cfRule type="cellIs" dxfId="98" priority="6" operator="equal">
      <formula>#REF!</formula>
    </cfRule>
  </conditionalFormatting>
  <conditionalFormatting sqref="Y4:AC4">
    <cfRule type="cellIs" dxfId="97" priority="7" operator="equal">
      <formula>#REF!</formula>
    </cfRule>
    <cfRule type="cellIs" dxfId="96" priority="8" operator="equal">
      <formula>#REF!</formula>
    </cfRule>
  </conditionalFormatting>
  <conditionalFormatting sqref="D3:AU3">
    <cfRule type="cellIs" dxfId="95" priority="1" operator="equal">
      <formula>#REF!</formula>
    </cfRule>
    <cfRule type="cellIs" dxfId="94" priority="2" operator="equal">
      <formula>#REF!</formula>
    </cfRule>
  </conditionalFormatting>
  <conditionalFormatting sqref="D3:AU3">
    <cfRule type="cellIs" dxfId="93" priority="3" operator="equal">
      <formula>#REF!</formula>
    </cfRule>
    <cfRule type="cellIs" dxfId="92" priority="4" operator="equal">
      <formula>#REF!</formula>
    </cfRule>
  </conditionalFormatting>
  <pageMargins left="0.7" right="0.7" top="0.75" bottom="0.75" header="0.3" footer="0.3"/>
  <pageSetup orientation="portrait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7832773-9414-42b9-95c3-36a558d8f74c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  <TaxCatchAll xmlns="9f6012f1-210b-47d8-98a5-79507b18255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D0D48330F6CE4FB6B3AE62FA39CE46" ma:contentTypeVersion="18" ma:contentTypeDescription="Create a new document." ma:contentTypeScope="" ma:versionID="6029c9b328e49caaf1bfc5e9c1c5d402">
  <xsd:schema xmlns:xsd="http://www.w3.org/2001/XMLSchema" xmlns:xs="http://www.w3.org/2001/XMLSchema" xmlns:p="http://schemas.microsoft.com/office/2006/metadata/properties" xmlns:ns1="http://schemas.microsoft.com/sharepoint/v3" xmlns:ns2="07832773-9414-42b9-95c3-36a558d8f74c" xmlns:ns3="9f6012f1-210b-47d8-98a5-79507b18255d" targetNamespace="http://schemas.microsoft.com/office/2006/metadata/properties" ma:root="true" ma:fieldsID="acdeb425d2a7055c715a7d4969065827" ns1:_="" ns2:_="" ns3:_="">
    <xsd:import namespace="http://schemas.microsoft.com/sharepoint/v3"/>
    <xsd:import namespace="07832773-9414-42b9-95c3-36a558d8f74c"/>
    <xsd:import namespace="9f6012f1-210b-47d8-98a5-79507b18255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832773-9414-42b9-95c3-36a558d8f7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144f5b13-403a-4dd3-b9ce-b7b6c8a660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6012f1-210b-47d8-98a5-79507b18255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2396aa7e-ad57-49d2-b18b-708832d3d098}" ma:internalName="TaxCatchAll" ma:showField="CatchAllData" ma:web="9f6012f1-210b-47d8-98a5-79507b18255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9663C87-CDAA-4A2F-9CA6-018325680FDA}"/>
</file>

<file path=customXml/itemProps2.xml><?xml version="1.0" encoding="utf-8"?>
<ds:datastoreItem xmlns:ds="http://schemas.openxmlformats.org/officeDocument/2006/customXml" ds:itemID="{8EA958F3-F430-43FD-B3C6-6C4F0E201786}"/>
</file>

<file path=customXml/itemProps3.xml><?xml version="1.0" encoding="utf-8"?>
<ds:datastoreItem xmlns:ds="http://schemas.openxmlformats.org/officeDocument/2006/customXml" ds:itemID="{8222B5E8-A5F9-4B93-BF9C-63C7E9F57C1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Charles A. Long Properties LLC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Charles A. Long</dc:creator>
  <cp:keywords/>
  <dc:description/>
  <cp:lastModifiedBy>Olivia Richardson</cp:lastModifiedBy>
  <cp:revision/>
  <dcterms:created xsi:type="dcterms:W3CDTF">2011-07-11T21:17:46Z</dcterms:created>
  <dcterms:modified xsi:type="dcterms:W3CDTF">2023-01-26T16:59:48Z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388465-aeed-4329-a493-dfb4cee22503_Enabled">
    <vt:lpwstr>true</vt:lpwstr>
  </property>
  <property fmtid="{D5CDD505-2E9C-101B-9397-08002B2CF9AE}" pid="3" name="MSIP_Label_70388465-aeed-4329-a493-dfb4cee22503_SetDate">
    <vt:lpwstr>2022-12-01T14:29:01Z</vt:lpwstr>
  </property>
  <property fmtid="{D5CDD505-2E9C-101B-9397-08002B2CF9AE}" pid="4" name="MSIP_Label_70388465-aeed-4329-a493-dfb4cee22503_Method">
    <vt:lpwstr>Standard</vt:lpwstr>
  </property>
  <property fmtid="{D5CDD505-2E9C-101B-9397-08002B2CF9AE}" pid="5" name="MSIP_Label_70388465-aeed-4329-a493-dfb4cee22503_Name">
    <vt:lpwstr>defa4170-0d19-0005-0004-bc88714345d2</vt:lpwstr>
  </property>
  <property fmtid="{D5CDD505-2E9C-101B-9397-08002B2CF9AE}" pid="6" name="MSIP_Label_70388465-aeed-4329-a493-dfb4cee22503_SiteId">
    <vt:lpwstr>c733f279-2e57-447e-b549-b435d7bcf45e</vt:lpwstr>
  </property>
  <property fmtid="{D5CDD505-2E9C-101B-9397-08002B2CF9AE}" pid="7" name="MSIP_Label_70388465-aeed-4329-a493-dfb4cee22503_ActionId">
    <vt:lpwstr>c09dddd2-dd9a-4658-94bd-9604302b5a94</vt:lpwstr>
  </property>
  <property fmtid="{D5CDD505-2E9C-101B-9397-08002B2CF9AE}" pid="8" name="MSIP_Label_70388465-aeed-4329-a493-dfb4cee22503_ContentBits">
    <vt:lpwstr>0</vt:lpwstr>
  </property>
  <property fmtid="{D5CDD505-2E9C-101B-9397-08002B2CF9AE}" pid="9" name="ContentTypeId">
    <vt:lpwstr>0x01010007D0D48330F6CE4FB6B3AE62FA39CE46</vt:lpwstr>
  </property>
  <property fmtid="{D5CDD505-2E9C-101B-9397-08002B2CF9AE}" pid="10" name="MediaServiceImageTags">
    <vt:lpwstr/>
  </property>
</Properties>
</file>