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uli.sharepoint.com/sites/awards/Awards 2019/00 -I Drive/2023/ULI Hines Competition/Finalists/2023-8514 The Quilt UVA/"/>
    </mc:Choice>
  </mc:AlternateContent>
  <xr:revisionPtr revIDLastSave="3" documentId="13_ncr:1_{539BBF9C-A9C6-4347-8EA3-D5FB1090D579}" xr6:coauthVersionLast="47" xr6:coauthVersionMax="47" xr10:uidLastSave="{9A5E7D5F-5BAE-4A06-A149-E45A564FC76D}"/>
  <bookViews>
    <workbookView xWindow="-110" yWindow="-110" windowWidth="19420" windowHeight="10300" tabRatio="774" activeTab="4" xr2:uid="{00000000-000D-0000-FFFF-FFFF00000000}"/>
  </bookViews>
  <sheets>
    <sheet name="Summary" sheetId="26" r:id="rId1"/>
    <sheet name="Assumptions" sheetId="2" r:id="rId2"/>
    <sheet name="Development Program" sheetId="27" r:id="rId3"/>
    <sheet name="Parcel Data" sheetId="25" r:id="rId4"/>
    <sheet name="Phase I Financial" sheetId="5" r:id="rId5"/>
    <sheet name="Phase I Draw" sheetId="6" r:id="rId6"/>
    <sheet name="Phase II Financial" sheetId="7" r:id="rId7"/>
    <sheet name="Phase II Draw" sheetId="8" r:id="rId8"/>
    <sheet name="All Components Draw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a1">{"Assump",#N/A,TRUE,"Proforma";"first",#N/A,TRUE,"Proforma";"second",#N/A,TRUE,"Proforma";"lease1",#N/A,TRUE,"Proforma";"lease2",#N/A,TRUE,"Proforma"}</definedName>
    <definedName name="__a1">{"Assump",#N/A,TRUE,"Proforma";"first",#N/A,TRUE,"Proforma";"second",#N/A,TRUE,"Proforma";"lease1",#N/A,TRUE,"Proforma";"lease2",#N/A,TRUE,"Proforma"}</definedName>
    <definedName name="_Fill" localSheetId="4">[1]A!#REF!</definedName>
    <definedName name="_Fill" localSheetId="6">[1]A!#REF!</definedName>
    <definedName name="_Fill">[1]A!#REF!</definedName>
    <definedName name="_Key1" localSheetId="4">'[2]H-INPUT'!#REF!</definedName>
    <definedName name="_Key1" localSheetId="6">'[2]H-INPUT'!#REF!</definedName>
    <definedName name="_Key1">'[2]H-INPUT'!#REF!</definedName>
    <definedName name="_Key2" localSheetId="4">#REF!</definedName>
    <definedName name="_Key2" localSheetId="6">#REF!</definedName>
    <definedName name="_Key2">#REF!</definedName>
    <definedName name="_Order1">255</definedName>
    <definedName name="_Order2">255</definedName>
    <definedName name="_Sort" localSheetId="4">#REF!</definedName>
    <definedName name="_Sort" localSheetId="6">#REF!</definedName>
    <definedName name="_Sort">#REF!</definedName>
    <definedName name="_Table1_In1" localSheetId="4">#REF!</definedName>
    <definedName name="_Table1_In1" localSheetId="6">#REF!</definedName>
    <definedName name="_Table1_In1">#REF!</definedName>
    <definedName name="_Table1_Out" localSheetId="4">#REF!</definedName>
    <definedName name="_Table1_Out" localSheetId="6">#REF!</definedName>
    <definedName name="_Table1_Out">#REF!</definedName>
    <definedName name="_Table2_Out" localSheetId="4">[3]General!#REF!</definedName>
    <definedName name="_Table2_Out" localSheetId="6">[3]General!#REF!</definedName>
    <definedName name="_Table2_Out">[3]General!#REF!</definedName>
    <definedName name="_x1">{#N/A,#N/A,FALSE,"WATCHDSC";#N/A,#N/A,FALSE,"2LOSSMOD";#N/A,#N/A,FALSE,"2LOSS";#N/A,#N/A,FALSE,"DSC";#N/A,#N/A,FALSE,"OPERAT";#N/A,#N/A,FALSE,"ADJUST";#N/A,#N/A,FALSE,"LEASE EXPIRE"}</definedName>
    <definedName name="_x2">{#N/A,#N/A,FALSE,"WATCHDSC";#N/A,#N/A,FALSE,"2LOSSMOD";#N/A,#N/A,FALSE,"2LOSS";#N/A,#N/A,FALSE,"DSC";#N/A,#N/A,FALSE,"OPERAT";#N/A,#N/A,FALSE,"ADJUST";#N/A,#N/A,FALSE,"LEASE EXPIRE"}</definedName>
    <definedName name="_x3">{#N/A,#N/A,FALSE,"WATCHDSC";#N/A,#N/A,FALSE,"2LOSSMOD";#N/A,#N/A,FALSE,"2LOSS";#N/A,#N/A,FALSE,"DSC";#N/A,#N/A,FALSE,"OPERAT";#N/A,#N/A,FALSE,"ADJUST";#N/A,#N/A,FALSE,"LEASE EXPIRE"}</definedName>
    <definedName name="a">{"Assump",#N/A,TRUE,"Proforma";"first",#N/A,TRUE,"Proforma";"second",#N/A,TRUE,"Proforma";"lease1",#N/A,TRUE,"Proforma";"lease2",#N/A,TRUE,"Proforma"}</definedName>
    <definedName name="aa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AADSFD" localSheetId="4">[4]Frontsheet!#REF!</definedName>
    <definedName name="AADSFD" localSheetId="6">[4]Frontsheet!#REF!</definedName>
    <definedName name="AADSFD">[4]Frontsheet!#REF!</definedName>
    <definedName name="ac" localSheetId="4">[4]Frontsheet!#REF!</definedName>
    <definedName name="ac" localSheetId="6">[4]Frontsheet!#REF!</definedName>
    <definedName name="ac">[4]Frontsheet!#REF!</definedName>
    <definedName name="alt" localSheetId="4">[4]Frontsheet!#REF!</definedName>
    <definedName name="alt" localSheetId="6">[4]Frontsheet!#REF!</definedName>
    <definedName name="alt">[4]Frontsheet!#REF!</definedName>
    <definedName name="anscount">1</definedName>
    <definedName name="ASA" localSheetId="4">[4]Frontsheet!#REF!</definedName>
    <definedName name="ASA" localSheetId="6">[4]Frontsheet!#REF!</definedName>
    <definedName name="ASA">[4]Frontsheet!#REF!</definedName>
    <definedName name="aw" localSheetId="4">[4]Frontsheet!#REF!</definedName>
    <definedName name="aw" localSheetId="6">[4]Frontsheet!#REF!</definedName>
    <definedName name="aw">[4]Frontsheet!#REF!</definedName>
    <definedName name="b">{"Assump",#N/A,TRUE,"Proforma";"first",#N/A,TRUE,"Proforma";"second",#N/A,TRUE,"Proforma";"lease1",#N/A,TRUE,"Proforma";"lease2",#N/A,TRUE,"Proforma"}</definedName>
    <definedName name="Body">'[5]Equity Investor Sheet 2538'!$A$7:$J$18</definedName>
    <definedName name="costcode">'[6]Pursuit_Expenses by cost code'!$A$5:$F$155</definedName>
    <definedName name="cs" localSheetId="4">[4]Frontsheet!#REF!</definedName>
    <definedName name="cs" localSheetId="6">[4]Frontsheet!#REF!</definedName>
    <definedName name="cs">[4]Frontsheet!#REF!</definedName>
    <definedName name="ct" localSheetId="4">[4]Frontsheet!#REF!</definedName>
    <definedName name="ct" localSheetId="6">[4]Frontsheet!#REF!</definedName>
    <definedName name="ct">[4]Frontsheet!#REF!</definedName>
    <definedName name="ddgfeerew" localSheetId="4">[4]Frontsheet!#REF!</definedName>
    <definedName name="ddgfeerew" localSheetId="6">[4]Frontsheet!#REF!</definedName>
    <definedName name="ddgfeerew">[4]Frontsheet!#REF!</definedName>
    <definedName name="dflt1">'[7]Customize Your Invoice'!$E$22</definedName>
    <definedName name="dflt5">'[7]Customize Your Invoice'!$E$27</definedName>
    <definedName name="dflt6">'[7]Customize Your Invoice'!$D$28</definedName>
    <definedName name="dfsdf" localSheetId="4">[4]Frontsheet!#REF!</definedName>
    <definedName name="dfsdf" localSheetId="6">[4]Frontsheet!#REF!</definedName>
    <definedName name="dfsdf">[4]Frontsheet!#REF!</definedName>
    <definedName name="dw" localSheetId="4">[4]Frontsheet!#REF!</definedName>
    <definedName name="dw" localSheetId="6">[4]Frontsheet!#REF!</definedName>
    <definedName name="dw">[4]Frontsheet!#REF!</definedName>
    <definedName name="ee">{"Assump",#N/A,TRUE,"Proforma";"first",#N/A,TRUE,"Proforma";"second",#N/A,TRUE,"Proforma";"lease1",#N/A,TRUE,"Proforma";"lease2",#N/A,TRUE,"Proforma"}</definedName>
    <definedName name="el" localSheetId="4">[4]Frontsheet!#REF!</definedName>
    <definedName name="el" localSheetId="6">[4]Frontsheet!#REF!</definedName>
    <definedName name="el">[4]Frontsheet!#REF!</definedName>
    <definedName name="ellen">{#N/A,#N/A,FALSE,"WATCHDSC";#N/A,#N/A,FALSE,"2LOSSMOD";#N/A,#N/A,FALSE,"2LOSS";#N/A,#N/A,FALSE,"DSC";#N/A,#N/A,FALSE,"OPERAT";#N/A,#N/A,FALSE,"ADJUST";#N/A,#N/A,FALSE,"LEASE EXPIRE"}</definedName>
    <definedName name="erasdf">{"Assump",#N/A,TRUE,"Proforma";"first",#N/A,TRUE,"Proforma";"second",#N/A,TRUE,"Proforma";"lease1",#N/A,TRUE,"Proforma";"lease2",#N/A,TRUE,"Proforma"}</definedName>
    <definedName name="EW" localSheetId="4">[4]Frontsheet!#REF!</definedName>
    <definedName name="EW" localSheetId="6">[4]Frontsheet!#REF!</definedName>
    <definedName name="EW">[4]Frontsheet!#REF!</definedName>
    <definedName name="f" localSheetId="4">[4]Frontsheet!#REF!</definedName>
    <definedName name="f" localSheetId="6">[4]Frontsheet!#REF!</definedName>
    <definedName name="f">[4]Frontsheet!#REF!</definedName>
    <definedName name="fe" localSheetId="4">[4]Frontsheet!#REF!</definedName>
    <definedName name="fe" localSheetId="6">[4]Frontsheet!#REF!</definedName>
    <definedName name="fe">[4]Frontsheet!#REF!</definedName>
    <definedName name="FFFFF" localSheetId="4">[4]Frontsheet!#REF!</definedName>
    <definedName name="FFFFF" localSheetId="6">[4]Frontsheet!#REF!</definedName>
    <definedName name="FFFFF">[4]Frontsheet!#REF!</definedName>
    <definedName name="FJHJ" localSheetId="4">[4]Frontsheet!#REF!</definedName>
    <definedName name="FJHJ" localSheetId="6">[4]Frontsheet!#REF!</definedName>
    <definedName name="FJHJ">[4]Frontsheet!#REF!</definedName>
    <definedName name="fo" localSheetId="4">#REF!</definedName>
    <definedName name="fo" localSheetId="6">#REF!</definedName>
    <definedName name="fo">#REF!</definedName>
    <definedName name="FORM" localSheetId="4">#REF!</definedName>
    <definedName name="FORM" localSheetId="6">#REF!</definedName>
    <definedName name="FORM">#REF!</definedName>
    <definedName name="FURYUR" localSheetId="4">[4]Frontsheet!#REF!</definedName>
    <definedName name="FURYUR" localSheetId="6">[4]Frontsheet!#REF!</definedName>
    <definedName name="FURYUR">[4]Frontsheet!#REF!</definedName>
    <definedName name="gl" localSheetId="4">[4]Frontsheet!#REF!</definedName>
    <definedName name="gl" localSheetId="6">[4]Frontsheet!#REF!</definedName>
    <definedName name="gl">[4]Frontsheet!#REF!</definedName>
    <definedName name="h" localSheetId="4">[4]Frontsheet!#REF!</definedName>
    <definedName name="h" localSheetId="6">[4]Frontsheet!#REF!</definedName>
    <definedName name="h">[4]Frontsheet!#REF!</definedName>
    <definedName name="hjkhjlkgg" localSheetId="4">[4]Frontsheet!#REF!</definedName>
    <definedName name="hjkhjlkgg" localSheetId="6">[4]Frontsheet!#REF!</definedName>
    <definedName name="hjkhjlkgg">[4]Frontsheet!#REF!</definedName>
    <definedName name="jkjkl" localSheetId="4">[4]Frontsheet!#REF!</definedName>
    <definedName name="jkjkl" localSheetId="6">[4]Frontsheet!#REF!</definedName>
    <definedName name="jkjkl">[4]Frontsheet!#REF!</definedName>
    <definedName name="kb" localSheetId="4">[4]Frontsheet!#REF!</definedName>
    <definedName name="kb" localSheetId="6">[4]Frontsheet!#REF!</definedName>
    <definedName name="kb">[4]Frontsheet!#REF!</definedName>
    <definedName name="ke" localSheetId="4">[4]Frontsheet!#REF!</definedName>
    <definedName name="ke" localSheetId="6">[4]Frontsheet!#REF!</definedName>
    <definedName name="ke">[4]Frontsheet!#REF!</definedName>
    <definedName name="lk" localSheetId="4">[4]Frontsheet!#REF!</definedName>
    <definedName name="lk" localSheetId="6">[4]Frontsheet!#REF!</definedName>
    <definedName name="lk">[4]Frontsheet!#REF!</definedName>
    <definedName name="memo_description">[6]Lists!$D$4:$D$10</definedName>
    <definedName name="ml" localSheetId="4">[4]Frontsheet!#REF!</definedName>
    <definedName name="ml" localSheetId="6">[4]Frontsheet!#REF!</definedName>
    <definedName name="ml">[4]Frontsheet!#REF!</definedName>
    <definedName name="mw" localSheetId="4">[4]Frontsheet!#REF!</definedName>
    <definedName name="mw" localSheetId="6">[4]Frontsheet!#REF!</definedName>
    <definedName name="mw">[4]Frontsheet!#REF!</definedName>
    <definedName name="NEWDRAW" localSheetId="4">#REF!</definedName>
    <definedName name="NEWDRAW" localSheetId="6">#REF!</definedName>
    <definedName name="NEWDRAW">#REF!</definedName>
    <definedName name="NvsEndTime">36465.4707604167</definedName>
    <definedName name="os" localSheetId="4">[4]Frontsheet!#REF!</definedName>
    <definedName name="os" localSheetId="6">[4]Frontsheet!#REF!</definedName>
    <definedName name="os">[4]Frontsheet!#REF!</definedName>
    <definedName name="p" localSheetId="4">[4]Frontsheet!#REF!</definedName>
    <definedName name="p" localSheetId="6">[4]Frontsheet!#REF!</definedName>
    <definedName name="p">[4]Frontsheet!#REF!</definedName>
    <definedName name="pa" localSheetId="4">[4]Frontsheet!#REF!</definedName>
    <definedName name="pa" localSheetId="6">[4]Frontsheet!#REF!</definedName>
    <definedName name="pa">[4]Frontsheet!#REF!</definedName>
    <definedName name="PD" localSheetId="4">#REF!</definedName>
    <definedName name="PD" localSheetId="6">#REF!</definedName>
    <definedName name="PD">#REF!</definedName>
    <definedName name="pipeline_status">[6]Lists!$F$4:$F$8</definedName>
    <definedName name="pp" localSheetId="4">[4]Frontsheet!#REF!</definedName>
    <definedName name="pp" localSheetId="6">[4]Frontsheet!#REF!</definedName>
    <definedName name="pp">[4]Frontsheet!#REF!</definedName>
    <definedName name="print_area2" localSheetId="4">#REF!</definedName>
    <definedName name="print_area2" localSheetId="6">#REF!</definedName>
    <definedName name="print_area2">#REF!</definedName>
    <definedName name="print_area3" localSheetId="4">#REF!</definedName>
    <definedName name="print_area3" localSheetId="6">#REF!</definedName>
    <definedName name="print_area3">#REF!</definedName>
    <definedName name="print_area4" localSheetId="4">#REF!</definedName>
    <definedName name="print_area4" localSheetId="6">#REF!</definedName>
    <definedName name="print_area4">#REF!</definedName>
    <definedName name="PROFORMA" localSheetId="4">#REF!</definedName>
    <definedName name="PROFORMA" localSheetId="6">#REF!</definedName>
    <definedName name="PROFORMA">#REF!</definedName>
    <definedName name="Promote_dev_1">[6]Input!$E$330</definedName>
    <definedName name="Property_Types">'[8]Deal Assumptions'!$G$345:$Z$345</definedName>
    <definedName name="pt" localSheetId="4">[4]Frontsheet!#REF!</definedName>
    <definedName name="pt" localSheetId="6">[4]Frontsheet!#REF!</definedName>
    <definedName name="pt">[4]Frontsheet!#REF!</definedName>
    <definedName name="qq" localSheetId="4">#REF!</definedName>
    <definedName name="qq" localSheetId="6">#REF!</definedName>
    <definedName name="qq">#REF!</definedName>
    <definedName name="report">{#N/A,#N/A,FALSE,"Summary";#N/A,#N/A,FALSE,"Assumptions";#N/A,#N/A,FALSE,"Cash Flow";#N/A,#N/A,FALSE,"Residual Calculation";#N/A,#N/A,FALSE,"Pricing Matrix";#N/A,#N/A,FALSE,"Pricing Matrix II";#N/A,#N/A,FALSE,"Expiration Schedule"}</definedName>
    <definedName name="rf" localSheetId="4">[4]Frontsheet!#REF!</definedName>
    <definedName name="rf" localSheetId="6">[4]Frontsheet!#REF!</definedName>
    <definedName name="rf">[4]Frontsheet!#REF!</definedName>
    <definedName name="S_U" localSheetId="4">#REF!</definedName>
    <definedName name="S_U" localSheetId="6">#REF!</definedName>
    <definedName name="S_U">#REF!</definedName>
    <definedName name="Sample1" localSheetId="4">[9]Template!#REF!</definedName>
    <definedName name="Sample1" localSheetId="6">[9]Template!#REF!</definedName>
    <definedName name="Sample1">[9]Template!#REF!</definedName>
    <definedName name="sample2" localSheetId="4">[10]Template!#REF!</definedName>
    <definedName name="sample2" localSheetId="6">[10]Template!#REF!</definedName>
    <definedName name="sample2">[10]Template!#REF!</definedName>
    <definedName name="sample3" localSheetId="4">[10]Template!#REF!</definedName>
    <definedName name="sample3" localSheetId="6">[10]Template!#REF!</definedName>
    <definedName name="sample3">[10]Template!#REF!</definedName>
    <definedName name="sdf">{"Assump",#N/A,TRUE,"Proforma";"first",#N/A,TRUE,"Proforma";"second",#N/A,TRUE,"Proforma";"lease1",#N/A,TRUE,"Proforma";"lease2",#N/A,TRUE,"Proforma"}</definedName>
    <definedName name="sdfgsfgdsfg" localSheetId="4">[4]Frontsheet!#REF!</definedName>
    <definedName name="sdfgsfgdsfg" localSheetId="6">[4]Frontsheet!#REF!</definedName>
    <definedName name="sdfgsfgdsfg">[4]Frontsheet!#REF!</definedName>
    <definedName name="SF">'[11]One Pager - Assumptions'!$H$31</definedName>
    <definedName name="sg" localSheetId="4">[4]Frontsheet!#REF!</definedName>
    <definedName name="sg" localSheetId="6">[4]Frontsheet!#REF!</definedName>
    <definedName name="sg">[4]Frontsheet!#REF!</definedName>
    <definedName name="si" localSheetId="4">[4]Frontsheet!#REF!</definedName>
    <definedName name="si" localSheetId="6">[4]Frontsheet!#REF!</definedName>
    <definedName name="si">[4]Frontsheet!#REF!</definedName>
    <definedName name="tp" localSheetId="4">[4]Frontsheet!#REF!</definedName>
    <definedName name="tp" localSheetId="6">[4]Frontsheet!#REF!</definedName>
    <definedName name="tp">[4]Frontsheet!#REF!</definedName>
    <definedName name="Trended_hard_cost">[6]Input!$K$47</definedName>
    <definedName name="trended_partner_contributions" localSheetId="4">'[6]Trended Cash Flow'!#REF!</definedName>
    <definedName name="trended_partner_contributions" localSheetId="6">'[6]Trended Cash Flow'!#REF!</definedName>
    <definedName name="trended_partner_contributions">'[6]Trended Cash Flow'!#REF!</definedName>
    <definedName name="TT" localSheetId="4">[4]Frontsheet!#REF!</definedName>
    <definedName name="TT" localSheetId="6">[4]Frontsheet!#REF!</definedName>
    <definedName name="TT">[4]Frontsheet!#REF!</definedName>
    <definedName name="units">'[12]Equity Investor Sheet 2538'!$G$132</definedName>
    <definedName name="untrended_dates">'[6]Untrended Cash Flow'!$E$12:$BL$12</definedName>
    <definedName name="untrended_partner_contributions">'[6]Untrended Cash Flow'!$E$154:$BL$154</definedName>
    <definedName name="vital5">'[7]Customize Your Invoice'!$E$15</definedName>
    <definedName name="wetadf">{"Assump",#N/A,TRUE,"Proforma";"first",#N/A,TRUE,"Proforma";"second",#N/A,TRUE,"Proforma";"lease1",#N/A,TRUE,"Proforma";"lease2",#N/A,TRUE,"Proforma"}</definedName>
    <definedName name="wrn.BlackWhite.">{#N/A,#N/A,FALSE,"NNN sum";#N/A,#N/A,FALSE,"10-yr Opt. A Sum";#N/A,#N/A,FALSE,"10-yr Opt A Other Costs";#N/A,#N/A,FALSE,"Purchase Sum";#N/A,#N/A,FALSE,"Purchase Other Costs"}</definedName>
    <definedName name="wrn.Complete._.Review.">{#N/A,#N/A,FALSE,"Occ and Rate";#N/A,#N/A,FALSE,"PF Input";#N/A,#N/A,FALSE,"Capital Input";#N/A,#N/A,FALSE,"Proforma Five Yr";#N/A,#N/A,FALSE,"Calculations";#N/A,#N/A,FALSE,"Transaction Summary-DTW"}</definedName>
    <definedName name="wrn.cssa.">{#N/A,#N/A,FALSE,"WATCHDSC";#N/A,#N/A,FALSE,"2LOSSMOD";#N/A,#N/A,FALSE,"2LOSS";#N/A,#N/A,FALSE,"DSC";#N/A,#N/A,FALSE,"OPERAT";#N/A,#N/A,FALSE,"ADJUST";#N/A,#N/A,FALSE,"LEASE EXPIRE"}</definedName>
    <definedName name="wrn.data.">{"data",#N/A,FALSE,"INPUT"}</definedName>
    <definedName name="wrn.GSA._.PRINT.">{#N/A,#N/A,FALSE,"DEV COSTS";#N/A,#N/A,FALSE,"10-YR C. F."}</definedName>
    <definedName name="wrn.Investment._.Review.">{#N/A,#N/A,FALSE,"Proforma Five Yr";#N/A,#N/A,FALSE,"Capital Input";#N/A,#N/A,FALSE,"Calculations";#N/A,#N/A,FALSE,"Transaction Summary-DTW"}</definedName>
    <definedName name="wrn.MODEL.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wrn.Operations._.Review.">{#N/A,#N/A,FALSE,"Proforma Five Yr";#N/A,#N/A,FALSE,"Occ and Rate";#N/A,#N/A,FALSE,"PF Input";#N/A,#N/A,FALSE,"Hotcomps"}</definedName>
    <definedName name="wrn.Phase._.I.">{#N/A,#N/A,FALSE,"Transaction Summary-DTW";#N/A,#N/A,FALSE,"Proforma Five Yr";#N/A,#N/A,FALSE,"Occ and Rate"}</definedName>
    <definedName name="wrn.print.">{"Assump",#N/A,TRUE,"Proforma";"first",#N/A,TRUE,"Proforma";"second",#N/A,TRUE,"Proforma";"lease1",#N/A,TRUE,"Proforma";"lease2",#N/A,TRUE,"Proforma"}</definedName>
    <definedName name="wrn.Proforma._.Review.">{#N/A,#N/A,FALSE,"Occ and Rate";#N/A,#N/A,FALSE,"PF Input";#N/A,#N/A,FALSE,"Proforma Five Yr";#N/A,#N/A,FALSE,"Hotcomps"}</definedName>
    <definedName name="wrn.Report.">{#N/A,#N/A,FALSE,"Summary";#N/A,#N/A,FALSE,"Assumptions";#N/A,#N/A,FALSE,"Cash Flow";#N/A,#N/A,FALSE,"Residual Calculation";#N/A,#N/A,FALSE,"Pricing Matrix";#N/A,#N/A,FALSE,"Pricing Matrix II";#N/A,#N/A,FALSE,"Expiration Schedule"}</definedName>
    <definedName name="wrn.Total.">{#N/A,#N/A,FALSE,"Exec Sum";#N/A,#N/A,FALSE,"Rent Rate Comp";#N/A,#N/A,FALSE,"Rate, NPV Comp";#N/A,#N/A,FALSE,"Opt A NNN";#N/A,#N/A,FALSE,"15-yr Opt. A Sum";#N/A,#N/A,FALSE,"15-yr Opt A Other Costs";#N/A,#N/A,FALSE,"10-yr Opt. A Sum";#N/A,#N/A,FALSE,"10-yr Opt A Other Costs";#N/A,#N/A,FALSE,"NPV Calc"}</definedName>
    <definedName name="wrn.TOTAL._.SHEETS.">{#N/A,#N/A,FALSE,"DEV COSTS";#N/A,#N/A,FALSE,"10-YR C. F."}</definedName>
    <definedName name="wrn.WeeklyStatus.">{#N/A,#N/A,FALSE,"StatusReport"}</definedName>
    <definedName name="wrn.YTD.Clsngs.Subdiv.Dte.">{"Smry.sbtl.subdiv.clsdte",#N/A,FALSE,"97clsngs.612"}</definedName>
    <definedName name="x">{#N/A,#N/A,FALSE,"WATCHDSC";#N/A,#N/A,FALSE,"2LOSSMOD";#N/A,#N/A,FALSE,"2LOSS";#N/A,#N/A,FALSE,"DSC";#N/A,#N/A,FALSE,"OPERAT";#N/A,#N/A,FALSE,"ADJUST";#N/A,#N/A,FALSE,"LEASE EXPIRE"}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40" roundtripDataSignature="AMtx7mi7kjrz7nt0uIemDkTWd4oL1PxmTQ=="/>
    </ext>
  </extLst>
</workbook>
</file>

<file path=xl/calcChain.xml><?xml version="1.0" encoding="utf-8"?>
<calcChain xmlns="http://schemas.openxmlformats.org/spreadsheetml/2006/main">
  <c r="F14" i="27" l="1"/>
  <c r="E14" i="27"/>
  <c r="D14" i="27"/>
  <c r="C14" i="27"/>
  <c r="F13" i="27"/>
  <c r="E13" i="27"/>
  <c r="D13" i="27"/>
  <c r="C13" i="27"/>
  <c r="G7" i="27"/>
  <c r="G8" i="27" s="1"/>
  <c r="H7" i="27"/>
  <c r="H6" i="27"/>
  <c r="H8" i="27" s="1"/>
  <c r="C6" i="27"/>
  <c r="C7" i="27"/>
  <c r="D7" i="27" s="1"/>
  <c r="A10" i="6"/>
  <c r="Q32" i="26"/>
  <c r="Q29" i="26"/>
  <c r="P32" i="26"/>
  <c r="O32" i="26" s="1"/>
  <c r="P29" i="26"/>
  <c r="I69" i="2"/>
  <c r="B92" i="7" s="1"/>
  <c r="Q24" i="26" s="1"/>
  <c r="O24" i="26" s="1"/>
  <c r="I66" i="2"/>
  <c r="C11" i="7"/>
  <c r="C63" i="7"/>
  <c r="D47" i="25"/>
  <c r="D43" i="25"/>
  <c r="A88" i="7"/>
  <c r="A79" i="5"/>
  <c r="F7" i="26"/>
  <c r="F8" i="26"/>
  <c r="F9" i="26"/>
  <c r="F6" i="26"/>
  <c r="E7" i="26"/>
  <c r="E8" i="26"/>
  <c r="E9" i="26"/>
  <c r="E6" i="26"/>
  <c r="F2" i="8"/>
  <c r="E2" i="8"/>
  <c r="D2" i="8"/>
  <c r="C2" i="8"/>
  <c r="F2" i="6"/>
  <c r="E2" i="6"/>
  <c r="D2" i="6"/>
  <c r="C2" i="6"/>
  <c r="B91" i="7"/>
  <c r="Q23" i="26" s="1"/>
  <c r="O23" i="26" s="1"/>
  <c r="E23" i="2"/>
  <c r="E18" i="2"/>
  <c r="E13" i="2"/>
  <c r="E8" i="2"/>
  <c r="C54" i="5"/>
  <c r="I63" i="2"/>
  <c r="B90" i="7" s="1"/>
  <c r="Q22" i="26" s="1"/>
  <c r="H63" i="2"/>
  <c r="D42" i="25"/>
  <c r="B46" i="7"/>
  <c r="E51" i="2"/>
  <c r="D46" i="25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C8" i="8"/>
  <c r="N8" i="6"/>
  <c r="O8" i="6"/>
  <c r="P8" i="6"/>
  <c r="Q8" i="6"/>
  <c r="R8" i="6"/>
  <c r="S8" i="6"/>
  <c r="T8" i="6"/>
  <c r="U8" i="6"/>
  <c r="V8" i="6"/>
  <c r="W8" i="6"/>
  <c r="X8" i="6"/>
  <c r="Y8" i="6"/>
  <c r="Z8" i="6"/>
  <c r="D8" i="6"/>
  <c r="E8" i="6"/>
  <c r="F8" i="6"/>
  <c r="G8" i="6"/>
  <c r="H8" i="6"/>
  <c r="I8" i="6"/>
  <c r="J8" i="6"/>
  <c r="K8" i="6"/>
  <c r="M8" i="6"/>
  <c r="C8" i="6"/>
  <c r="AS8" i="21"/>
  <c r="AT8" i="21"/>
  <c r="AU8" i="21"/>
  <c r="AI4" i="21"/>
  <c r="AJ4" i="21"/>
  <c r="AK4" i="21"/>
  <c r="AL4" i="21"/>
  <c r="AM4" i="21"/>
  <c r="AN4" i="21"/>
  <c r="AO4" i="21"/>
  <c r="AP4" i="21"/>
  <c r="AQ4" i="21"/>
  <c r="AR4" i="21"/>
  <c r="AS4" i="21"/>
  <c r="AT4" i="21"/>
  <c r="AU4" i="21"/>
  <c r="C46" i="25"/>
  <c r="F46" i="25" s="1"/>
  <c r="C42" i="25"/>
  <c r="F42" i="25" s="1"/>
  <c r="A9" i="6"/>
  <c r="E64" i="2"/>
  <c r="D64" i="2"/>
  <c r="B49" i="5"/>
  <c r="B37" i="5"/>
  <c r="C17" i="7"/>
  <c r="B4" i="8"/>
  <c r="J7" i="2"/>
  <c r="H12" i="2" s="1"/>
  <c r="J6" i="2"/>
  <c r="H11" i="2" s="1"/>
  <c r="B58" i="7"/>
  <c r="D74" i="2"/>
  <c r="E71" i="2"/>
  <c r="B17" i="7" s="1"/>
  <c r="B20" i="7" s="1"/>
  <c r="D71" i="2"/>
  <c r="A9" i="8"/>
  <c r="G37" i="25"/>
  <c r="D37" i="25"/>
  <c r="E36" i="25"/>
  <c r="F36" i="25" s="1"/>
  <c r="H36" i="25" s="1"/>
  <c r="E35" i="25"/>
  <c r="F35" i="25" s="1"/>
  <c r="H35" i="25" s="1"/>
  <c r="E34" i="25"/>
  <c r="F34" i="25" s="1"/>
  <c r="H34" i="25" s="1"/>
  <c r="E33" i="25"/>
  <c r="F33" i="25" s="1"/>
  <c r="H33" i="25" s="1"/>
  <c r="E32" i="25"/>
  <c r="F32" i="25" s="1"/>
  <c r="H32" i="25" s="1"/>
  <c r="E31" i="25"/>
  <c r="F31" i="25" s="1"/>
  <c r="H31" i="25" s="1"/>
  <c r="E30" i="25"/>
  <c r="F30" i="25" s="1"/>
  <c r="H30" i="25" s="1"/>
  <c r="E29" i="25"/>
  <c r="E25" i="25"/>
  <c r="E26" i="25"/>
  <c r="E27" i="25"/>
  <c r="E28" i="25"/>
  <c r="F29" i="25"/>
  <c r="H29" i="25" s="1"/>
  <c r="F28" i="25"/>
  <c r="H28" i="25" s="1"/>
  <c r="F27" i="25"/>
  <c r="H27" i="25"/>
  <c r="F26" i="25"/>
  <c r="H26" i="25" s="1"/>
  <c r="F25" i="25"/>
  <c r="F33" i="26"/>
  <c r="F34" i="26" s="1"/>
  <c r="E33" i="26"/>
  <c r="F30" i="26"/>
  <c r="F31" i="26" s="1"/>
  <c r="E30" i="26"/>
  <c r="C24" i="26"/>
  <c r="C23" i="26"/>
  <c r="C22" i="26"/>
  <c r="C21" i="26"/>
  <c r="C18" i="26"/>
  <c r="C17" i="26"/>
  <c r="C16" i="26"/>
  <c r="C15" i="26"/>
  <c r="B19" i="5"/>
  <c r="B18" i="5"/>
  <c r="B17" i="5"/>
  <c r="B27" i="7"/>
  <c r="B26" i="7"/>
  <c r="B25" i="7"/>
  <c r="C10" i="7"/>
  <c r="C9" i="7"/>
  <c r="C8" i="7"/>
  <c r="C7" i="7"/>
  <c r="C6" i="7"/>
  <c r="C5" i="7"/>
  <c r="C4" i="7"/>
  <c r="D5" i="5"/>
  <c r="C12" i="5"/>
  <c r="C11" i="5"/>
  <c r="C10" i="5"/>
  <c r="C9" i="5"/>
  <c r="C18" i="5"/>
  <c r="D18" i="5" s="1"/>
  <c r="B20" i="5"/>
  <c r="C19" i="5"/>
  <c r="C17" i="5"/>
  <c r="D8" i="5"/>
  <c r="D7" i="5"/>
  <c r="D6" i="5"/>
  <c r="C8" i="5"/>
  <c r="C7" i="5"/>
  <c r="C6" i="5"/>
  <c r="C5" i="5"/>
  <c r="D7" i="7"/>
  <c r="D6" i="7"/>
  <c r="E19" i="2"/>
  <c r="F48" i="26" s="1"/>
  <c r="B88" i="2"/>
  <c r="B87" i="2"/>
  <c r="B86" i="2"/>
  <c r="B85" i="2"/>
  <c r="B84" i="2"/>
  <c r="E74" i="2"/>
  <c r="E63" i="2"/>
  <c r="C26" i="7" s="1"/>
  <c r="E57" i="2"/>
  <c r="C27" i="7" s="1"/>
  <c r="C25" i="7"/>
  <c r="H41" i="2"/>
  <c r="D46" i="2" s="1"/>
  <c r="E54" i="26" s="1"/>
  <c r="H39" i="2"/>
  <c r="D36" i="2" s="1"/>
  <c r="E52" i="26" s="1"/>
  <c r="H38" i="2"/>
  <c r="D31" i="2" s="1"/>
  <c r="E51" i="26" s="1"/>
  <c r="H40" i="2"/>
  <c r="D41" i="2" s="1"/>
  <c r="E53" i="26" s="1"/>
  <c r="E14" i="2"/>
  <c r="F47" i="26" s="1"/>
  <c r="E9" i="2"/>
  <c r="F46" i="26" s="1"/>
  <c r="AO3" i="21"/>
  <c r="AP3" i="21" s="1"/>
  <c r="AQ3" i="21" s="1"/>
  <c r="AR3" i="21" s="1"/>
  <c r="AS3" i="21" s="1"/>
  <c r="AT3" i="21" s="1"/>
  <c r="AU3" i="21" s="1"/>
  <c r="I3" i="2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AA3" i="21" s="1"/>
  <c r="AB3" i="21" s="1"/>
  <c r="AC3" i="21" s="1"/>
  <c r="AD3" i="21" s="1"/>
  <c r="AE3" i="21" s="1"/>
  <c r="AF3" i="21" s="1"/>
  <c r="AG3" i="21" s="1"/>
  <c r="AH3" i="21" s="1"/>
  <c r="AI3" i="21" s="1"/>
  <c r="AJ3" i="21" s="1"/>
  <c r="AK3" i="21" s="1"/>
  <c r="AL3" i="21" s="1"/>
  <c r="AM3" i="21" s="1"/>
  <c r="AN3" i="21" s="1"/>
  <c r="E3" i="21"/>
  <c r="F3" i="21" s="1"/>
  <c r="G3" i="21" s="1"/>
  <c r="H3" i="21" s="1"/>
  <c r="D3" i="21"/>
  <c r="B33" i="8"/>
  <c r="A26" i="8"/>
  <c r="B25" i="8"/>
  <c r="V25" i="8" s="1"/>
  <c r="A25" i="8"/>
  <c r="B24" i="8"/>
  <c r="A24" i="8"/>
  <c r="B23" i="8"/>
  <c r="A23" i="8"/>
  <c r="A22" i="8"/>
  <c r="A21" i="8"/>
  <c r="A20" i="8"/>
  <c r="B19" i="8"/>
  <c r="A19" i="8"/>
  <c r="A18" i="8"/>
  <c r="B17" i="8"/>
  <c r="P17" i="8" s="1"/>
  <c r="A17" i="8"/>
  <c r="A16" i="8"/>
  <c r="A15" i="8"/>
  <c r="A14" i="8"/>
  <c r="B13" i="8"/>
  <c r="AW13" i="8" s="1"/>
  <c r="A13" i="8"/>
  <c r="AV12" i="8"/>
  <c r="B12" i="8"/>
  <c r="AW12" i="8" s="1"/>
  <c r="AX12" i="8" s="1"/>
  <c r="A12" i="8"/>
  <c r="A11" i="8"/>
  <c r="A10" i="8"/>
  <c r="A8" i="8"/>
  <c r="A7" i="8"/>
  <c r="A6" i="8"/>
  <c r="A5" i="8"/>
  <c r="I4" i="8"/>
  <c r="J4" i="8" s="1"/>
  <c r="F4" i="8"/>
  <c r="D3" i="8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AT3" i="8" s="1"/>
  <c r="AU3" i="8" s="1"/>
  <c r="B11" i="8"/>
  <c r="B114" i="7"/>
  <c r="Q10" i="26" s="1"/>
  <c r="B28" i="7"/>
  <c r="D27" i="7"/>
  <c r="D25" i="7"/>
  <c r="B33" i="6"/>
  <c r="A26" i="6"/>
  <c r="B25" i="6"/>
  <c r="A25" i="6"/>
  <c r="B24" i="6"/>
  <c r="X24" i="6" s="1"/>
  <c r="A24" i="6"/>
  <c r="B23" i="6"/>
  <c r="A23" i="6"/>
  <c r="A22" i="6"/>
  <c r="A21" i="6"/>
  <c r="A20" i="6"/>
  <c r="B19" i="6"/>
  <c r="A19" i="6"/>
  <c r="A18" i="6"/>
  <c r="B17" i="6"/>
  <c r="AW17" i="6" s="1"/>
  <c r="A17" i="6"/>
  <c r="A16" i="6"/>
  <c r="A15" i="6"/>
  <c r="A14" i="6"/>
  <c r="B13" i="6"/>
  <c r="A13" i="6"/>
  <c r="AV12" i="6"/>
  <c r="B12" i="6"/>
  <c r="AW12" i="6" s="1"/>
  <c r="AX12" i="6" s="1"/>
  <c r="A12" i="6"/>
  <c r="A11" i="6"/>
  <c r="A8" i="6"/>
  <c r="A7" i="6"/>
  <c r="A6" i="6"/>
  <c r="A5" i="6"/>
  <c r="F4" i="6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B103" i="5"/>
  <c r="P10" i="26" s="1"/>
  <c r="O10" i="26" s="1"/>
  <c r="B11" i="6"/>
  <c r="D19" i="5"/>
  <c r="D17" i="5"/>
  <c r="D20" i="5" s="1"/>
  <c r="C85" i="5"/>
  <c r="D6" i="27" l="1"/>
  <c r="D8" i="27" s="1"/>
  <c r="C8" i="27"/>
  <c r="O29" i="26"/>
  <c r="D40" i="2"/>
  <c r="D11" i="5" s="1"/>
  <c r="E41" i="2"/>
  <c r="D30" i="2"/>
  <c r="D9" i="5" s="1"/>
  <c r="E31" i="2"/>
  <c r="D35" i="2"/>
  <c r="D10" i="5" s="1"/>
  <c r="E36" i="2"/>
  <c r="D45" i="2"/>
  <c r="D12" i="5" s="1"/>
  <c r="E46" i="2"/>
  <c r="B81" i="5"/>
  <c r="P22" i="26" s="1"/>
  <c r="O22" i="26" s="1"/>
  <c r="B31" i="7"/>
  <c r="F40" i="26" s="1"/>
  <c r="B23" i="5"/>
  <c r="E40" i="26" s="1"/>
  <c r="D40" i="26" s="1"/>
  <c r="D48" i="25"/>
  <c r="D44" i="25"/>
  <c r="AE19" i="8"/>
  <c r="AF19" i="8"/>
  <c r="W24" i="8"/>
  <c r="X24" i="8"/>
  <c r="Y24" i="8"/>
  <c r="Z24" i="8"/>
  <c r="AA24" i="8"/>
  <c r="AB24" i="8"/>
  <c r="AC24" i="8"/>
  <c r="AD24" i="8"/>
  <c r="AE24" i="8"/>
  <c r="AF24" i="8"/>
  <c r="V24" i="8"/>
  <c r="U24" i="8"/>
  <c r="K23" i="6"/>
  <c r="C23" i="6"/>
  <c r="AD11" i="8"/>
  <c r="AE11" i="8"/>
  <c r="H25" i="25"/>
  <c r="H37" i="25" s="1"/>
  <c r="F37" i="25"/>
  <c r="E37" i="25"/>
  <c r="I24" i="2"/>
  <c r="I21" i="2"/>
  <c r="I18" i="2"/>
  <c r="I15" i="2"/>
  <c r="I23" i="2"/>
  <c r="I20" i="2"/>
  <c r="I17" i="2"/>
  <c r="I14" i="2"/>
  <c r="D6" i="2" s="1"/>
  <c r="G4" i="8"/>
  <c r="AV4" i="8" s="1"/>
  <c r="U25" i="6"/>
  <c r="V25" i="6"/>
  <c r="W25" i="6"/>
  <c r="X25" i="6"/>
  <c r="U11" i="6"/>
  <c r="V11" i="6"/>
  <c r="W19" i="6"/>
  <c r="X19" i="6"/>
  <c r="D75" i="2"/>
  <c r="E75" i="2"/>
  <c r="G4" i="6"/>
  <c r="E31" i="26"/>
  <c r="D30" i="26"/>
  <c r="D31" i="26" s="1"/>
  <c r="E34" i="26"/>
  <c r="D33" i="26"/>
  <c r="D34" i="26" s="1"/>
  <c r="D4" i="7"/>
  <c r="D5" i="7"/>
  <c r="D26" i="7"/>
  <c r="D28" i="7" s="1"/>
  <c r="C64" i="5"/>
  <c r="B21" i="6" s="1"/>
  <c r="AW13" i="6"/>
  <c r="H13" i="6"/>
  <c r="AV13" i="6" s="1"/>
  <c r="AW25" i="6"/>
  <c r="S25" i="6"/>
  <c r="O25" i="6"/>
  <c r="C20" i="5"/>
  <c r="D34" i="5"/>
  <c r="C65" i="5"/>
  <c r="AW11" i="8"/>
  <c r="AW21" i="6"/>
  <c r="C74" i="7"/>
  <c r="D43" i="7"/>
  <c r="AW11" i="6"/>
  <c r="U24" i="6"/>
  <c r="Y24" i="6"/>
  <c r="C73" i="7"/>
  <c r="V24" i="6"/>
  <c r="C28" i="7"/>
  <c r="J17" i="8"/>
  <c r="AV19" i="8"/>
  <c r="M25" i="8"/>
  <c r="C75" i="5"/>
  <c r="J17" i="6"/>
  <c r="AV19" i="6"/>
  <c r="D23" i="6"/>
  <c r="S24" i="6"/>
  <c r="W24" i="6"/>
  <c r="AW24" i="6"/>
  <c r="M25" i="6"/>
  <c r="Q25" i="6"/>
  <c r="H13" i="8"/>
  <c r="AV13" i="8" s="1"/>
  <c r="AX13" i="8" s="1"/>
  <c r="N25" i="8"/>
  <c r="N17" i="6"/>
  <c r="AW17" i="8"/>
  <c r="N17" i="8"/>
  <c r="L17" i="8"/>
  <c r="D23" i="8"/>
  <c r="AW23" i="8"/>
  <c r="C23" i="8"/>
  <c r="AW24" i="8"/>
  <c r="AW25" i="8"/>
  <c r="T25" i="8"/>
  <c r="P25" i="8"/>
  <c r="L25" i="8"/>
  <c r="S25" i="8"/>
  <c r="O25" i="8"/>
  <c r="K25" i="8"/>
  <c r="R25" i="8"/>
  <c r="B21" i="5"/>
  <c r="H17" i="6"/>
  <c r="P17" i="6"/>
  <c r="AW19" i="6"/>
  <c r="AX19" i="6" s="1"/>
  <c r="AW23" i="6"/>
  <c r="R24" i="6"/>
  <c r="P25" i="6"/>
  <c r="T25" i="6"/>
  <c r="K23" i="8"/>
  <c r="U25" i="8"/>
  <c r="C31" i="5"/>
  <c r="C46" i="5"/>
  <c r="L17" i="6"/>
  <c r="T24" i="6"/>
  <c r="N25" i="6"/>
  <c r="R25" i="6"/>
  <c r="R17" i="8"/>
  <c r="AW19" i="8"/>
  <c r="Q25" i="8"/>
  <c r="E45" i="2" l="1"/>
  <c r="D11" i="7" s="1"/>
  <c r="F54" i="26"/>
  <c r="E35" i="2"/>
  <c r="D9" i="7" s="1"/>
  <c r="F52" i="26"/>
  <c r="E30" i="2"/>
  <c r="D8" i="7" s="1"/>
  <c r="F51" i="26"/>
  <c r="E40" i="2"/>
  <c r="D10" i="7" s="1"/>
  <c r="F53" i="26"/>
  <c r="C60" i="7"/>
  <c r="B8" i="8" s="1"/>
  <c r="C51" i="5"/>
  <c r="B8" i="6" s="1"/>
  <c r="E47" i="25"/>
  <c r="F47" i="25" s="1"/>
  <c r="E43" i="25"/>
  <c r="F43" i="25" s="1"/>
  <c r="C52" i="5" s="1"/>
  <c r="B9" i="6" s="1"/>
  <c r="D28" i="2"/>
  <c r="D33" i="2"/>
  <c r="D11" i="2"/>
  <c r="D38" i="2"/>
  <c r="D16" i="2"/>
  <c r="D43" i="2"/>
  <c r="D21" i="2"/>
  <c r="E28" i="2"/>
  <c r="E6" i="2"/>
  <c r="E33" i="2"/>
  <c r="E11" i="2"/>
  <c r="E38" i="2"/>
  <c r="E16" i="2"/>
  <c r="E43" i="2"/>
  <c r="B11" i="7" s="1"/>
  <c r="E21" i="2"/>
  <c r="W21" i="6"/>
  <c r="X21" i="6"/>
  <c r="AV4" i="6"/>
  <c r="B4" i="6"/>
  <c r="D17" i="7"/>
  <c r="E17" i="7" s="1"/>
  <c r="E20" i="7" s="1"/>
  <c r="D42" i="7" s="1"/>
  <c r="C21" i="7"/>
  <c r="AX13" i="6"/>
  <c r="AV24" i="6"/>
  <c r="AX24" i="6" s="1"/>
  <c r="AV11" i="6"/>
  <c r="AX11" i="6" s="1"/>
  <c r="AV23" i="8"/>
  <c r="AV25" i="6"/>
  <c r="AX25" i="6" s="1"/>
  <c r="AV17" i="8"/>
  <c r="AV23" i="6"/>
  <c r="AX23" i="6" s="1"/>
  <c r="AV17" i="6"/>
  <c r="AX17" i="6" s="1"/>
  <c r="B22" i="6"/>
  <c r="Y22" i="6" s="1"/>
  <c r="AX19" i="8"/>
  <c r="AV25" i="8"/>
  <c r="AX25" i="8" s="1"/>
  <c r="AV24" i="8"/>
  <c r="AX24" i="8" s="1"/>
  <c r="AX23" i="8"/>
  <c r="AX17" i="8"/>
  <c r="B21" i="8"/>
  <c r="B22" i="8"/>
  <c r="AV11" i="8"/>
  <c r="AX11" i="8" s="1"/>
  <c r="C61" i="7" l="1"/>
  <c r="B9" i="8" s="1"/>
  <c r="T8" i="8"/>
  <c r="AV8" i="8" s="1"/>
  <c r="AW8" i="8"/>
  <c r="AX8" i="8" s="1"/>
  <c r="AW8" i="6"/>
  <c r="L8" i="6"/>
  <c r="AV8" i="6" s="1"/>
  <c r="B30" i="7"/>
  <c r="F39" i="26" s="1"/>
  <c r="B22" i="5"/>
  <c r="E39" i="26" s="1"/>
  <c r="M9" i="6"/>
  <c r="AV9" i="6" s="1"/>
  <c r="AW9" i="6"/>
  <c r="AX9" i="6" s="1"/>
  <c r="AW9" i="8"/>
  <c r="U9" i="8"/>
  <c r="AV9" i="8" s="1"/>
  <c r="AX9" i="8" s="1"/>
  <c r="I59" i="2"/>
  <c r="B89" i="7" s="1"/>
  <c r="Q21" i="26" s="1"/>
  <c r="H59" i="2"/>
  <c r="B80" i="5" s="1"/>
  <c r="P21" i="26" s="1"/>
  <c r="F18" i="26"/>
  <c r="B7" i="7"/>
  <c r="E7" i="7" s="1"/>
  <c r="E11" i="7"/>
  <c r="F24" i="26"/>
  <c r="F17" i="26"/>
  <c r="B6" i="7"/>
  <c r="E6" i="7" s="1"/>
  <c r="F23" i="26"/>
  <c r="B10" i="7"/>
  <c r="E10" i="7" s="1"/>
  <c r="F16" i="26"/>
  <c r="B5" i="7"/>
  <c r="E5" i="7" s="1"/>
  <c r="F22" i="26"/>
  <c r="B9" i="7"/>
  <c r="E9" i="7" s="1"/>
  <c r="F15" i="26"/>
  <c r="F19" i="26" s="1"/>
  <c r="B4" i="7"/>
  <c r="F21" i="26"/>
  <c r="F25" i="26" s="1"/>
  <c r="B8" i="7"/>
  <c r="E8" i="7" s="1"/>
  <c r="E18" i="26"/>
  <c r="D18" i="26" s="1"/>
  <c r="B8" i="5"/>
  <c r="E8" i="5" s="1"/>
  <c r="E24" i="26"/>
  <c r="D24" i="26" s="1"/>
  <c r="B12" i="5"/>
  <c r="E12" i="5" s="1"/>
  <c r="E17" i="26"/>
  <c r="D17" i="26" s="1"/>
  <c r="B7" i="5"/>
  <c r="E7" i="5" s="1"/>
  <c r="E23" i="26"/>
  <c r="D23" i="26" s="1"/>
  <c r="B11" i="5"/>
  <c r="E11" i="5" s="1"/>
  <c r="E16" i="26"/>
  <c r="D16" i="26" s="1"/>
  <c r="B6" i="5"/>
  <c r="E6" i="5" s="1"/>
  <c r="E22" i="26"/>
  <c r="D22" i="26" s="1"/>
  <c r="B10" i="5"/>
  <c r="E10" i="5" s="1"/>
  <c r="E15" i="26"/>
  <c r="B5" i="5"/>
  <c r="E21" i="26"/>
  <c r="B9" i="5"/>
  <c r="E9" i="5" s="1"/>
  <c r="AW22" i="8"/>
  <c r="AG22" i="8"/>
  <c r="AV22" i="8" s="1"/>
  <c r="AW21" i="8"/>
  <c r="AE21" i="8"/>
  <c r="AF21" i="8"/>
  <c r="AV21" i="6"/>
  <c r="AX21" i="6" s="1"/>
  <c r="AV22" i="6"/>
  <c r="AW22" i="6"/>
  <c r="AX22" i="6" s="1"/>
  <c r="D39" i="26" l="1"/>
  <c r="D41" i="26" s="1"/>
  <c r="O21" i="26"/>
  <c r="AX8" i="6"/>
  <c r="D46" i="7"/>
  <c r="B32" i="7"/>
  <c r="C58" i="7" s="1"/>
  <c r="B6" i="8" s="1"/>
  <c r="D37" i="5"/>
  <c r="B24" i="5"/>
  <c r="C49" i="5" s="1"/>
  <c r="B6" i="6" s="1"/>
  <c r="C13" i="5"/>
  <c r="C12" i="7"/>
  <c r="E25" i="26"/>
  <c r="D21" i="26"/>
  <c r="D25" i="26" s="1"/>
  <c r="B13" i="5"/>
  <c r="E5" i="5"/>
  <c r="E13" i="5" s="1"/>
  <c r="D15" i="26"/>
  <c r="D19" i="26" s="1"/>
  <c r="E19" i="26"/>
  <c r="B12" i="7"/>
  <c r="F7" i="27" s="1"/>
  <c r="E4" i="7"/>
  <c r="E12" i="7" s="1"/>
  <c r="AV21" i="8"/>
  <c r="AX21" i="8"/>
  <c r="AX22" i="8"/>
  <c r="D54" i="5" l="1"/>
  <c r="F6" i="27"/>
  <c r="F8" i="27" s="1"/>
  <c r="C57" i="7"/>
  <c r="Q30" i="26" s="1"/>
  <c r="C92" i="7"/>
  <c r="C91" i="7"/>
  <c r="C81" i="5"/>
  <c r="C48" i="5"/>
  <c r="P30" i="26" s="1"/>
  <c r="U6" i="8"/>
  <c r="Q6" i="8"/>
  <c r="M6" i="8"/>
  <c r="I6" i="8"/>
  <c r="E6" i="8"/>
  <c r="X6" i="8"/>
  <c r="T6" i="8"/>
  <c r="P6" i="8"/>
  <c r="L6" i="8"/>
  <c r="H6" i="8"/>
  <c r="D6" i="8"/>
  <c r="AW6" i="8"/>
  <c r="R6" i="8"/>
  <c r="J6" i="8"/>
  <c r="V6" i="8"/>
  <c r="F6" i="8"/>
  <c r="S6" i="8"/>
  <c r="C6" i="8"/>
  <c r="W6" i="8"/>
  <c r="O6" i="8"/>
  <c r="G6" i="8"/>
  <c r="N6" i="8"/>
  <c r="K6" i="8"/>
  <c r="Y6" i="8"/>
  <c r="Z6" i="8"/>
  <c r="AA6" i="8"/>
  <c r="AB6" i="8"/>
  <c r="AC6" i="8"/>
  <c r="AD6" i="8"/>
  <c r="AE6" i="8"/>
  <c r="AF6" i="8"/>
  <c r="AG6" i="8"/>
  <c r="AH6" i="8"/>
  <c r="C90" i="7"/>
  <c r="C89" i="7"/>
  <c r="C80" i="5"/>
  <c r="V6" i="6"/>
  <c r="R6" i="6"/>
  <c r="N6" i="6"/>
  <c r="J6" i="6"/>
  <c r="F6" i="6"/>
  <c r="T6" i="6"/>
  <c r="L6" i="6"/>
  <c r="H6" i="6"/>
  <c r="S6" i="6"/>
  <c r="O6" i="6"/>
  <c r="K6" i="6"/>
  <c r="C6" i="6"/>
  <c r="U6" i="6"/>
  <c r="Q6" i="6"/>
  <c r="M6" i="6"/>
  <c r="I6" i="6"/>
  <c r="E6" i="6"/>
  <c r="AW6" i="6"/>
  <c r="P6" i="6"/>
  <c r="D6" i="6"/>
  <c r="G6" i="6"/>
  <c r="W6" i="6"/>
  <c r="X6" i="6"/>
  <c r="Y6" i="6"/>
  <c r="Z6" i="6"/>
  <c r="D41" i="7"/>
  <c r="D77" i="7"/>
  <c r="D71" i="7"/>
  <c r="D61" i="7"/>
  <c r="D63" i="7"/>
  <c r="C70" i="7"/>
  <c r="D65" i="7"/>
  <c r="D76" i="7"/>
  <c r="D69" i="7"/>
  <c r="D64" i="7"/>
  <c r="C62" i="7"/>
  <c r="D60" i="7"/>
  <c r="D75" i="7"/>
  <c r="D58" i="7"/>
  <c r="D73" i="7"/>
  <c r="D74" i="7"/>
  <c r="C14" i="5"/>
  <c r="C37" i="5"/>
  <c r="D14" i="5"/>
  <c r="D33" i="5"/>
  <c r="D68" i="5"/>
  <c r="D64" i="5"/>
  <c r="D62" i="5"/>
  <c r="D52" i="5"/>
  <c r="C53" i="5"/>
  <c r="D55" i="5"/>
  <c r="D60" i="5"/>
  <c r="D56" i="5"/>
  <c r="C61" i="5"/>
  <c r="D49" i="5"/>
  <c r="D67" i="5"/>
  <c r="D66" i="5"/>
  <c r="D65" i="5"/>
  <c r="O30" i="26" l="1"/>
  <c r="AV6" i="8"/>
  <c r="AX6" i="8" s="1"/>
  <c r="AV6" i="6"/>
  <c r="AX6" i="6" s="1"/>
  <c r="D61" i="5"/>
  <c r="B18" i="6"/>
  <c r="B10" i="6"/>
  <c r="D53" i="5"/>
  <c r="D35" i="5"/>
  <c r="B33" i="5"/>
  <c r="C33" i="5"/>
  <c r="B5" i="6"/>
  <c r="C50" i="5"/>
  <c r="C57" i="5" s="1"/>
  <c r="D48" i="5"/>
  <c r="D62" i="7"/>
  <c r="B10" i="8"/>
  <c r="B18" i="8"/>
  <c r="D70" i="7"/>
  <c r="D44" i="7"/>
  <c r="B41" i="7"/>
  <c r="C59" i="5" l="1"/>
  <c r="P31" i="26" s="1"/>
  <c r="D47" i="7"/>
  <c r="D49" i="7"/>
  <c r="D38" i="5"/>
  <c r="B38" i="5" s="1"/>
  <c r="D52" i="7"/>
  <c r="L18" i="8"/>
  <c r="V18" i="8" s="1"/>
  <c r="AW18" i="8"/>
  <c r="U10" i="8"/>
  <c r="AV10" i="8" s="1"/>
  <c r="AW10" i="8"/>
  <c r="D57" i="5"/>
  <c r="B14" i="6"/>
  <c r="D50" i="5"/>
  <c r="B7" i="6"/>
  <c r="C7" i="6" s="1"/>
  <c r="C58" i="5"/>
  <c r="P34" i="26" s="1"/>
  <c r="V5" i="6"/>
  <c r="W5" i="6"/>
  <c r="X5" i="6"/>
  <c r="Y5" i="6"/>
  <c r="Z5" i="6"/>
  <c r="S5" i="6"/>
  <c r="O5" i="6"/>
  <c r="K5" i="6"/>
  <c r="G5" i="6"/>
  <c r="C5" i="6"/>
  <c r="Q5" i="6"/>
  <c r="I5" i="6"/>
  <c r="T5" i="6"/>
  <c r="L5" i="6"/>
  <c r="H5" i="6"/>
  <c r="R5" i="6"/>
  <c r="N5" i="6"/>
  <c r="J5" i="6"/>
  <c r="F5" i="6"/>
  <c r="U5" i="6"/>
  <c r="M5" i="6"/>
  <c r="E5" i="6"/>
  <c r="AW5" i="6"/>
  <c r="P5" i="6"/>
  <c r="D5" i="6"/>
  <c r="D43" i="5"/>
  <c r="D40" i="5"/>
  <c r="AW10" i="6"/>
  <c r="M10" i="6"/>
  <c r="AV10" i="6" s="1"/>
  <c r="L18" i="6"/>
  <c r="AW18" i="6"/>
  <c r="B16" i="6" l="1"/>
  <c r="C16" i="6" s="1"/>
  <c r="D59" i="5"/>
  <c r="AX10" i="8"/>
  <c r="V18" i="6"/>
  <c r="AX10" i="6"/>
  <c r="C38" i="5"/>
  <c r="D39" i="5"/>
  <c r="D41" i="5" s="1"/>
  <c r="C63" i="5"/>
  <c r="B43" i="5"/>
  <c r="C43" i="5"/>
  <c r="AV5" i="6"/>
  <c r="AX5" i="6" s="1"/>
  <c r="B15" i="6"/>
  <c r="C15" i="6" s="1"/>
  <c r="C26" i="6" s="1"/>
  <c r="D58" i="5"/>
  <c r="W7" i="6"/>
  <c r="X7" i="6"/>
  <c r="Y7" i="6"/>
  <c r="Z7" i="6"/>
  <c r="U7" i="6"/>
  <c r="Q7" i="6"/>
  <c r="M7" i="6"/>
  <c r="I7" i="6"/>
  <c r="E7" i="6"/>
  <c r="K7" i="6"/>
  <c r="V7" i="6"/>
  <c r="R7" i="6"/>
  <c r="N7" i="6"/>
  <c r="J7" i="6"/>
  <c r="J26" i="6" s="1"/>
  <c r="AW7" i="6"/>
  <c r="T7" i="6"/>
  <c r="P7" i="6"/>
  <c r="L7" i="6"/>
  <c r="H7" i="6"/>
  <c r="D7" i="6"/>
  <c r="S7" i="6"/>
  <c r="O7" i="6"/>
  <c r="G7" i="6"/>
  <c r="F7" i="6"/>
  <c r="S14" i="6"/>
  <c r="O14" i="6"/>
  <c r="K14" i="6"/>
  <c r="G14" i="6"/>
  <c r="AW14" i="6"/>
  <c r="M14" i="6"/>
  <c r="E14" i="6"/>
  <c r="P14" i="6"/>
  <c r="L14" i="6"/>
  <c r="H14" i="6"/>
  <c r="R14" i="6"/>
  <c r="N14" i="6"/>
  <c r="J14" i="6"/>
  <c r="F14" i="6"/>
  <c r="Q14" i="6"/>
  <c r="I14" i="6"/>
  <c r="U16" i="6"/>
  <c r="V16" i="6"/>
  <c r="W16" i="6"/>
  <c r="X16" i="6"/>
  <c r="T16" i="6"/>
  <c r="P16" i="6"/>
  <c r="G16" i="6"/>
  <c r="AW16" i="6"/>
  <c r="R16" i="6"/>
  <c r="Q16" i="6"/>
  <c r="D16" i="6"/>
  <c r="S16" i="6"/>
  <c r="O16" i="6"/>
  <c r="F16" i="6"/>
  <c r="N16" i="6"/>
  <c r="E16" i="6"/>
  <c r="M16" i="6"/>
  <c r="AV18" i="8"/>
  <c r="AX18" i="8" s="1"/>
  <c r="B47" i="7"/>
  <c r="D48" i="7"/>
  <c r="D50" i="7" s="1"/>
  <c r="C72" i="7"/>
  <c r="B52" i="7"/>
  <c r="H26" i="6" l="1"/>
  <c r="C69" i="5"/>
  <c r="J6" i="27" s="1"/>
  <c r="P33" i="26"/>
  <c r="H60" i="2"/>
  <c r="H72" i="2" s="1"/>
  <c r="A82" i="5" s="1"/>
  <c r="B82" i="5" s="1"/>
  <c r="P25" i="26" s="1"/>
  <c r="H64" i="2"/>
  <c r="J42" i="6"/>
  <c r="H42" i="6"/>
  <c r="C29" i="6"/>
  <c r="C37" i="6" s="1"/>
  <c r="C42" i="6"/>
  <c r="D72" i="7"/>
  <c r="B20" i="8"/>
  <c r="D53" i="7"/>
  <c r="B50" i="7"/>
  <c r="AV16" i="6"/>
  <c r="AX16" i="6" s="1"/>
  <c r="AV14" i="6"/>
  <c r="AX14" i="6" s="1"/>
  <c r="L26" i="6"/>
  <c r="AV7" i="6"/>
  <c r="AX7" i="6" s="1"/>
  <c r="K26" i="6"/>
  <c r="I26" i="6"/>
  <c r="P7" i="26"/>
  <c r="B79" i="5"/>
  <c r="P20" i="26" s="1"/>
  <c r="D69" i="5"/>
  <c r="U15" i="6"/>
  <c r="V15" i="6"/>
  <c r="V26" i="6" s="1"/>
  <c r="W15" i="6"/>
  <c r="X15" i="6"/>
  <c r="AW15" i="6"/>
  <c r="R15" i="6"/>
  <c r="R26" i="6" s="1"/>
  <c r="N15" i="6"/>
  <c r="N26" i="6" s="1"/>
  <c r="E15" i="6"/>
  <c r="G15" i="6"/>
  <c r="S15" i="6"/>
  <c r="S26" i="6" s="1"/>
  <c r="Q15" i="6"/>
  <c r="Q26" i="6" s="1"/>
  <c r="M15" i="6"/>
  <c r="M26" i="6" s="1"/>
  <c r="D15" i="6"/>
  <c r="D26" i="6" s="1"/>
  <c r="T15" i="6"/>
  <c r="T26" i="6" s="1"/>
  <c r="P15" i="6"/>
  <c r="P26" i="6" s="1"/>
  <c r="O15" i="6"/>
  <c r="O26" i="6" s="1"/>
  <c r="F15" i="6"/>
  <c r="D63" i="5"/>
  <c r="B20" i="6"/>
  <c r="B26" i="6" s="1"/>
  <c r="C41" i="5"/>
  <c r="D44" i="5"/>
  <c r="B41" i="5"/>
  <c r="W18" i="6"/>
  <c r="W26" i="6"/>
  <c r="X18" i="6" l="1"/>
  <c r="P26" i="26"/>
  <c r="P35" i="26"/>
  <c r="B83" i="5"/>
  <c r="B30" i="6"/>
  <c r="C82" i="5"/>
  <c r="C79" i="5"/>
  <c r="C83" i="5"/>
  <c r="V42" i="6"/>
  <c r="W42" i="6"/>
  <c r="O42" i="6"/>
  <c r="P42" i="6"/>
  <c r="T42" i="6"/>
  <c r="D42" i="6"/>
  <c r="M42" i="6"/>
  <c r="Q42" i="6"/>
  <c r="S42" i="6"/>
  <c r="N42" i="6"/>
  <c r="R42" i="6"/>
  <c r="I42" i="6"/>
  <c r="K42" i="6"/>
  <c r="L42" i="6"/>
  <c r="B102" i="5"/>
  <c r="F26" i="6"/>
  <c r="G26" i="6"/>
  <c r="E26" i="6"/>
  <c r="B44" i="5"/>
  <c r="B70" i="5"/>
  <c r="P9" i="26" s="1"/>
  <c r="D45" i="5"/>
  <c r="I6" i="27" s="1"/>
  <c r="AW20" i="6"/>
  <c r="Z20" i="6"/>
  <c r="Y20" i="6"/>
  <c r="AV15" i="6"/>
  <c r="AX15" i="6" s="1"/>
  <c r="AW26" i="6"/>
  <c r="B91" i="5"/>
  <c r="B90" i="5"/>
  <c r="B31" i="6"/>
  <c r="B32" i="6" s="1"/>
  <c r="B53" i="7"/>
  <c r="D54" i="7"/>
  <c r="I7" i="27" s="1"/>
  <c r="AH20" i="8"/>
  <c r="AG20" i="8"/>
  <c r="AW20" i="8"/>
  <c r="U26" i="6"/>
  <c r="I8" i="27" l="1"/>
  <c r="Y18" i="6"/>
  <c r="X26" i="6"/>
  <c r="X42" i="6" s="1"/>
  <c r="AV20" i="6"/>
  <c r="AX20" i="6" s="1"/>
  <c r="U42" i="6"/>
  <c r="E42" i="6"/>
  <c r="G42" i="6"/>
  <c r="F42" i="6"/>
  <c r="AV20" i="8"/>
  <c r="Q8" i="26"/>
  <c r="B98" i="7"/>
  <c r="B81" i="7"/>
  <c r="P8" i="26"/>
  <c r="B71" i="5"/>
  <c r="B73" i="5"/>
  <c r="B87" i="5"/>
  <c r="B72" i="5"/>
  <c r="Z18" i="6" l="1"/>
  <c r="Z26" i="6" s="1"/>
  <c r="Y26" i="6"/>
  <c r="Y42" i="6" s="1"/>
  <c r="B88" i="5"/>
  <c r="B89" i="5" s="1"/>
  <c r="B36" i="6" s="1"/>
  <c r="Z37" i="6" s="1"/>
  <c r="B94" i="5"/>
  <c r="B77" i="5"/>
  <c r="C30" i="6"/>
  <c r="D29" i="6" s="1"/>
  <c r="D37" i="6" s="1"/>
  <c r="B105" i="7"/>
  <c r="B99" i="7"/>
  <c r="B100" i="7" s="1"/>
  <c r="O8" i="26"/>
  <c r="AX20" i="8"/>
  <c r="AV18" i="6" l="1"/>
  <c r="B78" i="5"/>
  <c r="C78" i="5" s="1"/>
  <c r="C77" i="5"/>
  <c r="B106" i="7"/>
  <c r="D30" i="6"/>
  <c r="B27" i="6"/>
  <c r="B95" i="5"/>
  <c r="B92" i="5"/>
  <c r="AX18" i="6" l="1"/>
  <c r="AV26" i="6"/>
  <c r="B28" i="6"/>
  <c r="B41" i="6"/>
  <c r="Z42" i="6" s="1"/>
  <c r="B99" i="5"/>
  <c r="P14" i="26" s="1"/>
  <c r="E29" i="6"/>
  <c r="E30" i="6"/>
  <c r="F29" i="6" s="1"/>
  <c r="F30" i="6" s="1"/>
  <c r="G29" i="6" s="1"/>
  <c r="B42" i="6" l="1"/>
  <c r="G37" i="6"/>
  <c r="F37" i="6"/>
  <c r="E37" i="6"/>
  <c r="G30" i="6"/>
  <c r="H29" i="6" s="1"/>
  <c r="H30" i="6" s="1"/>
  <c r="B43" i="6" l="1"/>
  <c r="B44" i="6" s="1"/>
  <c r="B101" i="5" s="1"/>
  <c r="P12" i="26" s="1"/>
  <c r="H37" i="6"/>
  <c r="I29" i="6"/>
  <c r="I30" i="6"/>
  <c r="J29" i="6" s="1"/>
  <c r="J37" i="6" l="1"/>
  <c r="I37" i="6"/>
  <c r="J30" i="6"/>
  <c r="K29" i="6" s="1"/>
  <c r="K37" i="6" l="1"/>
  <c r="K30" i="6"/>
  <c r="L29" i="6" s="1"/>
  <c r="L37" i="6" l="1"/>
  <c r="L30" i="6"/>
  <c r="M29" i="6" s="1"/>
  <c r="M37" i="6" l="1"/>
  <c r="M30" i="6"/>
  <c r="N29" i="6" s="1"/>
  <c r="N37" i="6" l="1"/>
  <c r="N30" i="6"/>
  <c r="O29" i="6" s="1"/>
  <c r="O37" i="6" l="1"/>
  <c r="O30" i="6"/>
  <c r="P29" i="6" s="1"/>
  <c r="P37" i="6" s="1"/>
  <c r="B29" i="6" l="1"/>
  <c r="P30" i="6"/>
  <c r="Q29" i="6" s="1"/>
  <c r="Q37" i="6" l="1"/>
  <c r="Q30" i="6"/>
  <c r="R29" i="6" s="1"/>
  <c r="R37" i="6" l="1"/>
  <c r="R30" i="6"/>
  <c r="S29" i="6" s="1"/>
  <c r="S37" i="6" l="1"/>
  <c r="S30" i="6"/>
  <c r="T29" i="6" s="1"/>
  <c r="T37" i="6" l="1"/>
  <c r="T30" i="6"/>
  <c r="U29" i="6" s="1"/>
  <c r="U37" i="6" l="1"/>
  <c r="U30" i="6"/>
  <c r="V29" i="6" s="1"/>
  <c r="V37" i="6" l="1"/>
  <c r="B38" i="6" s="1"/>
  <c r="B39" i="6" s="1"/>
  <c r="B100" i="5" l="1"/>
  <c r="B37" i="6"/>
  <c r="D9" i="2" l="1"/>
  <c r="E46" i="26" s="1"/>
  <c r="D14" i="2"/>
  <c r="E47" i="26" s="1"/>
  <c r="D19" i="2"/>
  <c r="E48" i="26" s="1"/>
  <c r="D24" i="2" l="1"/>
  <c r="E49" i="26" s="1"/>
  <c r="E24" i="2"/>
  <c r="F49" i="26" s="1"/>
  <c r="D57" i="7"/>
  <c r="C50" i="7"/>
  <c r="C52" i="7"/>
  <c r="C47" i="7"/>
  <c r="C41" i="7"/>
  <c r="C13" i="7"/>
  <c r="C46" i="7"/>
  <c r="D13" i="7"/>
  <c r="B5" i="8" l="1"/>
  <c r="C59" i="7"/>
  <c r="Q33" i="26" s="1"/>
  <c r="O33" i="26" s="1"/>
  <c r="C66" i="7"/>
  <c r="C68" i="7" l="1"/>
  <c r="Q31" i="26" s="1"/>
  <c r="C67" i="7"/>
  <c r="Q34" i="26" s="1"/>
  <c r="O34" i="26" s="1"/>
  <c r="D67" i="7"/>
  <c r="B14" i="8"/>
  <c r="D66" i="7"/>
  <c r="B16" i="8"/>
  <c r="D68" i="7"/>
  <c r="B7" i="8"/>
  <c r="D59" i="7"/>
  <c r="AH5" i="8"/>
  <c r="X5" i="8"/>
  <c r="V5" i="8"/>
  <c r="U5" i="8"/>
  <c r="AG5" i="8"/>
  <c r="AW5" i="8"/>
  <c r="E5" i="8"/>
  <c r="C5" i="8"/>
  <c r="L5" i="8"/>
  <c r="K5" i="8"/>
  <c r="I5" i="8"/>
  <c r="R5" i="8"/>
  <c r="N5" i="8"/>
  <c r="G5" i="8"/>
  <c r="Q5" i="8"/>
  <c r="M5" i="8"/>
  <c r="D5" i="8"/>
  <c r="T5" i="8"/>
  <c r="P5" i="8"/>
  <c r="O5" i="8"/>
  <c r="F5" i="8"/>
  <c r="W5" i="8"/>
  <c r="S5" i="8"/>
  <c r="J5" i="8"/>
  <c r="AF5" i="8"/>
  <c r="AE5" i="8"/>
  <c r="AD5" i="8"/>
  <c r="AC5" i="8"/>
  <c r="AB5" i="8"/>
  <c r="AA5" i="8"/>
  <c r="Z5" i="8"/>
  <c r="Y5" i="8"/>
  <c r="H5" i="8"/>
  <c r="O31" i="26" l="1"/>
  <c r="Q35" i="26"/>
  <c r="O35" i="26" s="1"/>
  <c r="N33" i="26" s="1"/>
  <c r="B15" i="8"/>
  <c r="B26" i="8" s="1"/>
  <c r="C78" i="7"/>
  <c r="I70" i="2" s="1"/>
  <c r="AV5" i="8"/>
  <c r="AX5" i="8"/>
  <c r="AW7" i="8"/>
  <c r="C7" i="8"/>
  <c r="G7" i="8"/>
  <c r="W7" i="8"/>
  <c r="H7" i="8"/>
  <c r="X7" i="8"/>
  <c r="K7" i="8"/>
  <c r="S7" i="8"/>
  <c r="O7" i="8"/>
  <c r="P7" i="8"/>
  <c r="D7" i="8"/>
  <c r="L7" i="8"/>
  <c r="T7" i="8"/>
  <c r="T26" i="8" s="1"/>
  <c r="T41" i="8" s="1"/>
  <c r="T8" i="21" s="1"/>
  <c r="E7" i="8"/>
  <c r="I7" i="8"/>
  <c r="M7" i="8"/>
  <c r="Q7" i="8"/>
  <c r="U7" i="8"/>
  <c r="F7" i="8"/>
  <c r="J7" i="8"/>
  <c r="N7" i="8"/>
  <c r="R7" i="8"/>
  <c r="V7" i="8"/>
  <c r="AH7" i="8"/>
  <c r="AH26" i="8" s="1"/>
  <c r="AG7" i="8"/>
  <c r="AG26" i="8" s="1"/>
  <c r="AF7" i="8"/>
  <c r="AE7" i="8"/>
  <c r="AD7" i="8"/>
  <c r="AC7" i="8"/>
  <c r="AB7" i="8"/>
  <c r="AA7" i="8"/>
  <c r="Z7" i="8"/>
  <c r="Y7" i="8"/>
  <c r="AW16" i="8"/>
  <c r="C16" i="8"/>
  <c r="D16" i="8"/>
  <c r="E16" i="8"/>
  <c r="F16" i="8"/>
  <c r="U16" i="8"/>
  <c r="G16" i="8"/>
  <c r="V16" i="8"/>
  <c r="AF16" i="8"/>
  <c r="AE16" i="8"/>
  <c r="AD16" i="8"/>
  <c r="AC16" i="8"/>
  <c r="AB16" i="8"/>
  <c r="AA16" i="8"/>
  <c r="Z16" i="8"/>
  <c r="Y16" i="8"/>
  <c r="X16" i="8"/>
  <c r="W16" i="8"/>
  <c r="AW14" i="8"/>
  <c r="E14" i="8"/>
  <c r="K14" i="8"/>
  <c r="F14" i="8"/>
  <c r="G14" i="8"/>
  <c r="O14" i="8"/>
  <c r="S14" i="8"/>
  <c r="N14" i="8"/>
  <c r="J14" i="8"/>
  <c r="R14" i="8"/>
  <c r="H14" i="8"/>
  <c r="L14" i="8"/>
  <c r="P14" i="8"/>
  <c r="I14" i="8"/>
  <c r="M14" i="8"/>
  <c r="Q14" i="8"/>
  <c r="Z15" i="8"/>
  <c r="AD15" i="8" l="1"/>
  <c r="N30" i="26"/>
  <c r="Q7" i="26"/>
  <c r="O7" i="26" s="1"/>
  <c r="B82" i="7"/>
  <c r="B86" i="7" s="1"/>
  <c r="C86" i="7" s="1"/>
  <c r="N29" i="26"/>
  <c r="B88" i="7"/>
  <c r="B101" i="7" s="1"/>
  <c r="I60" i="2"/>
  <c r="B80" i="7"/>
  <c r="D78" i="7"/>
  <c r="U15" i="8"/>
  <c r="U26" i="8" s="1"/>
  <c r="U41" i="8" s="1"/>
  <c r="U8" i="21" s="1"/>
  <c r="AW15" i="8"/>
  <c r="B79" i="7"/>
  <c r="Q9" i="26" s="1"/>
  <c r="O9" i="26" s="1"/>
  <c r="W15" i="8"/>
  <c r="W26" i="8" s="1"/>
  <c r="W41" i="8" s="1"/>
  <c r="W8" i="21" s="1"/>
  <c r="AE15" i="8"/>
  <c r="AE26" i="8" s="1"/>
  <c r="X15" i="8"/>
  <c r="AB15" i="8"/>
  <c r="AF15" i="8"/>
  <c r="AF26" i="8" s="1"/>
  <c r="G15" i="8"/>
  <c r="G26" i="8" s="1"/>
  <c r="G41" i="8" s="1"/>
  <c r="G8" i="21" s="1"/>
  <c r="N32" i="26"/>
  <c r="N31" i="26"/>
  <c r="AA15" i="8"/>
  <c r="AA26" i="8" s="1"/>
  <c r="V15" i="8"/>
  <c r="V26" i="8" s="1"/>
  <c r="V41" i="8" s="1"/>
  <c r="V8" i="21" s="1"/>
  <c r="Y15" i="8"/>
  <c r="Y26" i="8" s="1"/>
  <c r="AC15" i="8"/>
  <c r="AC26" i="8" s="1"/>
  <c r="F15" i="8"/>
  <c r="F26" i="8" s="1"/>
  <c r="F41" i="8" s="1"/>
  <c r="F8" i="21" s="1"/>
  <c r="E15" i="8"/>
  <c r="E26" i="8" s="1"/>
  <c r="E41" i="8" s="1"/>
  <c r="E8" i="21" s="1"/>
  <c r="N34" i="26"/>
  <c r="J7" i="27"/>
  <c r="J8" i="27" s="1"/>
  <c r="I64" i="2"/>
  <c r="I67" i="2"/>
  <c r="AV14" i="8"/>
  <c r="AX14" i="8" s="1"/>
  <c r="AV16" i="8"/>
  <c r="AX16" i="8" s="1"/>
  <c r="Z26" i="8"/>
  <c r="AD26" i="8"/>
  <c r="R26" i="8"/>
  <c r="R41" i="8" s="1"/>
  <c r="R8" i="21" s="1"/>
  <c r="N26" i="8"/>
  <c r="N41" i="8" s="1"/>
  <c r="N8" i="21" s="1"/>
  <c r="J26" i="8"/>
  <c r="J41" i="8" s="1"/>
  <c r="J8" i="21" s="1"/>
  <c r="Q26" i="8"/>
  <c r="Q41" i="8" s="1"/>
  <c r="Q8" i="21" s="1"/>
  <c r="M26" i="8"/>
  <c r="M41" i="8" s="1"/>
  <c r="M8" i="21" s="1"/>
  <c r="I26" i="8"/>
  <c r="I41" i="8" s="1"/>
  <c r="I8" i="21" s="1"/>
  <c r="L26" i="8"/>
  <c r="L41" i="8" s="1"/>
  <c r="L8" i="21" s="1"/>
  <c r="D26" i="8"/>
  <c r="D41" i="8" s="1"/>
  <c r="D8" i="21" s="1"/>
  <c r="P26" i="8"/>
  <c r="P41" i="8" s="1"/>
  <c r="P8" i="21" s="1"/>
  <c r="O26" i="8"/>
  <c r="O41" i="8" s="1"/>
  <c r="O8" i="21" s="1"/>
  <c r="S26" i="8"/>
  <c r="S41" i="8" s="1"/>
  <c r="S8" i="21" s="1"/>
  <c r="K26" i="8"/>
  <c r="K41" i="8" s="1"/>
  <c r="K8" i="21" s="1"/>
  <c r="X26" i="8"/>
  <c r="X41" i="8" s="1"/>
  <c r="X8" i="21" s="1"/>
  <c r="H26" i="8"/>
  <c r="H41" i="8" s="1"/>
  <c r="H8" i="21" s="1"/>
  <c r="AV7" i="8"/>
  <c r="AX7" i="8" s="1"/>
  <c r="C26" i="8"/>
  <c r="AW26" i="8"/>
  <c r="B31" i="8"/>
  <c r="B32" i="8" s="1"/>
  <c r="B113" i="7" l="1"/>
  <c r="I72" i="2"/>
  <c r="A93" i="7" s="1"/>
  <c r="B93" i="7" s="1"/>
  <c r="B94" i="7" s="1"/>
  <c r="C94" i="7" s="1"/>
  <c r="AV15" i="8"/>
  <c r="AX15" i="8" s="1"/>
  <c r="Q20" i="26"/>
  <c r="O20" i="26" s="1"/>
  <c r="C88" i="7"/>
  <c r="AB26" i="8"/>
  <c r="C93" i="7"/>
  <c r="B27" i="8"/>
  <c r="B87" i="7"/>
  <c r="C87" i="7" s="1"/>
  <c r="B35" i="8"/>
  <c r="AH36" i="8" s="1"/>
  <c r="AH4" i="21" s="1"/>
  <c r="C41" i="8"/>
  <c r="C8" i="21" s="1"/>
  <c r="C29" i="8"/>
  <c r="B30" i="8" l="1"/>
  <c r="AM41" i="8"/>
  <c r="AM8" i="21" s="1"/>
  <c r="Q25" i="26"/>
  <c r="O25" i="26" s="1"/>
  <c r="B102" i="7"/>
  <c r="B103" i="7" s="1"/>
  <c r="B110" i="7" s="1"/>
  <c r="Q14" i="26" s="1"/>
  <c r="AR41" i="8"/>
  <c r="AR8" i="21" s="1"/>
  <c r="AQ41" i="8"/>
  <c r="AQ8" i="21" s="1"/>
  <c r="AL41" i="8"/>
  <c r="AL8" i="21" s="1"/>
  <c r="AI41" i="8"/>
  <c r="AI8" i="21" s="1"/>
  <c r="AN41" i="8"/>
  <c r="AN8" i="21" s="1"/>
  <c r="AV26" i="8"/>
  <c r="C36" i="8"/>
  <c r="C4" i="21" s="1"/>
  <c r="C30" i="8"/>
  <c r="D29" i="8" s="1"/>
  <c r="B40" i="8"/>
  <c r="AH41" i="8" s="1"/>
  <c r="AH8" i="21" s="1"/>
  <c r="B28" i="8"/>
  <c r="O14" i="26" l="1"/>
  <c r="AP41" i="8"/>
  <c r="AP8" i="21" s="1"/>
  <c r="AO41" i="8"/>
  <c r="AO8" i="21" s="1"/>
  <c r="AJ41" i="8"/>
  <c r="AJ8" i="21" s="1"/>
  <c r="AK41" i="8"/>
  <c r="AK8" i="21" s="1"/>
  <c r="Q26" i="26"/>
  <c r="O26" i="26"/>
  <c r="D36" i="8"/>
  <c r="D4" i="21" s="1"/>
  <c r="D30" i="8"/>
  <c r="E29" i="8" s="1"/>
  <c r="N22" i="26" l="1"/>
  <c r="N23" i="26"/>
  <c r="N24" i="26"/>
  <c r="N21" i="26"/>
  <c r="N20" i="26"/>
  <c r="N25" i="26"/>
  <c r="E36" i="8"/>
  <c r="E4" i="21" s="1"/>
  <c r="E30" i="8"/>
  <c r="F29" i="8" s="1"/>
  <c r="F36" i="8" l="1"/>
  <c r="F4" i="21" s="1"/>
  <c r="F30" i="8"/>
  <c r="G29" i="8" s="1"/>
  <c r="G36" i="8" l="1"/>
  <c r="G4" i="21" s="1"/>
  <c r="G30" i="8"/>
  <c r="H29" i="8" s="1"/>
  <c r="H36" i="8" l="1"/>
  <c r="H4" i="21" s="1"/>
  <c r="H30" i="8"/>
  <c r="I29" i="8" s="1"/>
  <c r="I36" i="8" l="1"/>
  <c r="I4" i="21" s="1"/>
  <c r="I30" i="8"/>
  <c r="J29" i="8" s="1"/>
  <c r="J36" i="8" l="1"/>
  <c r="J4" i="21" s="1"/>
  <c r="J30" i="8"/>
  <c r="K29" i="8" s="1"/>
  <c r="K36" i="8" l="1"/>
  <c r="K4" i="21" s="1"/>
  <c r="K30" i="8"/>
  <c r="L29" i="8" s="1"/>
  <c r="L36" i="8" l="1"/>
  <c r="L4" i="21" s="1"/>
  <c r="L30" i="8"/>
  <c r="M29" i="8" s="1"/>
  <c r="M36" i="8" l="1"/>
  <c r="M4" i="21" s="1"/>
  <c r="M30" i="8"/>
  <c r="N29" i="8" s="1"/>
  <c r="N36" i="8" l="1"/>
  <c r="N4" i="21" s="1"/>
  <c r="N30" i="8"/>
  <c r="O29" i="8" s="1"/>
  <c r="O36" i="8" l="1"/>
  <c r="O4" i="21" s="1"/>
  <c r="O30" i="8"/>
  <c r="P29" i="8" s="1"/>
  <c r="P36" i="8" l="1"/>
  <c r="P4" i="21" s="1"/>
  <c r="P30" i="8"/>
  <c r="Q29" i="8" s="1"/>
  <c r="Q36" i="8" l="1"/>
  <c r="Q4" i="21" s="1"/>
  <c r="Q30" i="8"/>
  <c r="R29" i="8" s="1"/>
  <c r="R36" i="8" l="1"/>
  <c r="R4" i="21" s="1"/>
  <c r="R30" i="8"/>
  <c r="S29" i="8" s="1"/>
  <c r="S36" i="8" l="1"/>
  <c r="S4" i="21" s="1"/>
  <c r="S30" i="8"/>
  <c r="T29" i="8" s="1"/>
  <c r="T36" i="8" l="1"/>
  <c r="T4" i="21" s="1"/>
  <c r="T30" i="8"/>
  <c r="U29" i="8" s="1"/>
  <c r="U36" i="8" l="1"/>
  <c r="U4" i="21" s="1"/>
  <c r="U30" i="8"/>
  <c r="V29" i="8" s="1"/>
  <c r="V36" i="8" l="1"/>
  <c r="V4" i="21" s="1"/>
  <c r="V30" i="8"/>
  <c r="W29" i="8" s="1"/>
  <c r="W36" i="8" l="1"/>
  <c r="W4" i="21" s="1"/>
  <c r="W30" i="8"/>
  <c r="X29" i="8" s="1"/>
  <c r="X30" i="8" s="1"/>
  <c r="Y29" i="8" s="1"/>
  <c r="Y36" i="8" s="1"/>
  <c r="Y4" i="21" s="1"/>
  <c r="X36" i="8" l="1"/>
  <c r="X4" i="21" s="1"/>
  <c r="Y30" i="8"/>
  <c r="Z29" i="8" l="1"/>
  <c r="Y41" i="8"/>
  <c r="Y8" i="21" s="1"/>
  <c r="Z36" i="8" l="1"/>
  <c r="Z4" i="21" s="1"/>
  <c r="Z30" i="8"/>
  <c r="AA29" i="8" l="1"/>
  <c r="Z41" i="8"/>
  <c r="Z8" i="21" s="1"/>
  <c r="AA36" i="8" l="1"/>
  <c r="AA4" i="21" s="1"/>
  <c r="AA30" i="8"/>
  <c r="AB29" i="8" l="1"/>
  <c r="AA41" i="8"/>
  <c r="AA8" i="21" s="1"/>
  <c r="AB36" i="8" l="1"/>
  <c r="AB4" i="21" s="1"/>
  <c r="AB30" i="8"/>
  <c r="AC29" i="8" l="1"/>
  <c r="AB41" i="8"/>
  <c r="AB8" i="21" s="1"/>
  <c r="AC36" i="8" l="1"/>
  <c r="AC4" i="21" s="1"/>
  <c r="AC30" i="8"/>
  <c r="AD29" i="8" l="1"/>
  <c r="AC41" i="8"/>
  <c r="AC8" i="21" s="1"/>
  <c r="AD36" i="8" l="1"/>
  <c r="AD4" i="21" s="1"/>
  <c r="AD30" i="8"/>
  <c r="AE29" i="8" l="1"/>
  <c r="AD41" i="8"/>
  <c r="AD8" i="21" s="1"/>
  <c r="AE36" i="8" l="1"/>
  <c r="AE4" i="21" s="1"/>
  <c r="AE30" i="8"/>
  <c r="AF29" i="8" l="1"/>
  <c r="AE41" i="8"/>
  <c r="AE8" i="21" s="1"/>
  <c r="AF36" i="8" l="1"/>
  <c r="AF4" i="21" s="1"/>
  <c r="AF30" i="8"/>
  <c r="AG29" i="8" l="1"/>
  <c r="AF41" i="8"/>
  <c r="AF8" i="21" s="1"/>
  <c r="AG36" i="8" l="1"/>
  <c r="AG30" i="8"/>
  <c r="B36" i="8" l="1"/>
  <c r="B37" i="8" s="1"/>
  <c r="B38" i="8" s="1"/>
  <c r="AG4" i="21"/>
  <c r="AG41" i="8"/>
  <c r="AG8" i="21" s="1"/>
  <c r="AH29" i="8"/>
  <c r="B29" i="8" s="1"/>
  <c r="B111" i="7" l="1"/>
  <c r="Q13" i="26"/>
  <c r="AH30" i="8"/>
  <c r="B8" i="21"/>
  <c r="B9" i="21" s="1"/>
  <c r="B10" i="21" s="1"/>
  <c r="O12" i="26" s="1"/>
  <c r="B41" i="8"/>
  <c r="B42" i="8" s="1"/>
  <c r="B4" i="21"/>
  <c r="B5" i="21" s="1"/>
  <c r="B6" i="21" s="1"/>
  <c r="O13" i="26" s="1"/>
  <c r="P13" i="26"/>
  <c r="B43" i="8" l="1"/>
  <c r="B112" i="7" s="1"/>
  <c r="Q12" i="26" s="1"/>
  <c r="Z29" i="6"/>
  <c r="Y30" i="6"/>
  <c r="Y29" i="6"/>
  <c r="X30" i="6"/>
  <c r="Z30" i="6"/>
  <c r="V30" i="6"/>
  <c r="W29" i="6"/>
  <c r="W30" i="6"/>
  <c r="X29" i="6"/>
</calcChain>
</file>

<file path=xl/sharedStrings.xml><?xml version="1.0" encoding="utf-8"?>
<sst xmlns="http://schemas.openxmlformats.org/spreadsheetml/2006/main" count="755" uniqueCount="398">
  <si>
    <t>TEAM #: 2023-8514</t>
  </si>
  <si>
    <t>Project Timeline</t>
  </si>
  <si>
    <t>Phase</t>
  </si>
  <si>
    <t>Financial Performance</t>
  </si>
  <si>
    <t>I</t>
  </si>
  <si>
    <t>II</t>
  </si>
  <si>
    <t>Total</t>
  </si>
  <si>
    <t>Predevelopment Timeline</t>
  </si>
  <si>
    <t>Project Returns</t>
  </si>
  <si>
    <t>Demolition Timeline</t>
  </si>
  <si>
    <t xml:space="preserve">Total Cost </t>
  </si>
  <si>
    <t>Construction Timeline</t>
  </si>
  <si>
    <t>Total Stabilized Value</t>
  </si>
  <si>
    <t>Closeout Timeline</t>
  </si>
  <si>
    <t>Yield on Cost</t>
  </si>
  <si>
    <t>Exit Cap</t>
  </si>
  <si>
    <t>Equity Returns</t>
  </si>
  <si>
    <t>Development Mix - Residential (Units)</t>
  </si>
  <si>
    <t>Avg Unit Size (SF)</t>
  </si>
  <si>
    <t>Unlevered IRR</t>
  </si>
  <si>
    <t>Levered IRR</t>
  </si>
  <si>
    <t>Market Rate Rental Housing</t>
  </si>
  <si>
    <t>Equity Multiple</t>
  </si>
  <si>
    <t>Studio Units</t>
  </si>
  <si>
    <t>1BR/1BA Units</t>
  </si>
  <si>
    <t>2BR/2BA Units</t>
  </si>
  <si>
    <t>Sources and Uses</t>
  </si>
  <si>
    <t>3BR/3BA Units</t>
  </si>
  <si>
    <t>Subtotal</t>
  </si>
  <si>
    <t xml:space="preserve">Sources  </t>
  </si>
  <si>
    <t>Affordable Rental Housing</t>
  </si>
  <si>
    <t>Senior Permanent Loan</t>
  </si>
  <si>
    <t>LIHTC Tax Credit</t>
  </si>
  <si>
    <t>Federal New Markets Tax Credit</t>
  </si>
  <si>
    <t>Clemson Univ. Funding</t>
  </si>
  <si>
    <t>Municipal Convention Ctr. Funding</t>
  </si>
  <si>
    <t>Fund Equity</t>
  </si>
  <si>
    <t>Development Mix - Commercial (SF)</t>
  </si>
  <si>
    <t>Uses</t>
  </si>
  <si>
    <t>Retail</t>
  </si>
  <si>
    <t>Acquisition Costs</t>
  </si>
  <si>
    <t>Hard Costs</t>
  </si>
  <si>
    <t>Soft Costs</t>
  </si>
  <si>
    <t>Office</t>
  </si>
  <si>
    <t>Financing Costs</t>
  </si>
  <si>
    <t>Reserves</t>
  </si>
  <si>
    <t>Developer Fee</t>
  </si>
  <si>
    <t>Development Mix - Others</t>
  </si>
  <si>
    <t>Parking</t>
  </si>
  <si>
    <t>Residential</t>
  </si>
  <si>
    <t>Commercial</t>
  </si>
  <si>
    <t>Multifamily Rent Assumptions</t>
  </si>
  <si>
    <t xml:space="preserve">Phase </t>
  </si>
  <si>
    <t>Market Rate Units</t>
  </si>
  <si>
    <t>Studio</t>
  </si>
  <si>
    <t xml:space="preserve">1BR/1BA  </t>
  </si>
  <si>
    <t xml:space="preserve">2BR/2BA   </t>
  </si>
  <si>
    <t xml:space="preserve">3BR/3BA   </t>
  </si>
  <si>
    <t>Affordable Units</t>
  </si>
  <si>
    <t>Market Rate Multifamily (MF) Housing Rent Pricing</t>
  </si>
  <si>
    <t>Phase I</t>
  </si>
  <si>
    <t>Phase II</t>
  </si>
  <si>
    <t>Occupiable Residential Area for Unit Calculations</t>
  </si>
  <si>
    <t>Totals</t>
  </si>
  <si>
    <t>Less Circulation/Util.</t>
  </si>
  <si>
    <t>Occupiable SF</t>
  </si>
  <si>
    <t># of Units</t>
  </si>
  <si>
    <t>Approx SF per Unit</t>
  </si>
  <si>
    <t>Asking Monthly Rent per SF</t>
  </si>
  <si>
    <t>Asking Monthly Rent per Unit</t>
  </si>
  <si>
    <t>Residential Unit Breakdown</t>
  </si>
  <si>
    <t>1 BR</t>
  </si>
  <si>
    <t>% Studio</t>
  </si>
  <si>
    <t># Studio Units</t>
  </si>
  <si>
    <t>2 BR</t>
  </si>
  <si>
    <t>% 1 BR</t>
  </si>
  <si>
    <t># 1 BR Units</t>
  </si>
  <si>
    <t>% 2 BR</t>
  </si>
  <si>
    <t># 2 BR Units</t>
  </si>
  <si>
    <t>3 BR</t>
  </si>
  <si>
    <t>% 3 BR</t>
  </si>
  <si>
    <t># 3 BR Units</t>
  </si>
  <si>
    <t>Affordable Multifamily (MF) Housing Rent Pricing</t>
  </si>
  <si>
    <t>Market Rate vs. Affordable Housing Distribution</t>
  </si>
  <si>
    <t>Type</t>
  </si>
  <si>
    <t>Distribution</t>
  </si>
  <si>
    <t>Market Rate</t>
  </si>
  <si>
    <t>Affordable Housing</t>
  </si>
  <si>
    <t>Affordable MF Unit Rent Calculation (City of North Charleston, SC)</t>
  </si>
  <si>
    <t>Source: https://www.hudexchange.info/programs/home/home-rent-limits/</t>
  </si>
  <si>
    <t>Source: https://www.census.gov/quickfacts/northcharlestoncitysouthcarolina</t>
  </si>
  <si>
    <t>Median HH income (2021)</t>
  </si>
  <si>
    <t>Per capita income (2021)</t>
  </si>
  <si>
    <t>Unit Type</t>
  </si>
  <si>
    <t>HOME Rent Price</t>
  </si>
  <si>
    <t>Retail Rent Pricing</t>
  </si>
  <si>
    <t>Retail Distribution for Parking Estimates</t>
  </si>
  <si>
    <t>Retail Space</t>
  </si>
  <si>
    <t>Total Retail SF</t>
  </si>
  <si>
    <t>Food + Beverage</t>
  </si>
  <si>
    <t>Annual Rent per SF (NNN)</t>
  </si>
  <si>
    <t>Shops</t>
  </si>
  <si>
    <t>Office Rent Pricing</t>
  </si>
  <si>
    <t>Financing</t>
  </si>
  <si>
    <t>Class A Office Space</t>
  </si>
  <si>
    <t>Senior Construction Loan</t>
  </si>
  <si>
    <t>Total Office SF</t>
  </si>
  <si>
    <t>LTC</t>
  </si>
  <si>
    <t>9% per unit</t>
  </si>
  <si>
    <t>Total Allocation</t>
  </si>
  <si>
    <t>Manufacturing Rent Pricing</t>
  </si>
  <si>
    <t>% of Total Cost</t>
  </si>
  <si>
    <t>Mfg Space</t>
  </si>
  <si>
    <t>Total Mfg SF</t>
  </si>
  <si>
    <t>Allocation</t>
  </si>
  <si>
    <t>Credits</t>
  </si>
  <si>
    <t>Estimated Max. # of Employees (for Parking)</t>
  </si>
  <si>
    <t>Construction Costs</t>
  </si>
  <si>
    <t>Hospitality Pricing</t>
  </si>
  <si>
    <t>Hotel Space</t>
  </si>
  <si>
    <t>Municipal Convention Center Funding</t>
  </si>
  <si>
    <t>Total Hotel SF</t>
  </si>
  <si>
    <t>50% Construction Costs (Conv. Ctr. only)</t>
  </si>
  <si>
    <t>Approx SF per Key (incl. circulation/BOH)</t>
  </si>
  <si>
    <t># of Keys</t>
  </si>
  <si>
    <t>Average Daily Rate</t>
  </si>
  <si>
    <t>Equity</t>
  </si>
  <si>
    <t>Charleston, SC Typ. Occupancy Rate</t>
  </si>
  <si>
    <t>Revenue per Available Room (RevPAR)</t>
  </si>
  <si>
    <t>Asking Monthly Revenue per room</t>
  </si>
  <si>
    <t>Convention Center Space</t>
  </si>
  <si>
    <t>Convention Center SF</t>
  </si>
  <si>
    <t>Parking Requirements/Costs</t>
  </si>
  <si>
    <t>City of North Charleston, SC Parking Requirements</t>
  </si>
  <si>
    <t>1/1/24 to 12/31/25</t>
  </si>
  <si>
    <t>1/1/24 to 12/31/27</t>
  </si>
  <si>
    <t>MF Residential Studio Unit</t>
  </si>
  <si>
    <t>space per unit</t>
  </si>
  <si>
    <t>1/1/26 to 6/30/26</t>
  </si>
  <si>
    <t>1/1/28 to 6/30/28</t>
  </si>
  <si>
    <t>MF Residential 1 BR Unit</t>
  </si>
  <si>
    <t>7/1/26 to 6/30/29</t>
  </si>
  <si>
    <t>7/1/28 to 6/30/31</t>
  </si>
  <si>
    <t>MF Residential 2+ BR Unit</t>
  </si>
  <si>
    <t>7/1/29 to 12/31/29</t>
  </si>
  <si>
    <t>7/1/31 to 12/31/31</t>
  </si>
  <si>
    <t>Retail (Food and Beverage)</t>
  </si>
  <si>
    <t>space per SF</t>
  </si>
  <si>
    <t>Retail (Non-F+B)</t>
  </si>
  <si>
    <t>Hotel</t>
  </si>
  <si>
    <t>space per room</t>
  </si>
  <si>
    <t>Manufacturing</t>
  </si>
  <si>
    <t>space per employee</t>
  </si>
  <si>
    <t>SF per Parking Space (inclusive of circulation)</t>
  </si>
  <si>
    <t>Structured Parking</t>
  </si>
  <si>
    <t>Resident Parking Monthly Rate</t>
  </si>
  <si>
    <t>Development Program</t>
  </si>
  <si>
    <t>Development Component</t>
  </si>
  <si>
    <t>Acreage</t>
  </si>
  <si>
    <t>Area in SF</t>
  </si>
  <si>
    <t>Land Use</t>
  </si>
  <si>
    <t>Multifamily Units</t>
  </si>
  <si>
    <t>Hotel Keys</t>
  </si>
  <si>
    <t>Commercial SF</t>
  </si>
  <si>
    <t>Project Value</t>
  </si>
  <si>
    <t>Project Costs</t>
  </si>
  <si>
    <t>Residential (Market Rate), Residential (Affordable), Retail, Office, Manufacturing, Educational, Cultural</t>
  </si>
  <si>
    <t>Residential(Market), Residential (Affordable), Hotel/Convention Ctr, Retail, Institutional</t>
  </si>
  <si>
    <t>Schedule</t>
  </si>
  <si>
    <t>Pre-Development</t>
  </si>
  <si>
    <t>Demolition</t>
  </si>
  <si>
    <t>Construction</t>
  </si>
  <si>
    <t>Close-out</t>
  </si>
  <si>
    <t>Developable Parcels</t>
  </si>
  <si>
    <t>Parcel ID</t>
  </si>
  <si>
    <t>Privately-Owned / Municipally-Owned?</t>
  </si>
  <si>
    <t>Class Code</t>
  </si>
  <si>
    <t>Deeded Area (Acres)</t>
  </si>
  <si>
    <t>Calculated Parcel Area (SF)</t>
  </si>
  <si>
    <t>Total Building Area (SF)</t>
  </si>
  <si>
    <t>Appraised/Assessed Sale Price</t>
  </si>
  <si>
    <t>Notes</t>
  </si>
  <si>
    <t>#4000000245</t>
  </si>
  <si>
    <t>Private</t>
  </si>
  <si>
    <t>500 General Commercial</t>
  </si>
  <si>
    <t>#4000000246</t>
  </si>
  <si>
    <t>City of North Charleston</t>
  </si>
  <si>
    <t>#4000000109</t>
  </si>
  <si>
    <t>#4000000129</t>
  </si>
  <si>
    <t>905 VAC-RES-LOT</t>
  </si>
  <si>
    <t>#4000000217</t>
  </si>
  <si>
    <t>Includes Noisette Blvd/part of Ave B N</t>
  </si>
  <si>
    <t>#4000000071</t>
  </si>
  <si>
    <t>650 SPCLTY-OFC</t>
  </si>
  <si>
    <t>#4000000065</t>
  </si>
  <si>
    <t>Includes parts of 2nd St N and Ave B N</t>
  </si>
  <si>
    <t>#4000000058</t>
  </si>
  <si>
    <t>900 RES-DEV-ACRS</t>
  </si>
  <si>
    <t>#4000000047</t>
  </si>
  <si>
    <t>630 SPCLTY-WHS</t>
  </si>
  <si>
    <t>#4000000086</t>
  </si>
  <si>
    <t>COAST Brewing Company (tenant)</t>
  </si>
  <si>
    <t>#4000000218</t>
  </si>
  <si>
    <t>#4000000072</t>
  </si>
  <si>
    <t>952 VAC-COMM-LOT</t>
  </si>
  <si>
    <t>Includes parts of Ave B N</t>
  </si>
  <si>
    <t>Non-Developable Parcels of Interest</t>
  </si>
  <si>
    <t>Privately-Owned / Government-Owned?</t>
  </si>
  <si>
    <t>Total Building Area</t>
  </si>
  <si>
    <t>#4000000216</t>
  </si>
  <si>
    <t>South Carolina Dept. of Commerce</t>
  </si>
  <si>
    <t>#4000000040</t>
  </si>
  <si>
    <t>U.S. Dept. of Defense</t>
  </si>
  <si>
    <t>Can propose high-level vision beyond 10-yr window</t>
  </si>
  <si>
    <r>
      <rPr>
        <b/>
        <sz val="10"/>
        <color rgb="FF000000"/>
        <rFont val="Arial"/>
        <family val="2"/>
      </rPr>
      <t>Privately-Owned Parcels in Cooper River Vicinity</t>
    </r>
    <r>
      <rPr>
        <i/>
        <sz val="10"/>
        <color rgb="FF000000"/>
        <rFont val="Arial"/>
        <family val="2"/>
      </rPr>
      <t xml:space="preserve"> (Comps)</t>
    </r>
  </si>
  <si>
    <t>Parcel Area (SF)</t>
  </si>
  <si>
    <t>Assessed Price/SF</t>
  </si>
  <si>
    <t>Assessed Price/Acre</t>
  </si>
  <si>
    <t>#5021400001</t>
  </si>
  <si>
    <t>304 MFG/INDUST</t>
  </si>
  <si>
    <t>#5021400002</t>
  </si>
  <si>
    <t>#5021400005</t>
  </si>
  <si>
    <t>910 COM-DEV-ACRS</t>
  </si>
  <si>
    <t>#4000000110</t>
  </si>
  <si>
    <t>#4000000191</t>
  </si>
  <si>
    <t>#4000000120</t>
  </si>
  <si>
    <t>#4000000121</t>
  </si>
  <si>
    <t>#5020900002</t>
  </si>
  <si>
    <t>#5020500001</t>
  </si>
  <si>
    <t>#4000000239</t>
  </si>
  <si>
    <t>#4000000055</t>
  </si>
  <si>
    <t>#4000000142</t>
  </si>
  <si>
    <t>Averages</t>
  </si>
  <si>
    <t>Assumptions for Land Acquisition</t>
  </si>
  <si>
    <t>Owner Type</t>
  </si>
  <si>
    <t>Appraised Cost (if applicable)</t>
  </si>
  <si>
    <t>Total Area (SF)</t>
  </si>
  <si>
    <t>Price per SF</t>
  </si>
  <si>
    <t>Market Value Assumption</t>
  </si>
  <si>
    <t>Privately-Owned</t>
  </si>
  <si>
    <t>Municipally-Owned</t>
  </si>
  <si>
    <t>Phase I Area Totals</t>
  </si>
  <si>
    <t>Phase II Area Totals</t>
  </si>
  <si>
    <t>DEVELOPMENT PLAN</t>
  </si>
  <si>
    <t>Quick Rent Adjuster</t>
  </si>
  <si>
    <t>FOR RENT RESIDENTIAL</t>
  </si>
  <si>
    <t>Net Rentable Square Feet (NRSF)</t>
  </si>
  <si>
    <t>$/SF/Mo.</t>
  </si>
  <si>
    <t>Total Annual</t>
  </si>
  <si>
    <t>Studios (Market)</t>
  </si>
  <si>
    <t>1 bedroom/1 bath (Market)</t>
  </si>
  <si>
    <t>2 bedroom/2 bath (Market)</t>
  </si>
  <si>
    <t>3 bedroom/3 bath (Market)</t>
  </si>
  <si>
    <t>Studios (Affordable)</t>
  </si>
  <si>
    <t>1 bedroom/1 bath (Affordable)</t>
  </si>
  <si>
    <t>2 bedroom/2 bath (Affordable)</t>
  </si>
  <si>
    <t>3 bedroom/3 bath (Affordable)</t>
  </si>
  <si>
    <t>Totals:</t>
  </si>
  <si>
    <t>Averages:</t>
  </si>
  <si>
    <t>=</t>
  </si>
  <si>
    <t>COMMERCIAL SPACE</t>
  </si>
  <si>
    <t>Square Feet</t>
  </si>
  <si>
    <t>NNN Rent</t>
  </si>
  <si>
    <t>Total Commercial</t>
  </si>
  <si>
    <t>PARKING</t>
  </si>
  <si>
    <t>Total Parking</t>
  </si>
  <si>
    <t>NET OPERATING INCOME</t>
  </si>
  <si>
    <t>INCOME</t>
  </si>
  <si>
    <t>Per Unit</t>
  </si>
  <si>
    <t>$/SF Res</t>
  </si>
  <si>
    <t>Un-Trended</t>
  </si>
  <si>
    <t>Residential Rental Income</t>
  </si>
  <si>
    <t>Commercial Rental Income</t>
  </si>
  <si>
    <t>Commercial RENT</t>
  </si>
  <si>
    <t>Gross Income</t>
  </si>
  <si>
    <t>Other Income</t>
  </si>
  <si>
    <t>$/unit</t>
  </si>
  <si>
    <t>$/SF</t>
  </si>
  <si>
    <t>Parking Income-residential only</t>
  </si>
  <si>
    <t>Additional Income</t>
  </si>
  <si>
    <t>Total Other Income</t>
  </si>
  <si>
    <t>Effective Gross Income</t>
  </si>
  <si>
    <t>EXPENSES</t>
  </si>
  <si>
    <t>Per SF</t>
  </si>
  <si>
    <t>Total Operating Expenses</t>
  </si>
  <si>
    <t>Net Operating Income</t>
  </si>
  <si>
    <t>TOTAL PROJECT VALUE</t>
  </si>
  <si>
    <t>Market Cap Rate=</t>
  </si>
  <si>
    <t>PROJECT COSTS</t>
  </si>
  <si>
    <t>BASIS</t>
  </si>
  <si>
    <t xml:space="preserve">   Budget     </t>
  </si>
  <si>
    <t>Hard Costs for Construction</t>
  </si>
  <si>
    <t>Parking Structure</t>
  </si>
  <si>
    <t>Hard Cost Contingency</t>
  </si>
  <si>
    <t>$10/SF</t>
  </si>
  <si>
    <t>Land Acquisition</t>
  </si>
  <si>
    <t>Land cost</t>
  </si>
  <si>
    <t>Impact Fees (Includes City Stormwater Utility Fee)</t>
  </si>
  <si>
    <t>Landscaping (Hardscape &amp; Softscape)</t>
  </si>
  <si>
    <t>$25/SF</t>
  </si>
  <si>
    <t>Legal</t>
  </si>
  <si>
    <t>Estimate</t>
  </si>
  <si>
    <t>Land Closing Costs/commissions</t>
  </si>
  <si>
    <t xml:space="preserve">Design </t>
  </si>
  <si>
    <t>Construction Management Fee</t>
  </si>
  <si>
    <t>Taxes</t>
  </si>
  <si>
    <t>Insurance</t>
  </si>
  <si>
    <t>Marketing, FFE and Preleasing</t>
  </si>
  <si>
    <t>Operating Deficit</t>
  </si>
  <si>
    <t>Retail TI's</t>
  </si>
  <si>
    <t>Retail brokerage</t>
  </si>
  <si>
    <t>Construction Loan Origination</t>
  </si>
  <si>
    <t>Construction Interest</t>
  </si>
  <si>
    <t>Additional Contingency</t>
  </si>
  <si>
    <t>Total Project Cost</t>
  </si>
  <si>
    <t>Yield on cost</t>
  </si>
  <si>
    <t>Return on cost</t>
  </si>
  <si>
    <t>FINANCING</t>
  </si>
  <si>
    <t>Bridge Funding reduction</t>
  </si>
  <si>
    <t>Private financing Amount</t>
  </si>
  <si>
    <t>New Markets Tax Credit</t>
  </si>
  <si>
    <t>Total Sources</t>
  </si>
  <si>
    <t>SALES ANALYSIS</t>
  </si>
  <si>
    <t>Untrended</t>
  </si>
  <si>
    <t>Gross Sales Proceeds</t>
  </si>
  <si>
    <t>Net Sales Proceeds</t>
  </si>
  <si>
    <t>LESS: Construction Debt</t>
  </si>
  <si>
    <t>LESS: Investor Equity</t>
  </si>
  <si>
    <t>Net Profit</t>
  </si>
  <si>
    <t>Sales Price per Unit</t>
  </si>
  <si>
    <t>Gross Price</t>
  </si>
  <si>
    <t>Net Price</t>
  </si>
  <si>
    <t>YIELD INDICATORS</t>
  </si>
  <si>
    <t>Equity multiple</t>
  </si>
  <si>
    <t>Leveraged Project IRR</t>
  </si>
  <si>
    <t>Unleveraged Project IRR</t>
  </si>
  <si>
    <t>Debt Yield</t>
  </si>
  <si>
    <t>Exit Cap Rate</t>
  </si>
  <si>
    <t>Phase I Draw Schedule</t>
  </si>
  <si>
    <t>Schedule----&gt;</t>
  </si>
  <si>
    <t>Predevelopment</t>
  </si>
  <si>
    <t>Closeout</t>
  </si>
  <si>
    <t>Duration----&gt;</t>
  </si>
  <si>
    <t>Predevelopment ends</t>
  </si>
  <si>
    <t>Demolition begins</t>
  </si>
  <si>
    <t>Demolition ends</t>
  </si>
  <si>
    <t>Construction begins</t>
  </si>
  <si>
    <t>Construction ends</t>
  </si>
  <si>
    <t>Close-out begins</t>
  </si>
  <si>
    <t>Close-out ends</t>
  </si>
  <si>
    <t>&lt;---- columns to unhide for longer development period</t>
  </si>
  <si>
    <t>TOTAL</t>
  </si>
  <si>
    <t>TOTAL EXPENDED</t>
  </si>
  <si>
    <t>TOTAL COST</t>
  </si>
  <si>
    <t>Hard Cost Draw Percentage</t>
  </si>
  <si>
    <t>difference</t>
  </si>
  <si>
    <t>Gap Funding</t>
  </si>
  <si>
    <t>Net Total Private Financing</t>
  </si>
  <si>
    <t>Equity DRAW</t>
  </si>
  <si>
    <t>TOTAL Equity</t>
  </si>
  <si>
    <t>Permanent loan debt</t>
  </si>
  <si>
    <t>Total annual debt service</t>
  </si>
  <si>
    <t>Operating cash flow during closeout</t>
  </si>
  <si>
    <t>Leveraged</t>
  </si>
  <si>
    <t>Net Proceeds from Sale after debt repayment</t>
  </si>
  <si>
    <t>Leveraged Quarterly cash flow</t>
  </si>
  <si>
    <t>Leveraged Quarterly IRR</t>
  </si>
  <si>
    <t>Leveraged Annual IRR</t>
  </si>
  <si>
    <t>Unleveraged</t>
  </si>
  <si>
    <t>Total Net proceeds from Sale</t>
  </si>
  <si>
    <t>Unleveraged Quarterly Total Cash Flow</t>
  </si>
  <si>
    <t>Unleveraged Quarterly IRR</t>
  </si>
  <si>
    <t>Unleveraged Annual IRR</t>
  </si>
  <si>
    <t>Quick Rate Adjuster</t>
  </si>
  <si>
    <t>HOTEL</t>
  </si>
  <si>
    <t>Average Room Rate</t>
  </si>
  <si>
    <t>Monthly Revenue at 67.7% occupancy</t>
  </si>
  <si>
    <t>Rooms</t>
  </si>
  <si>
    <t>Hotel Income</t>
  </si>
  <si>
    <t>Commercial Rent</t>
  </si>
  <si>
    <t>Parking Income-residential</t>
  </si>
  <si>
    <t>Land</t>
  </si>
  <si>
    <t>Estimate of residual value</t>
  </si>
  <si>
    <t>Gap Funding reduction</t>
  </si>
  <si>
    <t>Clemson Construction Funding</t>
  </si>
  <si>
    <t>Phase II Draw Schedule</t>
  </si>
  <si>
    <t>Construction Ends</t>
  </si>
  <si>
    <t>Closeout begins</t>
  </si>
  <si>
    <t>Closeout ends</t>
  </si>
  <si>
    <t>Leveraged QUARTERLY cash flow</t>
  </si>
  <si>
    <t>Leveraged QUARTERLY IRR</t>
  </si>
  <si>
    <t>UNLeveraged QUARTERLY TOTAL Cash flow</t>
  </si>
  <si>
    <t>UNLeveraged QUARTERLY IRR</t>
  </si>
  <si>
    <t>UNLeveraged Annual IRR</t>
  </si>
  <si>
    <t>ALL Draw-Phase I &amp; Phase II</t>
  </si>
  <si>
    <t>Quarter----&gt;</t>
  </si>
  <si>
    <t>UNLeveraged Quarterly TOTAL Cash flow</t>
  </si>
  <si>
    <t>UNLeveraged Quarterly IRR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</si>
</sst>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&quot;$&quot;###\ &quot;per SF net leasable&quot;"/>
    <numFmt numFmtId="168" formatCode="##%\ &quot;of GMP costs&quot;"/>
    <numFmt numFmtId="169" formatCode="&quot;$&quot;##,###\ &quot;per unit&quot;"/>
    <numFmt numFmtId="170" formatCode="##%\ &quot;of total hard costs&quot;"/>
    <numFmt numFmtId="171" formatCode="##%\ &quot;of Project Budget&quot;"/>
    <numFmt numFmtId="172" formatCode="#\ &quot;Months of OPEX&quot;"/>
    <numFmt numFmtId="173" formatCode="&quot;$&quot;###\ &quot;per SF of retail&quot;"/>
    <numFmt numFmtId="174" formatCode="#%\ &quot;on a five year term&quot;"/>
    <numFmt numFmtId="175" formatCode="##.00%\ &quot;of loan amount&quot;"/>
    <numFmt numFmtId="176" formatCode="#.##%\ "/>
    <numFmt numFmtId="177" formatCode="##%\ &quot;of loan amount&quot;"/>
    <numFmt numFmtId="178" formatCode="###\ &quot;Units&quot;"/>
    <numFmt numFmtId="179" formatCode="_(* #,##0_);_(* \(#,##0\);_(* &quot;-&quot;??_);_(@_)"/>
    <numFmt numFmtId="180" formatCode="&quot;Density=&quot;#\ &quot;Units/Acre&quot;"/>
    <numFmt numFmtId="181" formatCode="0.0%"/>
    <numFmt numFmtId="182" formatCode="&quot;Studio---&quot;#%"/>
    <numFmt numFmtId="183" formatCode="&quot;$&quot;#,##0;[Red]\-&quot;$&quot;#,##0"/>
    <numFmt numFmtId="184" formatCode="##,###&quot; SF&quot;"/>
    <numFmt numFmtId="185" formatCode="###&quot; SF&quot;"/>
    <numFmt numFmtId="186" formatCode="&quot;Parking area at&quot;\ ###\ &quot;sf per stall&quot;"/>
    <numFmt numFmtId="187" formatCode="&quot;Building area at&quot;\ ##%\ &quot;circulation&quot;"/>
    <numFmt numFmtId="188" formatCode="&quot;Building footprint at&quot;\ ##\ &quot;stories&quot;"/>
    <numFmt numFmtId="189" formatCode="#,###\ &quot;SF Retail Income&quot;"/>
    <numFmt numFmtId="190" formatCode="&quot;LESS:&quot;\ #%\ &quot;Vacancy&quot;"/>
    <numFmt numFmtId="191" formatCode="&quot;$&quot;##,###\ &quot;per stall&quot;"/>
    <numFmt numFmtId="192" formatCode="&quot;Fee/unit=&quot;&quot;$&quot;##,###"/>
    <numFmt numFmtId="193" formatCode="#.#%\ &quot;of soft costs&quot;"/>
    <numFmt numFmtId="194" formatCode="&quot;Feasible Project Costs at&quot;\ ##%\ &quot;ROC&quot;"/>
    <numFmt numFmtId="195" formatCode="&quot;Gap at&quot;\ ##%"/>
    <numFmt numFmtId="196" formatCode="&quot;Residual land value at&quot;\ ##%\ &quot;ROC&quot;"/>
    <numFmt numFmtId="197" formatCode="##%\ \ \ &quot;Debt&quot;"/>
    <numFmt numFmtId="198" formatCode="##%\ \ \ &quot;Equity&quot;"/>
    <numFmt numFmtId="199" formatCode="&quot;LESS:&quot;\ #%\ \ &quot;Selling Costs&quot;"/>
    <numFmt numFmtId="200" formatCode="0.0"/>
    <numFmt numFmtId="201" formatCode="[$-409]mmm\-yy"/>
    <numFmt numFmtId="202" formatCode="&quot;1 bedroom unit at&quot;\ ###\ &quot;SF&quot;"/>
    <numFmt numFmtId="203" formatCode="&quot;2 bedroom unit at&quot;\ ###\ &quot;SF&quot;"/>
    <numFmt numFmtId="204" formatCode="0.000"/>
    <numFmt numFmtId="205" formatCode="_-* #,##0.00_-;\-* #,##0.00_-;_-* &quot;-&quot;??_-;_-@_-"/>
  </numFmts>
  <fonts count="30" x14ac:knownFonts="1">
    <font>
      <sz val="11"/>
      <color theme="1"/>
      <name val="Calibri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E36C09"/>
      <name val="Arial"/>
      <family val="2"/>
    </font>
    <font>
      <b/>
      <sz val="9"/>
      <color theme="1"/>
      <name val="Arial"/>
      <family val="2"/>
    </font>
    <font>
      <b/>
      <sz val="10"/>
      <color rgb="FF0432FF"/>
      <name val="Arial"/>
      <family val="2"/>
    </font>
    <font>
      <sz val="10"/>
      <color rgb="FF1F497D"/>
      <name val="Arial"/>
      <family val="2"/>
    </font>
    <font>
      <sz val="11"/>
      <color rgb="FF00B0F0"/>
      <name val="Calibri"/>
      <family val="2"/>
    </font>
    <font>
      <b/>
      <sz val="10"/>
      <color rgb="FF1F497D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B0F0"/>
      <name val="Arial"/>
      <family val="2"/>
    </font>
    <font>
      <i/>
      <sz val="10"/>
      <color rgb="FF000000"/>
      <name val="Arial"/>
      <family val="2"/>
    </font>
    <font>
      <sz val="10"/>
      <color rgb="FF00B0F0"/>
      <name val="Arial"/>
      <family val="2"/>
    </font>
    <font>
      <b/>
      <sz val="10"/>
      <name val="Batang"/>
    </font>
  </fonts>
  <fills count="16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17365D"/>
        <bgColor rgb="FF17365D"/>
      </patternFill>
    </fill>
    <fill>
      <patternFill patternType="solid">
        <fgColor rgb="FFF2DBDB"/>
        <bgColor rgb="FFF2DBDB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indexed="64"/>
      </patternFill>
    </fill>
    <fill>
      <patternFill patternType="solid">
        <fgColor rgb="FFE8B7B7"/>
        <bgColor indexed="64"/>
      </patternFill>
    </fill>
    <fill>
      <patternFill patternType="solid">
        <fgColor rgb="FFF5D0A1"/>
        <bgColor indexed="64"/>
      </patternFill>
    </fill>
    <fill>
      <patternFill patternType="solid">
        <fgColor rgb="FFB7DFF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24" fillId="0" borderId="19"/>
    <xf numFmtId="9" fontId="24" fillId="0" borderId="19" applyFont="0" applyFill="0" applyBorder="0" applyAlignment="0" applyProtection="0"/>
    <xf numFmtId="205" fontId="24" fillId="0" borderId="19" applyFont="0" applyFill="0" applyBorder="0" applyAlignment="0" applyProtection="0"/>
  </cellStyleXfs>
  <cellXfs count="976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0" borderId="7" xfId="0" applyFont="1" applyBorder="1"/>
    <xf numFmtId="6" fontId="2" fillId="0" borderId="1" xfId="0" applyNumberFormat="1" applyFont="1" applyBorder="1"/>
    <xf numFmtId="6" fontId="2" fillId="0" borderId="1" xfId="0" applyNumberFormat="1" applyFont="1" applyBorder="1" applyAlignment="1">
      <alignment horizontal="center"/>
    </xf>
    <xf numFmtId="0" fontId="2" fillId="0" borderId="13" xfId="0" applyFont="1" applyBorder="1"/>
    <xf numFmtId="6" fontId="2" fillId="0" borderId="14" xfId="0" applyNumberFormat="1" applyFont="1" applyBorder="1"/>
    <xf numFmtId="6" fontId="3" fillId="0" borderId="0" xfId="0" applyNumberFormat="1" applyFont="1" applyAlignment="1">
      <alignment horizontal="center"/>
    </xf>
    <xf numFmtId="10" fontId="2" fillId="0" borderId="1" xfId="0" applyNumberFormat="1" applyFont="1" applyBorder="1"/>
    <xf numFmtId="182" fontId="2" fillId="0" borderId="7" xfId="0" applyNumberFormat="1" applyFont="1" applyBorder="1" applyAlignment="1">
      <alignment horizontal="left"/>
    </xf>
    <xf numFmtId="38" fontId="5" fillId="0" borderId="1" xfId="0" applyNumberFormat="1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83" fontId="2" fillId="0" borderId="1" xfId="0" applyNumberFormat="1" applyFont="1" applyBorder="1" applyAlignment="1">
      <alignment horizontal="center"/>
    </xf>
    <xf numFmtId="183" fontId="2" fillId="0" borderId="23" xfId="0" applyNumberFormat="1" applyFont="1" applyBorder="1" applyAlignment="1">
      <alignment horizontal="center"/>
    </xf>
    <xf numFmtId="0" fontId="2" fillId="0" borderId="36" xfId="0" applyFont="1" applyBorder="1"/>
    <xf numFmtId="178" fontId="3" fillId="0" borderId="37" xfId="0" applyNumberFormat="1" applyFont="1" applyBorder="1" applyAlignment="1">
      <alignment horizontal="center"/>
    </xf>
    <xf numFmtId="184" fontId="3" fillId="0" borderId="37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/>
    </xf>
    <xf numFmtId="0" fontId="2" fillId="0" borderId="38" xfId="0" applyFont="1" applyBorder="1"/>
    <xf numFmtId="185" fontId="3" fillId="0" borderId="39" xfId="0" applyNumberFormat="1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center"/>
    </xf>
    <xf numFmtId="0" fontId="7" fillId="0" borderId="7" xfId="0" applyFont="1" applyBorder="1"/>
    <xf numFmtId="8" fontId="2" fillId="0" borderId="1" xfId="0" applyNumberFormat="1" applyFont="1" applyBorder="1"/>
    <xf numFmtId="0" fontId="7" fillId="0" borderId="13" xfId="0" applyFont="1" applyBorder="1"/>
    <xf numFmtId="8" fontId="2" fillId="0" borderId="14" xfId="0" applyNumberFormat="1" applyFont="1" applyBorder="1"/>
    <xf numFmtId="0" fontId="2" fillId="0" borderId="41" xfId="0" applyFont="1" applyBorder="1"/>
    <xf numFmtId="6" fontId="2" fillId="0" borderId="0" xfId="0" applyNumberFormat="1" applyFont="1"/>
    <xf numFmtId="3" fontId="5" fillId="0" borderId="8" xfId="0" applyNumberFormat="1" applyFont="1" applyBorder="1"/>
    <xf numFmtId="18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2" fillId="3" borderId="30" xfId="0" applyFont="1" applyFill="1" applyBorder="1"/>
    <xf numFmtId="5" fontId="2" fillId="3" borderId="31" xfId="0" applyNumberFormat="1" applyFont="1" applyFill="1" applyBorder="1" applyAlignment="1">
      <alignment horizontal="center"/>
    </xf>
    <xf numFmtId="166" fontId="2" fillId="3" borderId="31" xfId="0" applyNumberFormat="1" applyFont="1" applyFill="1" applyBorder="1" applyAlignment="1">
      <alignment horizontal="center"/>
    </xf>
    <xf numFmtId="5" fontId="2" fillId="3" borderId="32" xfId="0" applyNumberFormat="1" applyFont="1" applyFill="1" applyBorder="1" applyAlignment="1">
      <alignment horizontal="center"/>
    </xf>
    <xf numFmtId="189" fontId="2" fillId="0" borderId="22" xfId="0" applyNumberFormat="1" applyFont="1" applyBorder="1" applyAlignment="1">
      <alignment horizontal="left"/>
    </xf>
    <xf numFmtId="5" fontId="2" fillId="0" borderId="45" xfId="0" applyNumberFormat="1" applyFont="1" applyBorder="1" applyAlignment="1">
      <alignment horizontal="center"/>
    </xf>
    <xf numFmtId="189" fontId="2" fillId="0" borderId="1" xfId="0" applyNumberFormat="1" applyFont="1" applyBorder="1" applyAlignment="1">
      <alignment horizontal="left"/>
    </xf>
    <xf numFmtId="5" fontId="3" fillId="0" borderId="1" xfId="0" applyNumberFormat="1" applyFont="1" applyBorder="1" applyAlignment="1">
      <alignment horizontal="center"/>
    </xf>
    <xf numFmtId="189" fontId="3" fillId="0" borderId="3" xfId="0" applyNumberFormat="1" applyFont="1" applyBorder="1" applyAlignment="1">
      <alignment horizontal="left"/>
    </xf>
    <xf numFmtId="5" fontId="2" fillId="0" borderId="1" xfId="0" applyNumberFormat="1" applyFont="1" applyBorder="1" applyAlignment="1">
      <alignment horizontal="center"/>
    </xf>
    <xf numFmtId="7" fontId="2" fillId="0" borderId="1" xfId="0" applyNumberFormat="1" applyFont="1" applyBorder="1" applyAlignment="1">
      <alignment horizontal="center"/>
    </xf>
    <xf numFmtId="0" fontId="2" fillId="0" borderId="46" xfId="0" applyFont="1" applyBorder="1"/>
    <xf numFmtId="5" fontId="3" fillId="0" borderId="48" xfId="0" applyNumberFormat="1" applyFont="1" applyBorder="1" applyAlignment="1">
      <alignment horizontal="center"/>
    </xf>
    <xf numFmtId="190" fontId="5" fillId="0" borderId="46" xfId="0" applyNumberFormat="1" applyFont="1" applyBorder="1" applyAlignment="1">
      <alignment horizontal="left"/>
    </xf>
    <xf numFmtId="5" fontId="2" fillId="0" borderId="48" xfId="0" applyNumberFormat="1" applyFont="1" applyBorder="1" applyAlignment="1">
      <alignment horizontal="center"/>
    </xf>
    <xf numFmtId="5" fontId="3" fillId="4" borderId="51" xfId="0" applyNumberFormat="1" applyFont="1" applyFill="1" applyBorder="1" applyAlignment="1">
      <alignment horizontal="left"/>
    </xf>
    <xf numFmtId="5" fontId="3" fillId="4" borderId="40" xfId="0" applyNumberFormat="1" applyFont="1" applyFill="1" applyBorder="1" applyAlignment="1">
      <alignment horizontal="center"/>
    </xf>
    <xf numFmtId="166" fontId="3" fillId="4" borderId="52" xfId="0" applyNumberFormat="1" applyFont="1" applyFill="1" applyBorder="1" applyAlignment="1">
      <alignment horizontal="center"/>
    </xf>
    <xf numFmtId="0" fontId="3" fillId="4" borderId="43" xfId="0" applyFont="1" applyFill="1" applyBorder="1"/>
    <xf numFmtId="191" fontId="2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92" fontId="5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5" fontId="5" fillId="0" borderId="1" xfId="0" applyNumberFormat="1" applyFont="1" applyBorder="1" applyAlignment="1">
      <alignment horizontal="center"/>
    </xf>
    <xf numFmtId="10" fontId="2" fillId="0" borderId="0" xfId="0" applyNumberFormat="1" applyFont="1"/>
    <xf numFmtId="170" fontId="5" fillId="0" borderId="1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175" fontId="5" fillId="0" borderId="1" xfId="0" applyNumberFormat="1" applyFont="1" applyBorder="1" applyAlignment="1">
      <alignment horizontal="center"/>
    </xf>
    <xf numFmtId="176" fontId="2" fillId="0" borderId="7" xfId="0" applyNumberFormat="1" applyFont="1" applyBorder="1"/>
    <xf numFmtId="177" fontId="5" fillId="0" borderId="1" xfId="0" applyNumberFormat="1" applyFont="1" applyBorder="1" applyAlignment="1">
      <alignment horizontal="center"/>
    </xf>
    <xf numFmtId="193" fontId="2" fillId="0" borderId="14" xfId="0" applyNumberFormat="1" applyFont="1" applyBorder="1" applyAlignment="1">
      <alignment horizontal="center"/>
    </xf>
    <xf numFmtId="5" fontId="5" fillId="0" borderId="14" xfId="0" applyNumberFormat="1" applyFont="1" applyBorder="1" applyAlignment="1">
      <alignment horizontal="center"/>
    </xf>
    <xf numFmtId="5" fontId="2" fillId="0" borderId="14" xfId="0" applyNumberFormat="1" applyFont="1" applyBorder="1" applyAlignment="1">
      <alignment horizontal="center"/>
    </xf>
    <xf numFmtId="0" fontId="3" fillId="4" borderId="56" xfId="0" applyFont="1" applyFill="1" applyBorder="1"/>
    <xf numFmtId="0" fontId="2" fillId="4" borderId="56" xfId="0" applyFont="1" applyFill="1" applyBorder="1"/>
    <xf numFmtId="5" fontId="3" fillId="4" borderId="31" xfId="0" applyNumberFormat="1" applyFont="1" applyFill="1" applyBorder="1" applyAlignment="1">
      <alignment horizontal="center"/>
    </xf>
    <xf numFmtId="0" fontId="3" fillId="4" borderId="5" xfId="0" applyFont="1" applyFill="1" applyBorder="1"/>
    <xf numFmtId="181" fontId="3" fillId="4" borderId="6" xfId="0" applyNumberFormat="1" applyFont="1" applyFill="1" applyBorder="1" applyAlignment="1">
      <alignment horizontal="center"/>
    </xf>
    <xf numFmtId="0" fontId="3" fillId="4" borderId="7" xfId="0" applyFont="1" applyFill="1" applyBorder="1"/>
    <xf numFmtId="181" fontId="3" fillId="4" borderId="8" xfId="0" applyNumberFormat="1" applyFont="1" applyFill="1" applyBorder="1" applyAlignment="1">
      <alignment horizontal="center"/>
    </xf>
    <xf numFmtId="165" fontId="2" fillId="0" borderId="0" xfId="0" applyNumberFormat="1" applyFont="1"/>
    <xf numFmtId="7" fontId="2" fillId="0" borderId="0" xfId="0" applyNumberFormat="1" applyFont="1"/>
    <xf numFmtId="194" fontId="5" fillId="4" borderId="10" xfId="0" applyNumberFormat="1" applyFont="1" applyFill="1" applyBorder="1" applyAlignment="1">
      <alignment horizontal="left"/>
    </xf>
    <xf numFmtId="6" fontId="3" fillId="4" borderId="11" xfId="0" applyNumberFormat="1" applyFont="1" applyFill="1" applyBorder="1" applyAlignment="1">
      <alignment horizontal="center"/>
    </xf>
    <xf numFmtId="195" fontId="5" fillId="4" borderId="7" xfId="0" applyNumberFormat="1" applyFont="1" applyFill="1" applyBorder="1" applyAlignment="1">
      <alignment horizontal="left"/>
    </xf>
    <xf numFmtId="0" fontId="12" fillId="0" borderId="0" xfId="0" applyFont="1"/>
    <xf numFmtId="196" fontId="3" fillId="0" borderId="0" xfId="0" applyNumberFormat="1" applyFont="1"/>
    <xf numFmtId="198" fontId="2" fillId="0" borderId="13" xfId="0" applyNumberFormat="1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2" fillId="0" borderId="12" xfId="0" applyFont="1" applyBorder="1"/>
    <xf numFmtId="37" fontId="2" fillId="0" borderId="33" xfId="0" applyNumberFormat="1" applyFont="1" applyBorder="1" applyAlignment="1">
      <alignment horizontal="center"/>
    </xf>
    <xf numFmtId="37" fontId="2" fillId="0" borderId="33" xfId="0" applyNumberFormat="1" applyFont="1" applyBorder="1"/>
    <xf numFmtId="199" fontId="5" fillId="0" borderId="58" xfId="0" applyNumberFormat="1" applyFont="1" applyBorder="1" applyAlignment="1">
      <alignment horizontal="left"/>
    </xf>
    <xf numFmtId="5" fontId="2" fillId="0" borderId="59" xfId="0" applyNumberFormat="1" applyFont="1" applyBorder="1" applyAlignment="1">
      <alignment horizontal="center"/>
    </xf>
    <xf numFmtId="37" fontId="2" fillId="0" borderId="59" xfId="0" applyNumberFormat="1" applyFont="1" applyBorder="1"/>
    <xf numFmtId="37" fontId="2" fillId="0" borderId="60" xfId="0" applyNumberFormat="1" applyFont="1" applyBorder="1" applyAlignment="1">
      <alignment horizontal="center"/>
    </xf>
    <xf numFmtId="37" fontId="2" fillId="0" borderId="60" xfId="0" applyNumberFormat="1" applyFont="1" applyBorder="1"/>
    <xf numFmtId="166" fontId="2" fillId="0" borderId="0" xfId="0" applyNumberFormat="1" applyFont="1"/>
    <xf numFmtId="0" fontId="2" fillId="0" borderId="58" xfId="0" applyFont="1" applyBorder="1"/>
    <xf numFmtId="37" fontId="2" fillId="0" borderId="59" xfId="0" applyNumberFormat="1" applyFont="1" applyBorder="1" applyAlignment="1">
      <alignment horizontal="center"/>
    </xf>
    <xf numFmtId="165" fontId="3" fillId="0" borderId="60" xfId="0" applyNumberFormat="1" applyFont="1" applyBorder="1" applyAlignment="1">
      <alignment horizontal="center"/>
    </xf>
    <xf numFmtId="165" fontId="3" fillId="0" borderId="60" xfId="0" applyNumberFormat="1" applyFont="1" applyBorder="1"/>
    <xf numFmtId="5" fontId="2" fillId="0" borderId="0" xfId="0" applyNumberFormat="1" applyFont="1"/>
    <xf numFmtId="0" fontId="2" fillId="0" borderId="64" xfId="0" applyFont="1" applyBorder="1" applyAlignment="1">
      <alignment horizontal="right"/>
    </xf>
    <xf numFmtId="165" fontId="2" fillId="0" borderId="34" xfId="0" applyNumberFormat="1" applyFont="1" applyBorder="1" applyAlignment="1">
      <alignment horizontal="center"/>
    </xf>
    <xf numFmtId="165" fontId="2" fillId="0" borderId="65" xfId="0" applyNumberFormat="1" applyFont="1" applyBorder="1" applyAlignment="1">
      <alignment horizontal="right"/>
    </xf>
    <xf numFmtId="165" fontId="2" fillId="0" borderId="35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2" fillId="0" borderId="64" xfId="0" applyFont="1" applyBorder="1"/>
    <xf numFmtId="200" fontId="2" fillId="0" borderId="34" xfId="0" applyNumberFormat="1" applyFont="1" applyBorder="1" applyAlignment="1">
      <alignment horizontal="center"/>
    </xf>
    <xf numFmtId="0" fontId="3" fillId="0" borderId="64" xfId="0" applyFont="1" applyBorder="1"/>
    <xf numFmtId="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9" fontId="2" fillId="0" borderId="34" xfId="0" applyNumberFormat="1" applyFont="1" applyBorder="1" applyAlignment="1">
      <alignment horizontal="center"/>
    </xf>
    <xf numFmtId="10" fontId="2" fillId="0" borderId="34" xfId="0" applyNumberFormat="1" applyFont="1" applyBorder="1" applyAlignment="1">
      <alignment horizontal="center"/>
    </xf>
    <xf numFmtId="14" fontId="3" fillId="6" borderId="5" xfId="0" applyNumberFormat="1" applyFont="1" applyFill="1" applyBorder="1" applyAlignment="1">
      <alignment horizontal="right" vertical="center"/>
    </xf>
    <xf numFmtId="0" fontId="3" fillId="6" borderId="20" xfId="0" applyFont="1" applyFill="1" applyBorder="1" applyAlignment="1">
      <alignment horizontal="center"/>
    </xf>
    <xf numFmtId="14" fontId="3" fillId="6" borderId="10" xfId="0" applyNumberFormat="1" applyFont="1" applyFill="1" applyBorder="1" applyAlignment="1">
      <alignment horizontal="right" vertical="center"/>
    </xf>
    <xf numFmtId="14" fontId="3" fillId="6" borderId="2" xfId="0" applyNumberFormat="1" applyFont="1" applyFill="1" applyBorder="1"/>
    <xf numFmtId="14" fontId="3" fillId="6" borderId="2" xfId="0" applyNumberFormat="1" applyFont="1" applyFill="1" applyBorder="1" applyAlignment="1">
      <alignment horizontal="center"/>
    </xf>
    <xf numFmtId="14" fontId="3" fillId="6" borderId="11" xfId="0" applyNumberFormat="1" applyFont="1" applyFill="1" applyBorder="1"/>
    <xf numFmtId="0" fontId="13" fillId="0" borderId="57" xfId="0" applyFont="1" applyBorder="1" applyAlignment="1">
      <alignment horizontal="center"/>
    </xf>
    <xf numFmtId="0" fontId="13" fillId="0" borderId="57" xfId="0" applyFont="1" applyBorder="1"/>
    <xf numFmtId="0" fontId="13" fillId="0" borderId="0" xfId="0" applyFont="1"/>
    <xf numFmtId="0" fontId="2" fillId="0" borderId="66" xfId="0" applyFont="1" applyBorder="1" applyAlignment="1">
      <alignment horizontal="center"/>
    </xf>
    <xf numFmtId="201" fontId="3" fillId="0" borderId="1" xfId="0" applyNumberFormat="1" applyFont="1" applyBorder="1"/>
    <xf numFmtId="201" fontId="3" fillId="0" borderId="4" xfId="0" applyNumberFormat="1" applyFont="1" applyBorder="1"/>
    <xf numFmtId="201" fontId="2" fillId="0" borderId="1" xfId="0" applyNumberFormat="1" applyFont="1" applyBorder="1"/>
    <xf numFmtId="201" fontId="2" fillId="0" borderId="1" xfId="0" applyNumberFormat="1" applyFont="1" applyBorder="1" applyAlignment="1">
      <alignment horizontal="center"/>
    </xf>
    <xf numFmtId="0" fontId="2" fillId="6" borderId="43" xfId="0" applyFont="1" applyFill="1" applyBorder="1"/>
    <xf numFmtId="181" fontId="5" fillId="6" borderId="67" xfId="0" applyNumberFormat="1" applyFont="1" applyFill="1" applyBorder="1"/>
    <xf numFmtId="181" fontId="5" fillId="6" borderId="40" xfId="0" applyNumberFormat="1" applyFont="1" applyFill="1" applyBorder="1"/>
    <xf numFmtId="181" fontId="3" fillId="6" borderId="56" xfId="0" applyNumberFormat="1" applyFont="1" applyFill="1" applyBorder="1"/>
    <xf numFmtId="181" fontId="14" fillId="6" borderId="56" xfId="0" applyNumberFormat="1" applyFont="1" applyFill="1" applyBorder="1"/>
    <xf numFmtId="38" fontId="2" fillId="0" borderId="1" xfId="0" applyNumberFormat="1" applyFont="1" applyBorder="1"/>
    <xf numFmtId="5" fontId="4" fillId="0" borderId="1" xfId="0" applyNumberFormat="1" applyFont="1" applyBorder="1"/>
    <xf numFmtId="5" fontId="2" fillId="0" borderId="1" xfId="0" applyNumberFormat="1" applyFont="1" applyBorder="1"/>
    <xf numFmtId="0" fontId="4" fillId="0" borderId="0" xfId="0" applyFont="1"/>
    <xf numFmtId="5" fontId="5" fillId="0" borderId="1" xfId="0" applyNumberFormat="1" applyFont="1" applyBorder="1"/>
    <xf numFmtId="0" fontId="4" fillId="0" borderId="1" xfId="0" applyFont="1" applyBorder="1"/>
    <xf numFmtId="38" fontId="4" fillId="0" borderId="1" xfId="0" applyNumberFormat="1" applyFont="1" applyBorder="1"/>
    <xf numFmtId="38" fontId="5" fillId="0" borderId="1" xfId="0" applyNumberFormat="1" applyFont="1" applyBorder="1"/>
    <xf numFmtId="5" fontId="14" fillId="0" borderId="1" xfId="0" applyNumberFormat="1" applyFont="1" applyBorder="1"/>
    <xf numFmtId="0" fontId="5" fillId="0" borderId="0" xfId="0" applyFont="1"/>
    <xf numFmtId="38" fontId="14" fillId="0" borderId="1" xfId="0" applyNumberFormat="1" applyFont="1" applyBorder="1"/>
    <xf numFmtId="0" fontId="2" fillId="0" borderId="1" xfId="0" applyFont="1" applyBorder="1"/>
    <xf numFmtId="6" fontId="4" fillId="0" borderId="1" xfId="0" applyNumberFormat="1" applyFont="1" applyBorder="1"/>
    <xf numFmtId="165" fontId="2" fillId="0" borderId="1" xfId="0" applyNumberFormat="1" applyFont="1" applyBorder="1"/>
    <xf numFmtId="5" fontId="4" fillId="0" borderId="1" xfId="0" applyNumberFormat="1" applyFont="1" applyBorder="1" applyAlignment="1">
      <alignment horizontal="center" wrapText="1"/>
    </xf>
    <xf numFmtId="38" fontId="2" fillId="0" borderId="14" xfId="0" applyNumberFormat="1" applyFont="1" applyBorder="1"/>
    <xf numFmtId="5" fontId="4" fillId="0" borderId="14" xfId="0" applyNumberFormat="1" applyFont="1" applyBorder="1"/>
    <xf numFmtId="5" fontId="2" fillId="0" borderId="14" xfId="0" applyNumberFormat="1" applyFont="1" applyBorder="1"/>
    <xf numFmtId="38" fontId="3" fillId="0" borderId="16" xfId="0" applyNumberFormat="1" applyFont="1" applyBorder="1"/>
    <xf numFmtId="0" fontId="2" fillId="0" borderId="5" xfId="0" applyFont="1" applyBorder="1"/>
    <xf numFmtId="6" fontId="2" fillId="0" borderId="21" xfId="0" applyNumberFormat="1" applyFont="1" applyBorder="1"/>
    <xf numFmtId="0" fontId="2" fillId="0" borderId="10" xfId="0" applyFont="1" applyBorder="1"/>
    <xf numFmtId="6" fontId="2" fillId="0" borderId="25" xfId="0" applyNumberFormat="1" applyFont="1" applyBorder="1"/>
    <xf numFmtId="0" fontId="2" fillId="0" borderId="4" xfId="0" applyFont="1" applyBorder="1"/>
    <xf numFmtId="0" fontId="2" fillId="0" borderId="3" xfId="0" applyFont="1" applyBorder="1"/>
    <xf numFmtId="6" fontId="2" fillId="0" borderId="64" xfId="0" applyNumberFormat="1" applyFont="1" applyBorder="1"/>
    <xf numFmtId="5" fontId="2" fillId="0" borderId="4" xfId="0" applyNumberFormat="1" applyFont="1" applyBorder="1"/>
    <xf numFmtId="5" fontId="2" fillId="0" borderId="68" xfId="0" applyNumberFormat="1" applyFont="1" applyBorder="1"/>
    <xf numFmtId="164" fontId="2" fillId="0" borderId="33" xfId="0" applyNumberFormat="1" applyFont="1" applyBorder="1"/>
    <xf numFmtId="5" fontId="2" fillId="2" borderId="1" xfId="0" applyNumberFormat="1" applyFont="1" applyFill="1" applyBorder="1"/>
    <xf numFmtId="0" fontId="2" fillId="0" borderId="65" xfId="0" applyFont="1" applyBorder="1"/>
    <xf numFmtId="6" fontId="2" fillId="0" borderId="35" xfId="0" applyNumberFormat="1" applyFont="1" applyBorder="1"/>
    <xf numFmtId="6" fontId="2" fillId="0" borderId="66" xfId="0" applyNumberFormat="1" applyFont="1" applyBorder="1"/>
    <xf numFmtId="6" fontId="2" fillId="2" borderId="1" xfId="0" applyNumberFormat="1" applyFont="1" applyFill="1" applyBorder="1"/>
    <xf numFmtId="165" fontId="2" fillId="2" borderId="1" xfId="0" applyNumberFormat="1" applyFont="1" applyFill="1" applyBorder="1"/>
    <xf numFmtId="37" fontId="3" fillId="2" borderId="1" xfId="0" applyNumberFormat="1" applyFont="1" applyFill="1" applyBorder="1"/>
    <xf numFmtId="37" fontId="3" fillId="0" borderId="4" xfId="0" applyNumberFormat="1" applyFont="1" applyBorder="1"/>
    <xf numFmtId="5" fontId="2" fillId="0" borderId="64" xfId="0" applyNumberFormat="1" applyFont="1" applyBorder="1"/>
    <xf numFmtId="5" fontId="2" fillId="0" borderId="23" xfId="0" applyNumberFormat="1" applyFont="1" applyBorder="1"/>
    <xf numFmtId="5" fontId="3" fillId="0" borderId="23" xfId="0" applyNumberFormat="1" applyFont="1" applyBorder="1"/>
    <xf numFmtId="10" fontId="2" fillId="0" borderId="64" xfId="0" applyNumberFormat="1" applyFont="1" applyBorder="1"/>
    <xf numFmtId="5" fontId="3" fillId="2" borderId="1" xfId="0" applyNumberFormat="1" applyFont="1" applyFill="1" applyBorder="1"/>
    <xf numFmtId="5" fontId="3" fillId="0" borderId="1" xfId="0" applyNumberFormat="1" applyFont="1" applyBorder="1"/>
    <xf numFmtId="10" fontId="3" fillId="0" borderId="3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90" fontId="15" fillId="0" borderId="46" xfId="0" applyNumberFormat="1" applyFont="1" applyBorder="1" applyAlignment="1">
      <alignment horizontal="left"/>
    </xf>
    <xf numFmtId="5" fontId="2" fillId="0" borderId="59" xfId="0" applyNumberFormat="1" applyFont="1" applyBorder="1"/>
    <xf numFmtId="0" fontId="2" fillId="0" borderId="0" xfId="0" applyFont="1" applyAlignment="1">
      <alignment horizontal="left"/>
    </xf>
    <xf numFmtId="0" fontId="3" fillId="6" borderId="6" xfId="0" applyFont="1" applyFill="1" applyBorder="1" applyAlignment="1">
      <alignment horizontal="center"/>
    </xf>
    <xf numFmtId="201" fontId="3" fillId="0" borderId="1" xfId="0" applyNumberFormat="1" applyFont="1" applyBorder="1" applyAlignment="1">
      <alignment horizontal="center"/>
    </xf>
    <xf numFmtId="0" fontId="2" fillId="6" borderId="67" xfId="0" applyFont="1" applyFill="1" applyBorder="1"/>
    <xf numFmtId="10" fontId="2" fillId="6" borderId="67" xfId="0" applyNumberFormat="1" applyFont="1" applyFill="1" applyBorder="1"/>
    <xf numFmtId="181" fontId="5" fillId="6" borderId="56" xfId="0" applyNumberFormat="1" applyFont="1" applyFill="1" applyBorder="1"/>
    <xf numFmtId="0" fontId="5" fillId="0" borderId="1" xfId="0" applyFont="1" applyBorder="1"/>
    <xf numFmtId="0" fontId="5" fillId="0" borderId="4" xfId="0" applyFont="1" applyBorder="1"/>
    <xf numFmtId="38" fontId="5" fillId="0" borderId="4" xfId="0" applyNumberFormat="1" applyFont="1" applyBorder="1"/>
    <xf numFmtId="5" fontId="5" fillId="0" borderId="4" xfId="0" applyNumberFormat="1" applyFont="1" applyBorder="1"/>
    <xf numFmtId="0" fontId="4" fillId="0" borderId="4" xfId="0" applyFont="1" applyBorder="1"/>
    <xf numFmtId="5" fontId="4" fillId="0" borderId="4" xfId="0" applyNumberFormat="1" applyFont="1" applyBorder="1"/>
    <xf numFmtId="0" fontId="16" fillId="0" borderId="1" xfId="0" applyFont="1" applyBorder="1"/>
    <xf numFmtId="165" fontId="4" fillId="0" borderId="1" xfId="0" applyNumberFormat="1" applyFont="1" applyBorder="1"/>
    <xf numFmtId="165" fontId="4" fillId="0" borderId="0" xfId="0" applyNumberFormat="1" applyFont="1"/>
    <xf numFmtId="38" fontId="4" fillId="0" borderId="4" xfId="0" applyNumberFormat="1" applyFont="1" applyBorder="1"/>
    <xf numFmtId="0" fontId="2" fillId="0" borderId="71" xfId="0" applyFont="1" applyBorder="1"/>
    <xf numFmtId="0" fontId="4" fillId="0" borderId="72" xfId="0" applyFont="1" applyBorder="1"/>
    <xf numFmtId="0" fontId="4" fillId="0" borderId="14" xfId="0" applyFont="1" applyBorder="1"/>
    <xf numFmtId="5" fontId="3" fillId="0" borderId="0" xfId="0" applyNumberFormat="1" applyFont="1"/>
    <xf numFmtId="6" fontId="3" fillId="0" borderId="73" xfId="0" applyNumberFormat="1" applyFont="1" applyBorder="1"/>
    <xf numFmtId="5" fontId="3" fillId="0" borderId="73" xfId="0" applyNumberFormat="1" applyFont="1" applyBorder="1"/>
    <xf numFmtId="6" fontId="2" fillId="0" borderId="20" xfId="0" applyNumberFormat="1" applyFont="1" applyBorder="1"/>
    <xf numFmtId="6" fontId="3" fillId="2" borderId="1" xfId="0" applyNumberFormat="1" applyFont="1" applyFill="1" applyBorder="1"/>
    <xf numFmtId="6" fontId="2" fillId="0" borderId="2" xfId="0" applyNumberFormat="1" applyFont="1" applyBorder="1"/>
    <xf numFmtId="165" fontId="3" fillId="2" borderId="1" xfId="0" applyNumberFormat="1" applyFont="1" applyFill="1" applyBorder="1"/>
    <xf numFmtId="5" fontId="2" fillId="0" borderId="44" xfId="0" applyNumberFormat="1" applyFont="1" applyBorder="1"/>
    <xf numFmtId="5" fontId="2" fillId="0" borderId="45" xfId="0" applyNumberFormat="1" applyFont="1" applyBorder="1"/>
    <xf numFmtId="37" fontId="3" fillId="0" borderId="74" xfId="0" applyNumberFormat="1" applyFont="1" applyBorder="1"/>
    <xf numFmtId="10" fontId="3" fillId="0" borderId="64" xfId="0" applyNumberFormat="1" applyFont="1" applyBorder="1"/>
    <xf numFmtId="0" fontId="3" fillId="2" borderId="1" xfId="0" applyFont="1" applyFill="1" applyBorder="1" applyAlignment="1">
      <alignment wrapText="1"/>
    </xf>
    <xf numFmtId="165" fontId="2" fillId="0" borderId="3" xfId="0" applyNumberFormat="1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/>
    <xf numFmtId="5" fontId="4" fillId="0" borderId="0" xfId="0" applyNumberFormat="1" applyFont="1"/>
    <xf numFmtId="203" fontId="2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201" fontId="3" fillId="0" borderId="1" xfId="0" applyNumberFormat="1" applyFont="1" applyBorder="1" applyAlignment="1">
      <alignment horizontal="right"/>
    </xf>
    <xf numFmtId="10" fontId="2" fillId="2" borderId="1" xfId="0" applyNumberFormat="1" applyFont="1" applyFill="1" applyBorder="1"/>
    <xf numFmtId="0" fontId="0" fillId="0" borderId="19" xfId="0" applyBorder="1"/>
    <xf numFmtId="0" fontId="2" fillId="0" borderId="19" xfId="0" applyFont="1" applyBorder="1"/>
    <xf numFmtId="0" fontId="2" fillId="0" borderId="19" xfId="0" applyFont="1" applyBorder="1" applyAlignment="1">
      <alignment horizontal="left" vertical="center"/>
    </xf>
    <xf numFmtId="0" fontId="21" fillId="0" borderId="0" xfId="0" applyFont="1"/>
    <xf numFmtId="0" fontId="21" fillId="0" borderId="19" xfId="0" applyFont="1" applyBorder="1"/>
    <xf numFmtId="0" fontId="3" fillId="0" borderId="30" xfId="0" applyFont="1" applyBorder="1" applyAlignment="1">
      <alignment horizontal="right"/>
    </xf>
    <xf numFmtId="6" fontId="2" fillId="0" borderId="31" xfId="0" applyNumberFormat="1" applyFont="1" applyBorder="1"/>
    <xf numFmtId="0" fontId="3" fillId="0" borderId="61" xfId="0" applyFont="1" applyBorder="1"/>
    <xf numFmtId="182" fontId="2" fillId="0" borderId="30" xfId="0" applyNumberFormat="1" applyFont="1" applyBorder="1" applyAlignment="1">
      <alignment horizontal="left"/>
    </xf>
    <xf numFmtId="38" fontId="2" fillId="0" borderId="31" xfId="0" applyNumberFormat="1" applyFont="1" applyBorder="1" applyAlignment="1">
      <alignment horizontal="center"/>
    </xf>
    <xf numFmtId="0" fontId="2" fillId="0" borderId="75" xfId="0" applyFont="1" applyBorder="1"/>
    <xf numFmtId="179" fontId="2" fillId="0" borderId="31" xfId="0" applyNumberFormat="1" applyFont="1" applyBorder="1" applyAlignment="1">
      <alignment horizontal="center"/>
    </xf>
    <xf numFmtId="185" fontId="3" fillId="0" borderId="31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8" fontId="2" fillId="0" borderId="31" xfId="0" applyNumberFormat="1" applyFont="1" applyBorder="1"/>
    <xf numFmtId="0" fontId="2" fillId="0" borderId="51" xfId="0" applyFont="1" applyBorder="1"/>
    <xf numFmtId="3" fontId="2" fillId="0" borderId="52" xfId="0" applyNumberFormat="1" applyFont="1" applyBorder="1"/>
    <xf numFmtId="5" fontId="3" fillId="4" borderId="6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5" fontId="3" fillId="0" borderId="31" xfId="0" applyNumberFormat="1" applyFont="1" applyBorder="1" applyAlignment="1">
      <alignment horizontal="center"/>
    </xf>
    <xf numFmtId="165" fontId="3" fillId="4" borderId="70" xfId="0" applyNumberFormat="1" applyFont="1" applyFill="1" applyBorder="1" applyAlignment="1">
      <alignment horizontal="center"/>
    </xf>
    <xf numFmtId="166" fontId="3" fillId="4" borderId="70" xfId="0" applyNumberFormat="1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5" fontId="2" fillId="0" borderId="31" xfId="0" applyNumberFormat="1" applyFont="1" applyBorder="1" applyAlignment="1">
      <alignment horizontal="center"/>
    </xf>
    <xf numFmtId="5" fontId="5" fillId="0" borderId="31" xfId="0" applyNumberFormat="1" applyFont="1" applyBorder="1" applyAlignment="1">
      <alignment horizontal="center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6" fontId="3" fillId="0" borderId="31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right"/>
    </xf>
    <xf numFmtId="197" fontId="3" fillId="0" borderId="30" xfId="0" applyNumberFormat="1" applyFont="1" applyBorder="1" applyAlignment="1">
      <alignment horizontal="right"/>
    </xf>
    <xf numFmtId="5" fontId="2" fillId="0" borderId="3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61" xfId="0" applyFont="1" applyBorder="1"/>
    <xf numFmtId="0" fontId="6" fillId="0" borderId="18" xfId="0" applyFont="1" applyBorder="1" applyAlignment="1">
      <alignment horizontal="center"/>
    </xf>
    <xf numFmtId="201" fontId="3" fillId="0" borderId="31" xfId="0" applyNumberFormat="1" applyFont="1" applyBorder="1" applyAlignment="1">
      <alignment horizontal="center"/>
    </xf>
    <xf numFmtId="201" fontId="3" fillId="0" borderId="31" xfId="0" applyNumberFormat="1" applyFont="1" applyBorder="1"/>
    <xf numFmtId="201" fontId="3" fillId="0" borderId="26" xfId="0" applyNumberFormat="1" applyFont="1" applyBorder="1"/>
    <xf numFmtId="10" fontId="2" fillId="6" borderId="28" xfId="0" applyNumberFormat="1" applyFont="1" applyFill="1" applyBorder="1"/>
    <xf numFmtId="9" fontId="3" fillId="0" borderId="56" xfId="0" applyNumberFormat="1" applyFont="1" applyBorder="1" applyAlignment="1">
      <alignment horizontal="center"/>
    </xf>
    <xf numFmtId="0" fontId="2" fillId="0" borderId="69" xfId="0" applyFont="1" applyBorder="1"/>
    <xf numFmtId="176" fontId="2" fillId="0" borderId="69" xfId="0" applyNumberFormat="1" applyFont="1" applyBorder="1"/>
    <xf numFmtId="5" fontId="3" fillId="0" borderId="31" xfId="0" applyNumberFormat="1" applyFont="1" applyBorder="1"/>
    <xf numFmtId="6" fontId="3" fillId="0" borderId="75" xfId="0" applyNumberFormat="1" applyFont="1" applyBorder="1"/>
    <xf numFmtId="5" fontId="3" fillId="0" borderId="75" xfId="0" applyNumberFormat="1" applyFont="1" applyBorder="1"/>
    <xf numFmtId="5" fontId="2" fillId="2" borderId="4" xfId="0" applyNumberFormat="1" applyFont="1" applyFill="1" applyBorder="1"/>
    <xf numFmtId="0" fontId="2" fillId="0" borderId="26" xfId="0" applyFont="1" applyBorder="1"/>
    <xf numFmtId="0" fontId="2" fillId="6" borderId="19" xfId="0" applyFont="1" applyFill="1" applyBorder="1"/>
    <xf numFmtId="6" fontId="3" fillId="0" borderId="3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5" xfId="0" applyFont="1" applyBorder="1"/>
    <xf numFmtId="5" fontId="2" fillId="0" borderId="56" xfId="0" applyNumberFormat="1" applyFont="1" applyBorder="1"/>
    <xf numFmtId="0" fontId="5" fillId="0" borderId="76" xfId="0" applyFont="1" applyBorder="1"/>
    <xf numFmtId="5" fontId="5" fillId="0" borderId="76" xfId="0" applyNumberFormat="1" applyFont="1" applyBorder="1"/>
    <xf numFmtId="0" fontId="4" fillId="0" borderId="76" xfId="0" applyFont="1" applyBorder="1"/>
    <xf numFmtId="5" fontId="4" fillId="0" borderId="76" xfId="0" applyNumberFormat="1" applyFont="1" applyBorder="1"/>
    <xf numFmtId="0" fontId="2" fillId="0" borderId="31" xfId="0" applyFont="1" applyBorder="1"/>
    <xf numFmtId="38" fontId="3" fillId="0" borderId="31" xfId="0" applyNumberFormat="1" applyFont="1" applyBorder="1"/>
    <xf numFmtId="5" fontId="3" fillId="0" borderId="56" xfId="0" applyNumberFormat="1" applyFont="1" applyBorder="1"/>
    <xf numFmtId="5" fontId="3" fillId="0" borderId="55" xfId="0" applyNumberFormat="1" applyFont="1" applyBorder="1"/>
    <xf numFmtId="165" fontId="2" fillId="2" borderId="19" xfId="0" applyNumberFormat="1" applyFont="1" applyFill="1" applyBorder="1"/>
    <xf numFmtId="5" fontId="2" fillId="0" borderId="80" xfId="0" applyNumberFormat="1" applyFont="1" applyBorder="1"/>
    <xf numFmtId="0" fontId="2" fillId="7" borderId="19" xfId="0" applyFont="1" applyFill="1" applyBorder="1"/>
    <xf numFmtId="0" fontId="2" fillId="8" borderId="19" xfId="0" applyFont="1" applyFill="1" applyBorder="1"/>
    <xf numFmtId="0" fontId="3" fillId="0" borderId="26" xfId="0" applyFont="1" applyBorder="1" applyAlignment="1">
      <alignment horizontal="center"/>
    </xf>
    <xf numFmtId="197" fontId="5" fillId="0" borderId="30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 vertical="center"/>
    </xf>
    <xf numFmtId="8" fontId="7" fillId="0" borderId="19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/>
    <xf numFmtId="165" fontId="7" fillId="0" borderId="19" xfId="0" applyNumberFormat="1" applyFont="1" applyBorder="1" applyAlignment="1">
      <alignment horizontal="right" vertical="center"/>
    </xf>
    <xf numFmtId="0" fontId="7" fillId="0" borderId="22" xfId="0" applyFont="1" applyBorder="1"/>
    <xf numFmtId="8" fontId="2" fillId="0" borderId="23" xfId="0" applyNumberFormat="1" applyFont="1" applyBorder="1"/>
    <xf numFmtId="38" fontId="7" fillId="0" borderId="1" xfId="0" applyNumberFormat="1" applyFont="1" applyBorder="1" applyAlignment="1">
      <alignment horizontal="center"/>
    </xf>
    <xf numFmtId="38" fontId="7" fillId="0" borderId="31" xfId="0" applyNumberFormat="1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8" fontId="7" fillId="0" borderId="23" xfId="0" applyNumberFormat="1" applyFont="1" applyBorder="1"/>
    <xf numFmtId="8" fontId="7" fillId="0" borderId="14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5" fontId="4" fillId="0" borderId="1" xfId="0" applyNumberFormat="1" applyFont="1" applyBorder="1" applyAlignment="1">
      <alignment horizontal="center"/>
    </xf>
    <xf numFmtId="166" fontId="21" fillId="0" borderId="19" xfId="0" applyNumberFormat="1" applyFont="1" applyBorder="1"/>
    <xf numFmtId="0" fontId="21" fillId="0" borderId="79" xfId="0" applyFont="1" applyBorder="1"/>
    <xf numFmtId="0" fontId="21" fillId="9" borderId="27" xfId="0" applyFont="1" applyFill="1" applyBorder="1"/>
    <xf numFmtId="0" fontId="21" fillId="9" borderId="76" xfId="0" applyFont="1" applyFill="1" applyBorder="1"/>
    <xf numFmtId="0" fontId="21" fillId="9" borderId="62" xfId="0" applyFont="1" applyFill="1" applyBorder="1"/>
    <xf numFmtId="0" fontId="22" fillId="9" borderId="61" xfId="0" applyFont="1" applyFill="1" applyBorder="1"/>
    <xf numFmtId="0" fontId="21" fillId="9" borderId="30" xfId="0" applyFont="1" applyFill="1" applyBorder="1"/>
    <xf numFmtId="0" fontId="21" fillId="9" borderId="31" xfId="0" applyFont="1" applyFill="1" applyBorder="1"/>
    <xf numFmtId="0" fontId="21" fillId="9" borderId="75" xfId="0" applyFont="1" applyFill="1" applyBorder="1" applyAlignment="1">
      <alignment horizontal="center" vertical="center"/>
    </xf>
    <xf numFmtId="43" fontId="21" fillId="9" borderId="31" xfId="0" applyNumberFormat="1" applyFont="1" applyFill="1" applyBorder="1"/>
    <xf numFmtId="166" fontId="21" fillId="9" borderId="31" xfId="0" applyNumberFormat="1" applyFont="1" applyFill="1" applyBorder="1"/>
    <xf numFmtId="166" fontId="21" fillId="9" borderId="32" xfId="0" applyNumberFormat="1" applyFont="1" applyFill="1" applyBorder="1" applyAlignment="1">
      <alignment horizontal="left" indent="7"/>
    </xf>
    <xf numFmtId="0" fontId="21" fillId="9" borderId="7" xfId="0" applyFont="1" applyFill="1" applyBorder="1"/>
    <xf numFmtId="0" fontId="21" fillId="9" borderId="1" xfId="0" applyFont="1" applyFill="1" applyBorder="1"/>
    <xf numFmtId="0" fontId="21" fillId="9" borderId="4" xfId="0" applyFont="1" applyFill="1" applyBorder="1" applyAlignment="1">
      <alignment horizontal="center" vertical="center"/>
    </xf>
    <xf numFmtId="43" fontId="21" fillId="9" borderId="1" xfId="0" applyNumberFormat="1" applyFont="1" applyFill="1" applyBorder="1"/>
    <xf numFmtId="166" fontId="21" fillId="9" borderId="1" xfId="0" applyNumberFormat="1" applyFont="1" applyFill="1" applyBorder="1"/>
    <xf numFmtId="166" fontId="21" fillId="9" borderId="8" xfId="0" applyNumberFormat="1" applyFont="1" applyFill="1" applyBorder="1" applyAlignment="1">
      <alignment horizontal="left" indent="7"/>
    </xf>
    <xf numFmtId="0" fontId="21" fillId="9" borderId="4" xfId="0" applyFont="1" applyFill="1" applyBorder="1" applyAlignment="1">
      <alignment horizontal="center"/>
    </xf>
    <xf numFmtId="0" fontId="21" fillId="9" borderId="40" xfId="0" applyFont="1" applyFill="1" applyBorder="1"/>
    <xf numFmtId="0" fontId="21" fillId="9" borderId="2" xfId="0" applyFont="1" applyFill="1" applyBorder="1" applyAlignment="1">
      <alignment horizontal="center"/>
    </xf>
    <xf numFmtId="43" fontId="21" fillId="9" borderId="2" xfId="0" applyNumberFormat="1" applyFont="1" applyFill="1" applyBorder="1"/>
    <xf numFmtId="166" fontId="21" fillId="9" borderId="2" xfId="0" applyNumberFormat="1" applyFont="1" applyFill="1" applyBorder="1"/>
    <xf numFmtId="166" fontId="21" fillId="9" borderId="11" xfId="0" applyNumberFormat="1" applyFont="1" applyFill="1" applyBorder="1" applyAlignment="1">
      <alignment horizontal="left" indent="7"/>
    </xf>
    <xf numFmtId="2" fontId="22" fillId="9" borderId="62" xfId="0" applyNumberFormat="1" applyFont="1" applyFill="1" applyBorder="1" applyAlignment="1">
      <alignment horizontal="center"/>
    </xf>
    <xf numFmtId="43" fontId="22" fillId="9" borderId="62" xfId="0" applyNumberFormat="1" applyFont="1" applyFill="1" applyBorder="1"/>
    <xf numFmtId="166" fontId="22" fillId="9" borderId="62" xfId="0" applyNumberFormat="1" applyFont="1" applyFill="1" applyBorder="1"/>
    <xf numFmtId="166" fontId="22" fillId="9" borderId="63" xfId="0" applyNumberFormat="1" applyFont="1" applyFill="1" applyBorder="1" applyAlignment="1">
      <alignment horizontal="left" indent="7"/>
    </xf>
    <xf numFmtId="0" fontId="21" fillId="9" borderId="1" xfId="0" applyFont="1" applyFill="1" applyBorder="1" applyAlignment="1">
      <alignment horizontal="center" vertical="center"/>
    </xf>
    <xf numFmtId="179" fontId="21" fillId="9" borderId="1" xfId="0" applyNumberFormat="1" applyFont="1" applyFill="1" applyBorder="1"/>
    <xf numFmtId="0" fontId="21" fillId="9" borderId="8" xfId="0" applyFont="1" applyFill="1" applyBorder="1"/>
    <xf numFmtId="0" fontId="21" fillId="9" borderId="2" xfId="0" applyFont="1" applyFill="1" applyBorder="1"/>
    <xf numFmtId="0" fontId="21" fillId="9" borderId="2" xfId="0" applyFont="1" applyFill="1" applyBorder="1" applyAlignment="1">
      <alignment horizontal="center" vertical="center"/>
    </xf>
    <xf numFmtId="179" fontId="21" fillId="9" borderId="2" xfId="0" applyNumberFormat="1" applyFont="1" applyFill="1" applyBorder="1"/>
    <xf numFmtId="0" fontId="21" fillId="9" borderId="11" xfId="0" applyFont="1" applyFill="1" applyBorder="1"/>
    <xf numFmtId="2" fontId="21" fillId="9" borderId="1" xfId="0" applyNumberFormat="1" applyFont="1" applyFill="1" applyBorder="1" applyAlignment="1">
      <alignment horizontal="center" vertical="center"/>
    </xf>
    <xf numFmtId="43" fontId="21" fillId="9" borderId="1" xfId="0" applyNumberFormat="1" applyFont="1" applyFill="1" applyBorder="1" applyAlignment="1">
      <alignment horizontal="center" vertical="center"/>
    </xf>
    <xf numFmtId="43" fontId="21" fillId="9" borderId="2" xfId="0" applyNumberFormat="1" applyFont="1" applyFill="1" applyBorder="1" applyAlignment="1">
      <alignment horizontal="center" vertical="center"/>
    </xf>
    <xf numFmtId="0" fontId="19" fillId="9" borderId="70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20" fillId="9" borderId="18" xfId="0" applyFont="1" applyFill="1" applyBorder="1" applyAlignment="1">
      <alignment horizontal="left" vertical="center" indent="1"/>
    </xf>
    <xf numFmtId="0" fontId="19" fillId="9" borderId="19" xfId="0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vertical="center"/>
    </xf>
    <xf numFmtId="0" fontId="20" fillId="9" borderId="19" xfId="0" applyFont="1" applyFill="1" applyBorder="1" applyAlignment="1">
      <alignment vertical="center"/>
    </xf>
    <xf numFmtId="0" fontId="20" fillId="9" borderId="61" xfId="0" applyFont="1" applyFill="1" applyBorder="1" applyAlignment="1">
      <alignment horizontal="left" vertical="center" indent="1"/>
    </xf>
    <xf numFmtId="0" fontId="20" fillId="9" borderId="62" xfId="0" applyFont="1" applyFill="1" applyBorder="1" applyAlignment="1">
      <alignment vertical="center"/>
    </xf>
    <xf numFmtId="37" fontId="4" fillId="9" borderId="4" xfId="0" applyNumberFormat="1" applyFont="1" applyFill="1" applyBorder="1" applyAlignment="1">
      <alignment horizontal="center" vertical="center"/>
    </xf>
    <xf numFmtId="37" fontId="4" fillId="9" borderId="8" xfId="0" applyNumberFormat="1" applyFont="1" applyFill="1" applyBorder="1" applyAlignment="1">
      <alignment horizontal="center" vertical="center"/>
    </xf>
    <xf numFmtId="7" fontId="4" fillId="9" borderId="4" xfId="0" applyNumberFormat="1" applyFont="1" applyFill="1" applyBorder="1" applyAlignment="1">
      <alignment horizontal="center" vertical="center"/>
    </xf>
    <xf numFmtId="7" fontId="7" fillId="9" borderId="8" xfId="0" applyNumberFormat="1" applyFont="1" applyFill="1" applyBorder="1" applyAlignment="1">
      <alignment horizontal="center" vertical="center"/>
    </xf>
    <xf numFmtId="7" fontId="23" fillId="9" borderId="8" xfId="0" quotePrefix="1" applyNumberFormat="1" applyFont="1" applyFill="1" applyBorder="1" applyAlignment="1">
      <alignment horizontal="center" vertical="center"/>
    </xf>
    <xf numFmtId="0" fontId="20" fillId="9" borderId="64" xfId="0" applyFont="1" applyFill="1" applyBorder="1" applyAlignment="1">
      <alignment horizontal="left" vertical="center" indent="1"/>
    </xf>
    <xf numFmtId="7" fontId="4" fillId="9" borderId="1" xfId="0" applyNumberFormat="1" applyFont="1" applyFill="1" applyBorder="1" applyAlignment="1">
      <alignment horizontal="center" vertical="center"/>
    </xf>
    <xf numFmtId="0" fontId="20" fillId="9" borderId="27" xfId="0" applyFont="1" applyFill="1" applyBorder="1" applyAlignment="1">
      <alignment vertical="center"/>
    </xf>
    <xf numFmtId="0" fontId="9" fillId="9" borderId="27" xfId="0" applyFont="1" applyFill="1" applyBorder="1" applyAlignment="1">
      <alignment horizontal="center" vertical="center"/>
    </xf>
    <xf numFmtId="0" fontId="19" fillId="9" borderId="27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vertical="center"/>
    </xf>
    <xf numFmtId="0" fontId="20" fillId="9" borderId="66" xfId="0" applyFont="1" applyFill="1" applyBorder="1" applyAlignment="1">
      <alignment horizontal="left" vertical="center" indent="1"/>
    </xf>
    <xf numFmtId="0" fontId="19" fillId="9" borderId="76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vertical="center"/>
    </xf>
    <xf numFmtId="0" fontId="20" fillId="9" borderId="4" xfId="0" applyFont="1" applyFill="1" applyBorder="1" applyAlignment="1">
      <alignment vertical="center"/>
    </xf>
    <xf numFmtId="0" fontId="7" fillId="9" borderId="73" xfId="0" applyFont="1" applyFill="1" applyBorder="1" applyAlignment="1">
      <alignment vertical="center"/>
    </xf>
    <xf numFmtId="0" fontId="9" fillId="9" borderId="73" xfId="0" applyFont="1" applyFill="1" applyBorder="1" applyAlignment="1">
      <alignment horizontal="center" vertical="center"/>
    </xf>
    <xf numFmtId="0" fontId="20" fillId="9" borderId="68" xfId="0" applyFont="1" applyFill="1" applyBorder="1" applyAlignment="1">
      <alignment horizontal="left" vertical="center" indent="1"/>
    </xf>
    <xf numFmtId="0" fontId="19" fillId="9" borderId="62" xfId="0" applyFont="1" applyFill="1" applyBorder="1" applyAlignment="1">
      <alignment horizontal="center" vertical="center"/>
    </xf>
    <xf numFmtId="0" fontId="25" fillId="9" borderId="43" xfId="0" applyFont="1" applyFill="1" applyBorder="1" applyAlignment="1">
      <alignment horizontal="left" vertical="center"/>
    </xf>
    <xf numFmtId="0" fontId="9" fillId="9" borderId="70" xfId="0" applyFont="1" applyFill="1" applyBorder="1" applyAlignment="1">
      <alignment horizontal="center" vertical="center"/>
    </xf>
    <xf numFmtId="37" fontId="7" fillId="9" borderId="67" xfId="0" applyNumberFormat="1" applyFont="1" applyFill="1" applyBorder="1" applyAlignment="1">
      <alignment horizontal="center" vertical="center"/>
    </xf>
    <xf numFmtId="37" fontId="7" fillId="9" borderId="83" xfId="0" applyNumberFormat="1" applyFont="1" applyFill="1" applyBorder="1" applyAlignment="1">
      <alignment horizontal="center" vertical="center"/>
    </xf>
    <xf numFmtId="37" fontId="4" fillId="9" borderId="31" xfId="0" applyNumberFormat="1" applyFont="1" applyFill="1" applyBorder="1" applyAlignment="1">
      <alignment horizontal="center" vertical="center"/>
    </xf>
    <xf numFmtId="37" fontId="4" fillId="9" borderId="32" xfId="0" applyNumberFormat="1" applyFont="1" applyFill="1" applyBorder="1" applyAlignment="1">
      <alignment horizontal="center" vertical="center"/>
    </xf>
    <xf numFmtId="0" fontId="9" fillId="9" borderId="85" xfId="0" applyFont="1" applyFill="1" applyBorder="1" applyAlignment="1">
      <alignment horizontal="center" vertical="center"/>
    </xf>
    <xf numFmtId="37" fontId="7" fillId="9" borderId="85" xfId="0" applyNumberFormat="1" applyFont="1" applyFill="1" applyBorder="1" applyAlignment="1">
      <alignment horizontal="center" vertical="center"/>
    </xf>
    <xf numFmtId="0" fontId="7" fillId="9" borderId="70" xfId="0" applyFont="1" applyFill="1" applyBorder="1" applyAlignment="1">
      <alignment vertical="center"/>
    </xf>
    <xf numFmtId="0" fontId="7" fillId="9" borderId="85" xfId="0" applyFont="1" applyFill="1" applyBorder="1" applyAlignment="1">
      <alignment vertical="center"/>
    </xf>
    <xf numFmtId="0" fontId="19" fillId="9" borderId="80" xfId="0" applyFont="1" applyFill="1" applyBorder="1" applyAlignment="1">
      <alignment horizontal="center" vertical="center"/>
    </xf>
    <xf numFmtId="37" fontId="4" fillId="9" borderId="23" xfId="0" applyNumberFormat="1" applyFont="1" applyFill="1" applyBorder="1" applyAlignment="1">
      <alignment horizontal="center" vertical="center"/>
    </xf>
    <xf numFmtId="37" fontId="4" fillId="9" borderId="24" xfId="0" applyNumberFormat="1" applyFont="1" applyFill="1" applyBorder="1" applyAlignment="1">
      <alignment horizontal="center" vertical="center"/>
    </xf>
    <xf numFmtId="0" fontId="25" fillId="9" borderId="61" xfId="0" applyFont="1" applyFill="1" applyBorder="1" applyAlignment="1">
      <alignment horizontal="left" vertical="center"/>
    </xf>
    <xf numFmtId="5" fontId="7" fillId="9" borderId="56" xfId="0" applyNumberFormat="1" applyFont="1" applyFill="1" applyBorder="1" applyAlignment="1">
      <alignment horizontal="center" vertical="center"/>
    </xf>
    <xf numFmtId="5" fontId="7" fillId="9" borderId="86" xfId="0" applyNumberFormat="1" applyFont="1" applyFill="1" applyBorder="1" applyAlignment="1">
      <alignment horizontal="center" vertical="center"/>
    </xf>
    <xf numFmtId="0" fontId="19" fillId="9" borderId="74" xfId="0" applyFont="1" applyFill="1" applyBorder="1" applyAlignment="1">
      <alignment horizontal="center" vertical="center"/>
    </xf>
    <xf numFmtId="37" fontId="4" fillId="9" borderId="74" xfId="0" applyNumberFormat="1" applyFont="1" applyFill="1" applyBorder="1" applyAlignment="1">
      <alignment horizontal="center" vertical="center"/>
    </xf>
    <xf numFmtId="37" fontId="4" fillId="9" borderId="56" xfId="0" applyNumberFormat="1" applyFont="1" applyFill="1" applyBorder="1" applyAlignment="1">
      <alignment horizontal="center" vertical="center"/>
    </xf>
    <xf numFmtId="37" fontId="4" fillId="9" borderId="86" xfId="0" applyNumberFormat="1" applyFont="1" applyFill="1" applyBorder="1" applyAlignment="1">
      <alignment horizontal="center" vertical="center"/>
    </xf>
    <xf numFmtId="0" fontId="20" fillId="9" borderId="80" xfId="0" applyFont="1" applyFill="1" applyBorder="1" applyAlignment="1">
      <alignment vertical="center"/>
    </xf>
    <xf numFmtId="0" fontId="20" fillId="9" borderId="74" xfId="0" applyFont="1" applyFill="1" applyBorder="1" applyAlignment="1">
      <alignment vertical="center"/>
    </xf>
    <xf numFmtId="5" fontId="7" fillId="9" borderId="40" xfId="0" applyNumberFormat="1" applyFont="1" applyFill="1" applyBorder="1" applyAlignment="1">
      <alignment horizontal="center" vertical="center"/>
    </xf>
    <xf numFmtId="5" fontId="7" fillId="9" borderId="52" xfId="0" applyNumberFormat="1" applyFont="1" applyFill="1" applyBorder="1" applyAlignment="1">
      <alignment horizontal="center" vertical="center"/>
    </xf>
    <xf numFmtId="37" fontId="7" fillId="9" borderId="70" xfId="0" applyNumberFormat="1" applyFont="1" applyFill="1" applyBorder="1" applyAlignment="1">
      <alignment horizontal="center" vertical="center"/>
    </xf>
    <xf numFmtId="37" fontId="7" fillId="9" borderId="42" xfId="0" applyNumberFormat="1" applyFont="1" applyFill="1" applyBorder="1" applyAlignment="1">
      <alignment horizontal="center" vertical="center"/>
    </xf>
    <xf numFmtId="7" fontId="20" fillId="9" borderId="1" xfId="0" applyNumberFormat="1" applyFont="1" applyFill="1" applyBorder="1" applyAlignment="1">
      <alignment horizontal="center" vertical="center"/>
    </xf>
    <xf numFmtId="37" fontId="4" fillId="9" borderId="55" xfId="0" applyNumberFormat="1" applyFont="1" applyFill="1" applyBorder="1" applyAlignment="1">
      <alignment horizontal="center" vertical="center"/>
    </xf>
    <xf numFmtId="7" fontId="4" fillId="9" borderId="25" xfId="0" applyNumberFormat="1" applyFont="1" applyFill="1" applyBorder="1" applyAlignment="1">
      <alignment horizontal="center" vertical="center"/>
    </xf>
    <xf numFmtId="7" fontId="20" fillId="9" borderId="2" xfId="0" applyNumberFormat="1" applyFont="1" applyFill="1" applyBorder="1" applyAlignment="1">
      <alignment horizontal="center" vertical="center"/>
    </xf>
    <xf numFmtId="7" fontId="4" fillId="9" borderId="40" xfId="0" applyNumberFormat="1" applyFont="1" applyFill="1" applyBorder="1" applyAlignment="1">
      <alignment horizontal="center" vertical="center"/>
    </xf>
    <xf numFmtId="7" fontId="20" fillId="9" borderId="52" xfId="0" applyNumberFormat="1" applyFont="1" applyFill="1" applyBorder="1" applyAlignment="1">
      <alignment horizontal="center" vertical="center"/>
    </xf>
    <xf numFmtId="0" fontId="2" fillId="9" borderId="19" xfId="0" applyFont="1" applyFill="1" applyBorder="1"/>
    <xf numFmtId="166" fontId="3" fillId="0" borderId="19" xfId="0" applyNumberFormat="1" applyFont="1" applyBorder="1" applyAlignment="1">
      <alignment horizontal="center"/>
    </xf>
    <xf numFmtId="179" fontId="2" fillId="0" borderId="19" xfId="0" applyNumberFormat="1" applyFont="1" applyBorder="1" applyAlignment="1">
      <alignment horizontal="center"/>
    </xf>
    <xf numFmtId="185" fontId="3" fillId="0" borderId="19" xfId="0" applyNumberFormat="1" applyFont="1" applyBorder="1" applyAlignment="1">
      <alignment horizontal="center" vertical="center"/>
    </xf>
    <xf numFmtId="179" fontId="2" fillId="9" borderId="19" xfId="0" applyNumberFormat="1" applyFont="1" applyFill="1" applyBorder="1" applyAlignment="1">
      <alignment horizontal="center"/>
    </xf>
    <xf numFmtId="0" fontId="2" fillId="3" borderId="41" xfId="0" applyFont="1" applyFill="1" applyBorder="1"/>
    <xf numFmtId="5" fontId="2" fillId="3" borderId="86" xfId="0" applyNumberFormat="1" applyFont="1" applyFill="1" applyBorder="1" applyAlignment="1">
      <alignment horizontal="center"/>
    </xf>
    <xf numFmtId="191" fontId="7" fillId="0" borderId="1" xfId="0" applyNumberFormat="1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9" fontId="2" fillId="0" borderId="0" xfId="0" applyNumberFormat="1" applyFont="1"/>
    <xf numFmtId="0" fontId="6" fillId="0" borderId="19" xfId="0" applyFont="1" applyBorder="1"/>
    <xf numFmtId="180" fontId="6" fillId="0" borderId="19" xfId="0" applyNumberFormat="1" applyFont="1" applyBorder="1"/>
    <xf numFmtId="0" fontId="2" fillId="0" borderId="19" xfId="0" applyFont="1" applyBorder="1" applyAlignment="1">
      <alignment horizontal="right"/>
    </xf>
    <xf numFmtId="186" fontId="2" fillId="0" borderId="19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right"/>
    </xf>
    <xf numFmtId="188" fontId="5" fillId="0" borderId="19" xfId="0" applyNumberFormat="1" applyFont="1" applyBorder="1"/>
    <xf numFmtId="37" fontId="4" fillId="9" borderId="9" xfId="0" applyNumberFormat="1" applyFont="1" applyFill="1" applyBorder="1" applyAlignment="1">
      <alignment horizontal="center" vertical="center"/>
    </xf>
    <xf numFmtId="37" fontId="4" fillId="9" borderId="44" xfId="0" applyNumberFormat="1" applyFont="1" applyFill="1" applyBorder="1" applyAlignment="1">
      <alignment horizontal="center" vertical="center"/>
    </xf>
    <xf numFmtId="7" fontId="20" fillId="9" borderId="87" xfId="0" applyNumberFormat="1" applyFont="1" applyFill="1" applyBorder="1" applyAlignment="1">
      <alignment horizontal="center" vertical="center"/>
    </xf>
    <xf numFmtId="5" fontId="7" fillId="9" borderId="9" xfId="0" applyNumberFormat="1" applyFont="1" applyFill="1" applyBorder="1" applyAlignment="1">
      <alignment horizontal="center" vertical="center"/>
    </xf>
    <xf numFmtId="5" fontId="7" fillId="9" borderId="63" xfId="0" applyNumberFormat="1" applyFont="1" applyFill="1" applyBorder="1" applyAlignment="1">
      <alignment horizontal="center" vertical="center"/>
    </xf>
    <xf numFmtId="7" fontId="20" fillId="9" borderId="11" xfId="0" applyNumberFormat="1" applyFont="1" applyFill="1" applyBorder="1" applyAlignment="1">
      <alignment horizontal="center" vertical="center"/>
    </xf>
    <xf numFmtId="1" fontId="7" fillId="9" borderId="88" xfId="0" applyNumberFormat="1" applyFont="1" applyFill="1" applyBorder="1" applyAlignment="1">
      <alignment horizontal="center" vertical="center"/>
    </xf>
    <xf numFmtId="2" fontId="7" fillId="9" borderId="52" xfId="0" applyNumberFormat="1" applyFont="1" applyFill="1" applyBorder="1" applyAlignment="1">
      <alignment horizontal="center" vertical="center"/>
    </xf>
    <xf numFmtId="165" fontId="4" fillId="9" borderId="23" xfId="0" applyNumberFormat="1" applyFont="1" applyFill="1" applyBorder="1" applyAlignment="1">
      <alignment horizontal="center" vertical="center"/>
    </xf>
    <xf numFmtId="165" fontId="4" fillId="9" borderId="24" xfId="0" applyNumberFormat="1" applyFont="1" applyFill="1" applyBorder="1" applyAlignment="1">
      <alignment horizontal="center" vertical="center"/>
    </xf>
    <xf numFmtId="181" fontId="4" fillId="9" borderId="23" xfId="0" applyNumberFormat="1" applyFont="1" applyFill="1" applyBorder="1" applyAlignment="1">
      <alignment horizontal="center" vertical="center" wrapText="1"/>
    </xf>
    <xf numFmtId="181" fontId="4" fillId="9" borderId="24" xfId="0" applyNumberFormat="1" applyFont="1" applyFill="1" applyBorder="1" applyAlignment="1">
      <alignment horizontal="center" vertical="center"/>
    </xf>
    <xf numFmtId="0" fontId="20" fillId="9" borderId="65" xfId="0" applyFont="1" applyFill="1" applyBorder="1" applyAlignment="1">
      <alignment horizontal="left" vertical="center" indent="1"/>
    </xf>
    <xf numFmtId="0" fontId="19" fillId="9" borderId="7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vertical="center"/>
    </xf>
    <xf numFmtId="200" fontId="7" fillId="9" borderId="19" xfId="0" applyNumberFormat="1" applyFont="1" applyFill="1" applyBorder="1" applyAlignment="1">
      <alignment horizontal="right" vertical="center"/>
    </xf>
    <xf numFmtId="2" fontId="7" fillId="9" borderId="19" xfId="0" applyNumberFormat="1" applyFont="1" applyFill="1" applyBorder="1" applyAlignment="1">
      <alignment horizontal="right" vertical="center"/>
    </xf>
    <xf numFmtId="204" fontId="7" fillId="9" borderId="19" xfId="0" applyNumberFormat="1" applyFont="1" applyFill="1" applyBorder="1" applyAlignment="1">
      <alignment horizontal="right" vertical="center"/>
    </xf>
    <xf numFmtId="2" fontId="2" fillId="9" borderId="19" xfId="0" applyNumberFormat="1" applyFont="1" applyFill="1" applyBorder="1" applyAlignment="1">
      <alignment vertical="center"/>
    </xf>
    <xf numFmtId="0" fontId="7" fillId="9" borderId="19" xfId="0" applyFont="1" applyFill="1" applyBorder="1" applyAlignment="1">
      <alignment horizontal="right" vertical="center"/>
    </xf>
    <xf numFmtId="0" fontId="3" fillId="9" borderId="18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vertical="center"/>
    </xf>
    <xf numFmtId="0" fontId="7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vertical="center"/>
    </xf>
    <xf numFmtId="0" fontId="2" fillId="9" borderId="18" xfId="0" applyFont="1" applyFill="1" applyBorder="1" applyAlignment="1">
      <alignment horizontal="left" vertical="center"/>
    </xf>
    <xf numFmtId="38" fontId="7" fillId="9" borderId="9" xfId="0" applyNumberFormat="1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horizontal="left" vertical="center"/>
    </xf>
    <xf numFmtId="165" fontId="5" fillId="9" borderId="62" xfId="0" applyNumberFormat="1" applyFont="1" applyFill="1" applyBorder="1" applyAlignment="1">
      <alignment horizontal="right" vertical="center"/>
    </xf>
    <xf numFmtId="8" fontId="7" fillId="9" borderId="63" xfId="0" applyNumberFormat="1" applyFont="1" applyFill="1" applyBorder="1" applyAlignment="1">
      <alignment horizontal="center" vertical="center"/>
    </xf>
    <xf numFmtId="8" fontId="2" fillId="0" borderId="19" xfId="0" applyNumberFormat="1" applyFont="1" applyBorder="1"/>
    <xf numFmtId="0" fontId="21" fillId="9" borderId="18" xfId="0" applyFont="1" applyFill="1" applyBorder="1"/>
    <xf numFmtId="0" fontId="21" fillId="9" borderId="19" xfId="0" applyFont="1" applyFill="1" applyBorder="1"/>
    <xf numFmtId="0" fontId="21" fillId="9" borderId="9" xfId="0" applyFont="1" applyFill="1" applyBorder="1"/>
    <xf numFmtId="0" fontId="0" fillId="9" borderId="18" xfId="0" applyFill="1" applyBorder="1"/>
    <xf numFmtId="166" fontId="21" fillId="9" borderId="19" xfId="0" applyNumberFormat="1" applyFont="1" applyFill="1" applyBorder="1"/>
    <xf numFmtId="0" fontId="21" fillId="9" borderId="61" xfId="0" applyFont="1" applyFill="1" applyBorder="1"/>
    <xf numFmtId="0" fontId="21" fillId="9" borderId="69" xfId="0" applyFont="1" applyFill="1" applyBorder="1"/>
    <xf numFmtId="0" fontId="21" fillId="9" borderId="74" xfId="0" applyFont="1" applyFill="1" applyBorder="1"/>
    <xf numFmtId="43" fontId="21" fillId="9" borderId="76" xfId="0" applyNumberFormat="1" applyFont="1" applyFill="1" applyBorder="1"/>
    <xf numFmtId="0" fontId="21" fillId="9" borderId="23" xfId="0" applyFont="1" applyFill="1" applyBorder="1"/>
    <xf numFmtId="166" fontId="21" fillId="9" borderId="23" xfId="0" applyNumberFormat="1" applyFont="1" applyFill="1" applyBorder="1"/>
    <xf numFmtId="0" fontId="21" fillId="9" borderId="56" xfId="0" applyFont="1" applyFill="1" applyBorder="1"/>
    <xf numFmtId="166" fontId="21" fillId="9" borderId="69" xfId="0" applyNumberFormat="1" applyFont="1" applyFill="1" applyBorder="1"/>
    <xf numFmtId="166" fontId="21" fillId="9" borderId="44" xfId="0" applyNumberFormat="1" applyFont="1" applyFill="1" applyBorder="1"/>
    <xf numFmtId="166" fontId="21" fillId="9" borderId="87" xfId="0" applyNumberFormat="1" applyFont="1" applyFill="1" applyBorder="1"/>
    <xf numFmtId="0" fontId="21" fillId="9" borderId="77" xfId="0" applyFont="1" applyFill="1" applyBorder="1"/>
    <xf numFmtId="43" fontId="21" fillId="9" borderId="25" xfId="0" applyNumberFormat="1" applyFont="1" applyFill="1" applyBorder="1"/>
    <xf numFmtId="0" fontId="6" fillId="9" borderId="19" xfId="0" applyFont="1" applyFill="1" applyBorder="1"/>
    <xf numFmtId="180" fontId="6" fillId="9" borderId="19" xfId="0" applyNumberFormat="1" applyFont="1" applyFill="1" applyBorder="1"/>
    <xf numFmtId="0" fontId="2" fillId="9" borderId="19" xfId="0" applyFont="1" applyFill="1" applyBorder="1" applyAlignment="1">
      <alignment horizontal="right"/>
    </xf>
    <xf numFmtId="186" fontId="2" fillId="9" borderId="19" xfId="0" applyNumberFormat="1" applyFont="1" applyFill="1" applyBorder="1" applyAlignment="1">
      <alignment horizontal="right"/>
    </xf>
    <xf numFmtId="187" fontId="2" fillId="9" borderId="19" xfId="0" applyNumberFormat="1" applyFont="1" applyFill="1" applyBorder="1" applyAlignment="1">
      <alignment horizontal="right"/>
    </xf>
    <xf numFmtId="188" fontId="2" fillId="9" borderId="19" xfId="0" applyNumberFormat="1" applyFont="1" applyFill="1" applyBorder="1"/>
    <xf numFmtId="8" fontId="4" fillId="9" borderId="9" xfId="0" applyNumberFormat="1" applyFont="1" applyFill="1" applyBorder="1" applyAlignment="1">
      <alignment horizontal="center" vertical="center"/>
    </xf>
    <xf numFmtId="5" fontId="7" fillId="0" borderId="31" xfId="0" applyNumberFormat="1" applyFont="1" applyBorder="1" applyAlignment="1">
      <alignment horizontal="center"/>
    </xf>
    <xf numFmtId="37" fontId="7" fillId="9" borderId="31" xfId="0" applyNumberFormat="1" applyFont="1" applyFill="1" applyBorder="1" applyAlignment="1">
      <alignment horizontal="center" vertical="center"/>
    </xf>
    <xf numFmtId="37" fontId="7" fillId="9" borderId="75" xfId="0" applyNumberFormat="1" applyFont="1" applyFill="1" applyBorder="1" applyAlignment="1">
      <alignment horizontal="center" vertical="center"/>
    </xf>
    <xf numFmtId="37" fontId="7" fillId="9" borderId="73" xfId="0" applyNumberFormat="1" applyFont="1" applyFill="1" applyBorder="1" applyAlignment="1">
      <alignment horizontal="center" vertical="center"/>
    </xf>
    <xf numFmtId="37" fontId="7" fillId="9" borderId="56" xfId="0" applyNumberFormat="1" applyFont="1" applyFill="1" applyBorder="1" applyAlignment="1">
      <alignment horizontal="center" vertical="center"/>
    </xf>
    <xf numFmtId="37" fontId="7" fillId="9" borderId="32" xfId="0" applyNumberFormat="1" applyFont="1" applyFill="1" applyBorder="1" applyAlignment="1">
      <alignment horizontal="center" vertical="center"/>
    </xf>
    <xf numFmtId="37" fontId="7" fillId="9" borderId="86" xfId="0" applyNumberFormat="1" applyFont="1" applyFill="1" applyBorder="1" applyAlignment="1">
      <alignment horizontal="center" vertical="center"/>
    </xf>
    <xf numFmtId="37" fontId="7" fillId="9" borderId="9" xfId="0" applyNumberFormat="1" applyFont="1" applyFill="1" applyBorder="1" applyAlignment="1">
      <alignment horizontal="center" vertical="center"/>
    </xf>
    <xf numFmtId="37" fontId="7" fillId="9" borderId="53" xfId="0" applyNumberFormat="1" applyFont="1" applyFill="1" applyBorder="1" applyAlignment="1">
      <alignment horizontal="center" vertical="center"/>
    </xf>
    <xf numFmtId="6" fontId="2" fillId="0" borderId="27" xfId="0" applyNumberFormat="1" applyFont="1" applyBorder="1"/>
    <xf numFmtId="10" fontId="2" fillId="0" borderId="27" xfId="0" applyNumberFormat="1" applyFont="1" applyBorder="1"/>
    <xf numFmtId="10" fontId="3" fillId="0" borderId="27" xfId="0" applyNumberFormat="1" applyFont="1" applyBorder="1"/>
    <xf numFmtId="197" fontId="3" fillId="0" borderId="41" xfId="0" applyNumberFormat="1" applyFont="1" applyBorder="1" applyAlignment="1">
      <alignment horizontal="right"/>
    </xf>
    <xf numFmtId="10" fontId="3" fillId="0" borderId="34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6" fontId="3" fillId="0" borderId="1" xfId="0" applyNumberFormat="1" applyFont="1" applyBorder="1" applyAlignment="1">
      <alignment horizontal="center" vertical="center"/>
    </xf>
    <xf numFmtId="5" fontId="2" fillId="0" borderId="32" xfId="0" applyNumberFormat="1" applyFont="1" applyBorder="1" applyAlignment="1">
      <alignment horizontal="center" vertical="center"/>
    </xf>
    <xf numFmtId="5" fontId="2" fillId="0" borderId="86" xfId="0" applyNumberFormat="1" applyFont="1" applyBorder="1" applyAlignment="1">
      <alignment horizontal="center" vertical="center"/>
    </xf>
    <xf numFmtId="5" fontId="2" fillId="0" borderId="15" xfId="0" applyNumberFormat="1" applyFont="1" applyBorder="1" applyAlignment="1">
      <alignment horizontal="center" vertical="center"/>
    </xf>
    <xf numFmtId="5" fontId="2" fillId="0" borderId="32" xfId="0" applyNumberFormat="1" applyFont="1" applyBorder="1" applyAlignment="1">
      <alignment horizontal="center"/>
    </xf>
    <xf numFmtId="5" fontId="2" fillId="0" borderId="86" xfId="0" applyNumberFormat="1" applyFont="1" applyBorder="1" applyAlignment="1">
      <alignment horizontal="center"/>
    </xf>
    <xf numFmtId="5" fontId="2" fillId="0" borderId="24" xfId="0" applyNumberFormat="1" applyFont="1" applyBorder="1" applyAlignment="1">
      <alignment horizontal="center"/>
    </xf>
    <xf numFmtId="5" fontId="2" fillId="0" borderId="15" xfId="0" applyNumberFormat="1" applyFont="1" applyBorder="1" applyAlignment="1">
      <alignment horizontal="center"/>
    </xf>
    <xf numFmtId="5" fontId="3" fillId="0" borderId="32" xfId="0" applyNumberFormat="1" applyFont="1" applyBorder="1" applyAlignment="1">
      <alignment horizontal="center"/>
    </xf>
    <xf numFmtId="37" fontId="7" fillId="9" borderId="23" xfId="0" applyNumberFormat="1" applyFont="1" applyFill="1" applyBorder="1" applyAlignment="1">
      <alignment horizontal="center" vertical="center"/>
    </xf>
    <xf numFmtId="37" fontId="7" fillId="9" borderId="24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/>
    <xf numFmtId="179" fontId="21" fillId="9" borderId="23" xfId="0" applyNumberFormat="1" applyFont="1" applyFill="1" applyBorder="1"/>
    <xf numFmtId="166" fontId="21" fillId="9" borderId="4" xfId="0" applyNumberFormat="1" applyFont="1" applyFill="1" applyBorder="1"/>
    <xf numFmtId="43" fontId="21" fillId="9" borderId="80" xfId="0" applyNumberFormat="1" applyFont="1" applyFill="1" applyBorder="1"/>
    <xf numFmtId="0" fontId="0" fillId="9" borderId="19" xfId="0" applyFill="1" applyBorder="1"/>
    <xf numFmtId="0" fontId="21" fillId="9" borderId="80" xfId="0" applyFont="1" applyFill="1" applyBorder="1"/>
    <xf numFmtId="43" fontId="21" fillId="9" borderId="69" xfId="0" applyNumberFormat="1" applyFont="1" applyFill="1" applyBorder="1"/>
    <xf numFmtId="166" fontId="21" fillId="9" borderId="78" xfId="0" applyNumberFormat="1" applyFont="1" applyFill="1" applyBorder="1"/>
    <xf numFmtId="0" fontId="21" fillId="9" borderId="68" xfId="0" applyFont="1" applyFill="1" applyBorder="1"/>
    <xf numFmtId="0" fontId="21" fillId="9" borderId="65" xfId="0" applyFont="1" applyFill="1" applyBorder="1"/>
    <xf numFmtId="0" fontId="21" fillId="9" borderId="7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9" borderId="30" xfId="0" applyFont="1" applyFill="1" applyBorder="1" applyAlignment="1">
      <alignment horizontal="center"/>
    </xf>
    <xf numFmtId="0" fontId="0" fillId="9" borderId="9" xfId="0" applyFill="1" applyBorder="1"/>
    <xf numFmtId="0" fontId="22" fillId="9" borderId="18" xfId="0" applyFont="1" applyFill="1" applyBorder="1"/>
    <xf numFmtId="165" fontId="26" fillId="9" borderId="19" xfId="0" applyNumberFormat="1" applyFont="1" applyFill="1" applyBorder="1"/>
    <xf numFmtId="0" fontId="23" fillId="9" borderId="18" xfId="0" applyFont="1" applyFill="1" applyBorder="1"/>
    <xf numFmtId="0" fontId="23" fillId="9" borderId="61" xfId="0" applyFont="1" applyFill="1" applyBorder="1"/>
    <xf numFmtId="0" fontId="0" fillId="9" borderId="63" xfId="0" applyFill="1" applyBorder="1"/>
    <xf numFmtId="0" fontId="21" fillId="9" borderId="18" xfId="1" applyFont="1" applyFill="1" applyBorder="1"/>
    <xf numFmtId="0" fontId="21" fillId="9" borderId="61" xfId="1" applyFont="1" applyFill="1" applyBorder="1"/>
    <xf numFmtId="0" fontId="23" fillId="10" borderId="9" xfId="0" applyFont="1" applyFill="1" applyBorder="1"/>
    <xf numFmtId="1" fontId="23" fillId="10" borderId="9" xfId="0" applyNumberFormat="1" applyFont="1" applyFill="1" applyBorder="1"/>
    <xf numFmtId="179" fontId="23" fillId="10" borderId="63" xfId="0" applyNumberFormat="1" applyFont="1" applyFill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98" fontId="3" fillId="0" borderId="13" xfId="0" applyNumberFormat="1" applyFont="1" applyBorder="1" applyAlignment="1">
      <alignment horizontal="right"/>
    </xf>
    <xf numFmtId="197" fontId="3" fillId="0" borderId="22" xfId="0" applyNumberFormat="1" applyFont="1" applyBorder="1" applyAlignment="1">
      <alignment horizontal="right"/>
    </xf>
    <xf numFmtId="0" fontId="19" fillId="11" borderId="28" xfId="0" applyFont="1" applyFill="1" applyBorder="1" applyAlignment="1">
      <alignment vertical="center"/>
    </xf>
    <xf numFmtId="0" fontId="19" fillId="11" borderId="54" xfId="0" applyFont="1" applyFill="1" applyBorder="1" applyAlignment="1">
      <alignment vertical="center"/>
    </xf>
    <xf numFmtId="7" fontId="19" fillId="11" borderId="81" xfId="0" applyNumberFormat="1" applyFont="1" applyFill="1" applyBorder="1" applyAlignment="1">
      <alignment horizontal="center" vertical="center"/>
    </xf>
    <xf numFmtId="0" fontId="19" fillId="11" borderId="84" xfId="0" applyFont="1" applyFill="1" applyBorder="1" applyAlignment="1">
      <alignment horizontal="center" vertical="center"/>
    </xf>
    <xf numFmtId="180" fontId="6" fillId="11" borderId="18" xfId="0" applyNumberFormat="1" applyFont="1" applyFill="1" applyBorder="1" applyAlignment="1">
      <alignment horizontal="center"/>
    </xf>
    <xf numFmtId="180" fontId="6" fillId="11" borderId="19" xfId="0" applyNumberFormat="1" applyFont="1" applyFill="1" applyBorder="1" applyAlignment="1">
      <alignment horizontal="center"/>
    </xf>
    <xf numFmtId="0" fontId="6" fillId="11" borderId="18" xfId="0" applyFont="1" applyFill="1" applyBorder="1" applyAlignment="1">
      <alignment horizontal="left"/>
    </xf>
    <xf numFmtId="0" fontId="6" fillId="11" borderId="19" xfId="0" applyFont="1" applyFill="1" applyBorder="1" applyAlignment="1">
      <alignment horizontal="center"/>
    </xf>
    <xf numFmtId="0" fontId="6" fillId="11" borderId="28" xfId="0" applyFont="1" applyFill="1" applyBorder="1" applyAlignment="1">
      <alignment horizontal="left"/>
    </xf>
    <xf numFmtId="3" fontId="6" fillId="11" borderId="29" xfId="0" applyNumberFormat="1" applyFont="1" applyFill="1" applyBorder="1"/>
    <xf numFmtId="0" fontId="6" fillId="11" borderId="43" xfId="0" applyFont="1" applyFill="1" applyBorder="1" applyAlignment="1">
      <alignment horizontal="left"/>
    </xf>
    <xf numFmtId="0" fontId="6" fillId="11" borderId="70" xfId="0" applyFont="1" applyFill="1" applyBorder="1" applyAlignment="1">
      <alignment horizontal="center"/>
    </xf>
    <xf numFmtId="0" fontId="6" fillId="11" borderId="42" xfId="0" applyFont="1" applyFill="1" applyBorder="1" applyAlignment="1">
      <alignment horizontal="center"/>
    </xf>
    <xf numFmtId="0" fontId="6" fillId="11" borderId="53" xfId="0" applyFont="1" applyFill="1" applyBorder="1" applyAlignment="1">
      <alignment horizontal="center"/>
    </xf>
    <xf numFmtId="0" fontId="6" fillId="11" borderId="28" xfId="0" applyFont="1" applyFill="1" applyBorder="1"/>
    <xf numFmtId="180" fontId="6" fillId="11" borderId="42" xfId="0" applyNumberFormat="1" applyFont="1" applyFill="1" applyBorder="1"/>
    <xf numFmtId="0" fontId="19" fillId="11" borderId="43" xfId="0" applyFont="1" applyFill="1" applyBorder="1" applyAlignment="1">
      <alignment vertical="center"/>
    </xf>
    <xf numFmtId="0" fontId="19" fillId="11" borderId="70" xfId="0" applyFont="1" applyFill="1" applyBorder="1" applyAlignment="1">
      <alignment vertical="center"/>
    </xf>
    <xf numFmtId="0" fontId="19" fillId="11" borderId="42" xfId="0" applyFont="1" applyFill="1" applyBorder="1" applyAlignment="1">
      <alignment vertical="center"/>
    </xf>
    <xf numFmtId="7" fontId="19" fillId="11" borderId="54" xfId="0" applyNumberFormat="1" applyFont="1" applyFill="1" applyBorder="1" applyAlignment="1">
      <alignment horizontal="center" vertical="center"/>
    </xf>
    <xf numFmtId="0" fontId="19" fillId="11" borderId="29" xfId="0" applyFont="1" applyFill="1" applyBorder="1" applyAlignment="1">
      <alignment horizontal="center" vertical="center"/>
    </xf>
    <xf numFmtId="0" fontId="22" fillId="11" borderId="43" xfId="0" applyFont="1" applyFill="1" applyBorder="1" applyAlignment="1">
      <alignment horizontal="left"/>
    </xf>
    <xf numFmtId="0" fontId="22" fillId="11" borderId="70" xfId="0" applyFont="1" applyFill="1" applyBorder="1" applyAlignment="1">
      <alignment horizontal="left"/>
    </xf>
    <xf numFmtId="0" fontId="22" fillId="11" borderId="42" xfId="0" applyFont="1" applyFill="1" applyBorder="1" applyAlignment="1">
      <alignment horizontal="left"/>
    </xf>
    <xf numFmtId="0" fontId="22" fillId="11" borderId="42" xfId="0" applyFont="1" applyFill="1" applyBorder="1" applyAlignment="1">
      <alignment horizontal="center"/>
    </xf>
    <xf numFmtId="0" fontId="18" fillId="11" borderId="54" xfId="0" applyFont="1" applyFill="1" applyBorder="1"/>
    <xf numFmtId="3" fontId="6" fillId="11" borderId="42" xfId="0" applyNumberFormat="1" applyFont="1" applyFill="1" applyBorder="1"/>
    <xf numFmtId="3" fontId="3" fillId="12" borderId="42" xfId="0" applyNumberFormat="1" applyFont="1" applyFill="1" applyBorder="1"/>
    <xf numFmtId="179" fontId="2" fillId="13" borderId="39" xfId="0" applyNumberFormat="1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13" borderId="40" xfId="0" applyFont="1" applyFill="1" applyBorder="1"/>
    <xf numFmtId="0" fontId="3" fillId="13" borderId="56" xfId="0" applyFont="1" applyFill="1" applyBorder="1"/>
    <xf numFmtId="0" fontId="2" fillId="13" borderId="56" xfId="0" applyFont="1" applyFill="1" applyBorder="1"/>
    <xf numFmtId="0" fontId="3" fillId="13" borderId="5" xfId="0" applyFont="1" applyFill="1" applyBorder="1"/>
    <xf numFmtId="181" fontId="3" fillId="13" borderId="6" xfId="0" applyNumberFormat="1" applyFont="1" applyFill="1" applyBorder="1" applyAlignment="1">
      <alignment horizontal="center"/>
    </xf>
    <xf numFmtId="0" fontId="3" fillId="13" borderId="7" xfId="0" applyFont="1" applyFill="1" applyBorder="1"/>
    <xf numFmtId="181" fontId="3" fillId="13" borderId="8" xfId="0" applyNumberFormat="1" applyFont="1" applyFill="1" applyBorder="1" applyAlignment="1">
      <alignment horizontal="center"/>
    </xf>
    <xf numFmtId="194" fontId="5" fillId="13" borderId="10" xfId="0" applyNumberFormat="1" applyFont="1" applyFill="1" applyBorder="1" applyAlignment="1">
      <alignment horizontal="left"/>
    </xf>
    <xf numFmtId="6" fontId="3" fillId="13" borderId="11" xfId="0" applyNumberFormat="1" applyFont="1" applyFill="1" applyBorder="1" applyAlignment="1">
      <alignment horizontal="center"/>
    </xf>
    <xf numFmtId="195" fontId="3" fillId="13" borderId="7" xfId="0" applyNumberFormat="1" applyFont="1" applyFill="1" applyBorder="1"/>
    <xf numFmtId="5" fontId="3" fillId="13" borderId="31" xfId="0" applyNumberFormat="1" applyFont="1" applyFill="1" applyBorder="1" applyAlignment="1">
      <alignment horizontal="center"/>
    </xf>
    <xf numFmtId="180" fontId="6" fillId="12" borderId="70" xfId="0" applyNumberFormat="1" applyFont="1" applyFill="1" applyBorder="1"/>
    <xf numFmtId="0" fontId="6" fillId="12" borderId="42" xfId="0" applyFont="1" applyFill="1" applyBorder="1"/>
    <xf numFmtId="179" fontId="2" fillId="14" borderId="39" xfId="0" applyNumberFormat="1" applyFont="1" applyFill="1" applyBorder="1" applyAlignment="1">
      <alignment horizontal="center"/>
    </xf>
    <xf numFmtId="0" fontId="2" fillId="14" borderId="37" xfId="0" applyFont="1" applyFill="1" applyBorder="1" applyAlignment="1">
      <alignment horizontal="center"/>
    </xf>
    <xf numFmtId="0" fontId="2" fillId="14" borderId="40" xfId="0" applyFont="1" applyFill="1" applyBorder="1"/>
    <xf numFmtId="0" fontId="22" fillId="11" borderId="28" xfId="0" applyFont="1" applyFill="1" applyBorder="1"/>
    <xf numFmtId="0" fontId="22" fillId="11" borderId="54" xfId="0" applyFont="1" applyFill="1" applyBorder="1" applyAlignment="1">
      <alignment horizontal="center"/>
    </xf>
    <xf numFmtId="0" fontId="22" fillId="11" borderId="29" xfId="0" applyFont="1" applyFill="1" applyBorder="1" applyAlignment="1">
      <alignment horizontal="center"/>
    </xf>
    <xf numFmtId="0" fontId="21" fillId="0" borderId="18" xfId="0" applyFont="1" applyBorder="1"/>
    <xf numFmtId="0" fontId="28" fillId="0" borderId="19" xfId="0" applyFont="1" applyBorder="1" applyAlignment="1">
      <alignment horizontal="center"/>
    </xf>
    <xf numFmtId="0" fontId="28" fillId="0" borderId="9" xfId="0" applyFont="1" applyBorder="1"/>
    <xf numFmtId="0" fontId="21" fillId="0" borderId="61" xfId="0" applyFont="1" applyBorder="1"/>
    <xf numFmtId="0" fontId="28" fillId="0" borderId="62" xfId="0" applyFont="1" applyBorder="1" applyAlignment="1">
      <alignment horizontal="center"/>
    </xf>
    <xf numFmtId="0" fontId="28" fillId="0" borderId="63" xfId="0" applyFont="1" applyBorder="1"/>
    <xf numFmtId="0" fontId="22" fillId="11" borderId="43" xfId="0" applyFont="1" applyFill="1" applyBorder="1"/>
    <xf numFmtId="0" fontId="22" fillId="11" borderId="70" xfId="0" applyFont="1" applyFill="1" applyBorder="1"/>
    <xf numFmtId="0" fontId="22" fillId="11" borderId="42" xfId="0" applyFont="1" applyFill="1" applyBorder="1"/>
    <xf numFmtId="0" fontId="22" fillId="11" borderId="30" xfId="0" applyFont="1" applyFill="1" applyBorder="1"/>
    <xf numFmtId="0" fontId="22" fillId="11" borderId="31" xfId="0" applyFont="1" applyFill="1" applyBorder="1"/>
    <xf numFmtId="0" fontId="22" fillId="11" borderId="31" xfId="0" applyFont="1" applyFill="1" applyBorder="1" applyAlignment="1">
      <alignment horizontal="center"/>
    </xf>
    <xf numFmtId="0" fontId="22" fillId="11" borderId="32" xfId="0" applyFont="1" applyFill="1" applyBorder="1"/>
    <xf numFmtId="166" fontId="22" fillId="11" borderId="42" xfId="0" applyNumberFormat="1" applyFont="1" applyFill="1" applyBorder="1"/>
    <xf numFmtId="0" fontId="25" fillId="11" borderId="43" xfId="0" applyFont="1" applyFill="1" applyBorder="1"/>
    <xf numFmtId="0" fontId="22" fillId="11" borderId="61" xfId="0" applyFont="1" applyFill="1" applyBorder="1"/>
    <xf numFmtId="0" fontId="22" fillId="11" borderId="62" xfId="0" applyFont="1" applyFill="1" applyBorder="1"/>
    <xf numFmtId="0" fontId="22" fillId="11" borderId="62" xfId="0" applyFont="1" applyFill="1" applyBorder="1" applyAlignment="1">
      <alignment horizontal="center"/>
    </xf>
    <xf numFmtId="0" fontId="22" fillId="11" borderId="63" xfId="0" applyFont="1" applyFill="1" applyBorder="1" applyAlignment="1">
      <alignment horizontal="center"/>
    </xf>
    <xf numFmtId="0" fontId="22" fillId="11" borderId="54" xfId="0" applyFont="1" applyFill="1" applyBorder="1"/>
    <xf numFmtId="0" fontId="22" fillId="11" borderId="29" xfId="0" applyFont="1" applyFill="1" applyBorder="1"/>
    <xf numFmtId="0" fontId="22" fillId="11" borderId="70" xfId="0" applyFont="1" applyFill="1" applyBorder="1" applyAlignment="1">
      <alignment horizontal="center"/>
    </xf>
    <xf numFmtId="0" fontId="6" fillId="11" borderId="19" xfId="0" applyFont="1" applyFill="1" applyBorder="1"/>
    <xf numFmtId="0" fontId="11" fillId="11" borderId="56" xfId="0" applyFont="1" applyFill="1" applyBorder="1" applyAlignment="1">
      <alignment horizontal="right" wrapText="1"/>
    </xf>
    <xf numFmtId="10" fontId="5" fillId="11" borderId="56" xfId="0" applyNumberFormat="1" applyFont="1" applyFill="1" applyBorder="1" applyAlignment="1">
      <alignment horizontal="center"/>
    </xf>
    <xf numFmtId="0" fontId="6" fillId="11" borderId="43" xfId="0" applyFont="1" applyFill="1" applyBorder="1"/>
    <xf numFmtId="0" fontId="6" fillId="11" borderId="70" xfId="0" applyFont="1" applyFill="1" applyBorder="1" applyAlignment="1">
      <alignment horizontal="center" wrapText="1"/>
    </xf>
    <xf numFmtId="0" fontId="6" fillId="11" borderId="42" xfId="0" applyFont="1" applyFill="1" applyBorder="1" applyAlignment="1">
      <alignment horizontal="center" wrapText="1"/>
    </xf>
    <xf numFmtId="167" fontId="5" fillId="0" borderId="31" xfId="0" applyNumberFormat="1" applyFont="1" applyBorder="1" applyAlignment="1">
      <alignment horizontal="center"/>
    </xf>
    <xf numFmtId="0" fontId="6" fillId="11" borderId="61" xfId="0" applyFont="1" applyFill="1" applyBorder="1" applyAlignment="1">
      <alignment horizontal="left"/>
    </xf>
    <xf numFmtId="0" fontId="6" fillId="11" borderId="62" xfId="0" applyFont="1" applyFill="1" applyBorder="1" applyAlignment="1">
      <alignment horizontal="center"/>
    </xf>
    <xf numFmtId="0" fontId="6" fillId="11" borderId="63" xfId="0" applyFont="1" applyFill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right"/>
    </xf>
    <xf numFmtId="1" fontId="9" fillId="0" borderId="19" xfId="0" applyNumberFormat="1" applyFont="1" applyBorder="1" applyAlignment="1">
      <alignment horizontal="left"/>
    </xf>
    <xf numFmtId="181" fontId="5" fillId="0" borderId="31" xfId="0" applyNumberFormat="1" applyFont="1" applyBorder="1" applyAlignment="1">
      <alignment horizontal="center"/>
    </xf>
    <xf numFmtId="0" fontId="3" fillId="0" borderId="32" xfId="0" applyFont="1" applyBorder="1"/>
    <xf numFmtId="0" fontId="6" fillId="11" borderId="62" xfId="0" applyFont="1" applyFill="1" applyBorder="1" applyAlignment="1">
      <alignment horizontal="center" wrapText="1"/>
    </xf>
    <xf numFmtId="8" fontId="2" fillId="0" borderId="31" xfId="0" applyNumberFormat="1" applyFont="1" applyBorder="1" applyAlignment="1">
      <alignment horizontal="center"/>
    </xf>
    <xf numFmtId="183" fontId="2" fillId="0" borderId="31" xfId="0" applyNumberFormat="1" applyFont="1" applyBorder="1" applyAlignment="1">
      <alignment horizontal="center"/>
    </xf>
    <xf numFmtId="165" fontId="2" fillId="0" borderId="68" xfId="0" applyNumberFormat="1" applyFont="1" applyBorder="1" applyAlignment="1">
      <alignment horizontal="right"/>
    </xf>
    <xf numFmtId="165" fontId="2" fillId="0" borderId="45" xfId="0" applyNumberFormat="1" applyFont="1" applyBorder="1" applyAlignment="1">
      <alignment horizontal="center"/>
    </xf>
    <xf numFmtId="0" fontId="7" fillId="0" borderId="30" xfId="0" applyFont="1" applyBorder="1"/>
    <xf numFmtId="3" fontId="7" fillId="0" borderId="31" xfId="0" applyNumberFormat="1" applyFont="1" applyBorder="1" applyAlignment="1">
      <alignment horizontal="center"/>
    </xf>
    <xf numFmtId="8" fontId="7" fillId="0" borderId="31" xfId="0" applyNumberFormat="1" applyFont="1" applyBorder="1"/>
    <xf numFmtId="180" fontId="6" fillId="11" borderId="28" xfId="0" applyNumberFormat="1" applyFont="1" applyFill="1" applyBorder="1" applyAlignment="1">
      <alignment horizontal="center"/>
    </xf>
    <xf numFmtId="180" fontId="6" fillId="11" borderId="54" xfId="0" applyNumberFormat="1" applyFont="1" applyFill="1" applyBorder="1" applyAlignment="1">
      <alignment horizontal="center"/>
    </xf>
    <xf numFmtId="181" fontId="17" fillId="0" borderId="20" xfId="0" applyNumberFormat="1" applyFont="1" applyBorder="1"/>
    <xf numFmtId="0" fontId="3" fillId="0" borderId="6" xfId="0" applyFont="1" applyBorder="1"/>
    <xf numFmtId="202" fontId="2" fillId="0" borderId="30" xfId="0" applyNumberFormat="1" applyFont="1" applyBorder="1" applyAlignment="1">
      <alignment horizontal="left"/>
    </xf>
    <xf numFmtId="165" fontId="2" fillId="0" borderId="31" xfId="0" applyNumberFormat="1" applyFont="1" applyBorder="1" applyAlignment="1">
      <alignment horizontal="center"/>
    </xf>
    <xf numFmtId="6" fontId="2" fillId="0" borderId="31" xfId="0" applyNumberFormat="1" applyFont="1" applyBorder="1" applyAlignment="1">
      <alignment horizontal="center"/>
    </xf>
    <xf numFmtId="8" fontId="7" fillId="0" borderId="31" xfId="0" applyNumberFormat="1" applyFont="1" applyBorder="1" applyAlignment="1">
      <alignment horizontal="center"/>
    </xf>
    <xf numFmtId="0" fontId="19" fillId="9" borderId="54" xfId="0" applyFont="1" applyFill="1" applyBorder="1" applyAlignment="1">
      <alignment horizontal="center" vertical="center"/>
    </xf>
    <xf numFmtId="5" fontId="7" fillId="9" borderId="54" xfId="0" applyNumberFormat="1" applyFont="1" applyFill="1" applyBorder="1" applyAlignment="1">
      <alignment horizontal="center" vertical="center"/>
    </xf>
    <xf numFmtId="5" fontId="7" fillId="9" borderId="29" xfId="0" applyNumberFormat="1" applyFont="1" applyFill="1" applyBorder="1" applyAlignment="1">
      <alignment horizontal="center" vertical="center"/>
    </xf>
    <xf numFmtId="0" fontId="20" fillId="9" borderId="43" xfId="0" applyFont="1" applyFill="1" applyBorder="1" applyAlignment="1">
      <alignment horizontal="left" vertical="center" indent="1"/>
    </xf>
    <xf numFmtId="37" fontId="4" fillId="9" borderId="67" xfId="0" applyNumberFormat="1" applyFont="1" applyFill="1" applyBorder="1" applyAlignment="1">
      <alignment horizontal="center" vertical="center"/>
    </xf>
    <xf numFmtId="37" fontId="4" fillId="9" borderId="83" xfId="0" applyNumberFormat="1" applyFont="1" applyFill="1" applyBorder="1" applyAlignment="1">
      <alignment horizontal="center" vertical="center"/>
    </xf>
    <xf numFmtId="5" fontId="2" fillId="0" borderId="56" xfId="0" applyNumberFormat="1" applyFont="1" applyBorder="1" applyAlignment="1">
      <alignment horizontal="center"/>
    </xf>
    <xf numFmtId="0" fontId="22" fillId="0" borderId="68" xfId="0" applyFont="1" applyBorder="1" applyAlignment="1">
      <alignment horizontal="right"/>
    </xf>
    <xf numFmtId="0" fontId="22" fillId="9" borderId="70" xfId="0" applyFont="1" applyFill="1" applyBorder="1"/>
    <xf numFmtId="0" fontId="0" fillId="9" borderId="42" xfId="0" applyFill="1" applyBorder="1"/>
    <xf numFmtId="0" fontId="23" fillId="9" borderId="56" xfId="0" applyFont="1" applyFill="1" applyBorder="1"/>
    <xf numFmtId="165" fontId="21" fillId="9" borderId="56" xfId="0" applyNumberFormat="1" applyFont="1" applyFill="1" applyBorder="1"/>
    <xf numFmtId="165" fontId="21" fillId="9" borderId="31" xfId="0" applyNumberFormat="1" applyFont="1" applyFill="1" applyBorder="1"/>
    <xf numFmtId="165" fontId="21" fillId="9" borderId="1" xfId="0" applyNumberFormat="1" applyFont="1" applyFill="1" applyBorder="1"/>
    <xf numFmtId="0" fontId="23" fillId="9" borderId="68" xfId="0" applyFont="1" applyFill="1" applyBorder="1"/>
    <xf numFmtId="0" fontId="23" fillId="9" borderId="64" xfId="0" applyFont="1" applyFill="1" applyBorder="1"/>
    <xf numFmtId="165" fontId="21" fillId="9" borderId="40" xfId="0" applyNumberFormat="1" applyFont="1" applyFill="1" applyBorder="1"/>
    <xf numFmtId="0" fontId="22" fillId="9" borderId="43" xfId="0" applyFont="1" applyFill="1" applyBorder="1"/>
    <xf numFmtId="0" fontId="22" fillId="11" borderId="28" xfId="0" applyFont="1" applyFill="1" applyBorder="1" applyAlignment="1">
      <alignment horizontal="left"/>
    </xf>
    <xf numFmtId="0" fontId="22" fillId="9" borderId="43" xfId="1" applyFont="1" applyFill="1" applyBorder="1"/>
    <xf numFmtId="0" fontId="23" fillId="9" borderId="70" xfId="0" applyFont="1" applyFill="1" applyBorder="1"/>
    <xf numFmtId="0" fontId="22" fillId="11" borderId="54" xfId="0" applyFont="1" applyFill="1" applyBorder="1" applyAlignment="1">
      <alignment horizontal="left"/>
    </xf>
    <xf numFmtId="0" fontId="22" fillId="11" borderId="29" xfId="0" applyFont="1" applyFill="1" applyBorder="1" applyAlignment="1">
      <alignment horizontal="left"/>
    </xf>
    <xf numFmtId="9" fontId="21" fillId="9" borderId="52" xfId="0" applyNumberFormat="1" applyFont="1" applyFill="1" applyBorder="1"/>
    <xf numFmtId="0" fontId="22" fillId="9" borderId="83" xfId="0" applyFont="1" applyFill="1" applyBorder="1"/>
    <xf numFmtId="9" fontId="21" fillId="9" borderId="32" xfId="0" applyNumberFormat="1" applyFont="1" applyFill="1" applyBorder="1"/>
    <xf numFmtId="3" fontId="28" fillId="9" borderId="55" xfId="0" applyNumberFormat="1" applyFont="1" applyFill="1" applyBorder="1"/>
    <xf numFmtId="179" fontId="21" fillId="9" borderId="56" xfId="0" applyNumberFormat="1" applyFont="1" applyFill="1" applyBorder="1"/>
    <xf numFmtId="9" fontId="28" fillId="9" borderId="55" xfId="0" applyNumberFormat="1" applyFont="1" applyFill="1" applyBorder="1"/>
    <xf numFmtId="10" fontId="23" fillId="9" borderId="1" xfId="0" applyNumberFormat="1" applyFont="1" applyFill="1" applyBorder="1"/>
    <xf numFmtId="10" fontId="23" fillId="9" borderId="23" xfId="0" applyNumberFormat="1" applyFont="1" applyFill="1" applyBorder="1"/>
    <xf numFmtId="0" fontId="21" fillId="9" borderId="64" xfId="1" applyFont="1" applyFill="1" applyBorder="1"/>
    <xf numFmtId="0" fontId="21" fillId="9" borderId="68" xfId="1" applyFont="1" applyFill="1" applyBorder="1"/>
    <xf numFmtId="1" fontId="23" fillId="10" borderId="44" xfId="0" applyNumberFormat="1" applyFont="1" applyFill="1" applyBorder="1"/>
    <xf numFmtId="1" fontId="23" fillId="10" borderId="87" xfId="0" applyNumberFormat="1" applyFont="1" applyFill="1" applyBorder="1"/>
    <xf numFmtId="179" fontId="23" fillId="10" borderId="87" xfId="0" applyNumberFormat="1" applyFont="1" applyFill="1" applyBorder="1"/>
    <xf numFmtId="10" fontId="23" fillId="9" borderId="40" xfId="0" applyNumberFormat="1" applyFont="1" applyFill="1" applyBorder="1"/>
    <xf numFmtId="179" fontId="21" fillId="9" borderId="86" xfId="0" applyNumberFormat="1" applyFont="1" applyFill="1" applyBorder="1"/>
    <xf numFmtId="0" fontId="21" fillId="9" borderId="65" xfId="1" applyFont="1" applyFill="1" applyBorder="1"/>
    <xf numFmtId="3" fontId="28" fillId="9" borderId="25" xfId="0" applyNumberFormat="1" applyFont="1" applyFill="1" applyBorder="1"/>
    <xf numFmtId="9" fontId="28" fillId="9" borderId="25" xfId="0" applyNumberFormat="1" applyFont="1" applyFill="1" applyBorder="1"/>
    <xf numFmtId="179" fontId="21" fillId="9" borderId="11" xfId="0" applyNumberFormat="1" applyFont="1" applyFill="1" applyBorder="1"/>
    <xf numFmtId="0" fontId="22" fillId="9" borderId="89" xfId="1" applyFont="1" applyFill="1" applyBorder="1" applyAlignment="1">
      <alignment horizontal="center"/>
    </xf>
    <xf numFmtId="0" fontId="22" fillId="9" borderId="89" xfId="1" applyFont="1" applyFill="1" applyBorder="1"/>
    <xf numFmtId="0" fontId="22" fillId="9" borderId="83" xfId="0" applyFont="1" applyFill="1" applyBorder="1" applyAlignment="1">
      <alignment horizontal="center"/>
    </xf>
    <xf numFmtId="0" fontId="23" fillId="9" borderId="55" xfId="0" applyFont="1" applyFill="1" applyBorder="1"/>
    <xf numFmtId="0" fontId="23" fillId="10" borderId="8" xfId="0" applyFont="1" applyFill="1" applyBorder="1"/>
    <xf numFmtId="0" fontId="21" fillId="9" borderId="64" xfId="0" applyFont="1" applyFill="1" applyBorder="1"/>
    <xf numFmtId="9" fontId="21" fillId="9" borderId="8" xfId="0" applyNumberFormat="1" applyFont="1" applyFill="1" applyBorder="1" applyAlignment="1">
      <alignment wrapText="1"/>
    </xf>
    <xf numFmtId="0" fontId="22" fillId="9" borderId="86" xfId="0" applyFont="1" applyFill="1" applyBorder="1"/>
    <xf numFmtId="0" fontId="28" fillId="0" borderId="7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1" fillId="0" borderId="64" xfId="0" applyFont="1" applyBorder="1"/>
    <xf numFmtId="0" fontId="28" fillId="0" borderId="87" xfId="0" applyFont="1" applyBorder="1"/>
    <xf numFmtId="0" fontId="21" fillId="0" borderId="66" xfId="0" applyFont="1" applyBorder="1"/>
    <xf numFmtId="0" fontId="28" fillId="0" borderId="53" xfId="0" applyFont="1" applyBorder="1"/>
    <xf numFmtId="0" fontId="25" fillId="9" borderId="90" xfId="0" applyFont="1" applyFill="1" applyBorder="1"/>
    <xf numFmtId="0" fontId="21" fillId="9" borderId="70" xfId="0" applyFont="1" applyFill="1" applyBorder="1"/>
    <xf numFmtId="0" fontId="21" fillId="9" borderId="42" xfId="0" applyFont="1" applyFill="1" applyBorder="1"/>
    <xf numFmtId="0" fontId="21" fillId="9" borderId="18" xfId="0" applyFont="1" applyFill="1" applyBorder="1" applyAlignment="1">
      <alignment horizontal="left" indent="1"/>
    </xf>
    <xf numFmtId="9" fontId="28" fillId="9" borderId="56" xfId="0" applyNumberFormat="1" applyFont="1" applyFill="1" applyBorder="1" applyAlignment="1">
      <alignment horizontal="center"/>
    </xf>
    <xf numFmtId="9" fontId="28" fillId="9" borderId="9" xfId="0" applyNumberFormat="1" applyFont="1" applyFill="1" applyBorder="1" applyAlignment="1">
      <alignment horizontal="center"/>
    </xf>
    <xf numFmtId="3" fontId="28" fillId="9" borderId="55" xfId="0" applyNumberFormat="1" applyFont="1" applyFill="1" applyBorder="1" applyAlignment="1">
      <alignment horizontal="center"/>
    </xf>
    <xf numFmtId="3" fontId="28" fillId="9" borderId="86" xfId="0" applyNumberFormat="1" applyFont="1" applyFill="1" applyBorder="1" applyAlignment="1">
      <alignment horizontal="center"/>
    </xf>
    <xf numFmtId="0" fontId="21" fillId="9" borderId="64" xfId="0" applyFont="1" applyFill="1" applyBorder="1" applyAlignment="1">
      <alignment horizontal="left" indent="1"/>
    </xf>
    <xf numFmtId="165" fontId="21" fillId="9" borderId="3" xfId="0" applyNumberFormat="1" applyFont="1" applyFill="1" applyBorder="1" applyAlignment="1">
      <alignment horizontal="center"/>
    </xf>
    <xf numFmtId="165" fontId="21" fillId="9" borderId="8" xfId="0" applyNumberFormat="1" applyFont="1" applyFill="1" applyBorder="1" applyAlignment="1">
      <alignment horizontal="center"/>
    </xf>
    <xf numFmtId="10" fontId="21" fillId="9" borderId="55" xfId="0" applyNumberFormat="1" applyFont="1" applyFill="1" applyBorder="1" applyAlignment="1">
      <alignment horizontal="center"/>
    </xf>
    <xf numFmtId="10" fontId="21" fillId="9" borderId="86" xfId="0" applyNumberFormat="1" applyFont="1" applyFill="1" applyBorder="1" applyAlignment="1">
      <alignment horizontal="center"/>
    </xf>
    <xf numFmtId="165" fontId="28" fillId="9" borderId="56" xfId="0" applyNumberFormat="1" applyFont="1" applyFill="1" applyBorder="1" applyAlignment="1">
      <alignment horizontal="center"/>
    </xf>
    <xf numFmtId="165" fontId="28" fillId="9" borderId="9" xfId="0" applyNumberFormat="1" applyFont="1" applyFill="1" applyBorder="1" applyAlignment="1">
      <alignment horizontal="center"/>
    </xf>
    <xf numFmtId="165" fontId="21" fillId="9" borderId="1" xfId="0" applyNumberFormat="1" applyFont="1" applyFill="1" applyBorder="1" applyAlignment="1">
      <alignment horizontal="center"/>
    </xf>
    <xf numFmtId="165" fontId="21" fillId="9" borderId="87" xfId="0" applyNumberFormat="1" applyFont="1" applyFill="1" applyBorder="1" applyAlignment="1">
      <alignment horizontal="center"/>
    </xf>
    <xf numFmtId="10" fontId="21" fillId="9" borderId="56" xfId="0" applyNumberFormat="1" applyFont="1" applyFill="1" applyBorder="1" applyAlignment="1">
      <alignment horizontal="center"/>
    </xf>
    <xf numFmtId="10" fontId="21" fillId="9" borderId="9" xfId="0" applyNumberFormat="1" applyFont="1" applyFill="1" applyBorder="1" applyAlignment="1">
      <alignment horizontal="center"/>
    </xf>
    <xf numFmtId="0" fontId="21" fillId="9" borderId="66" xfId="0" applyFont="1" applyFill="1" applyBorder="1" applyAlignment="1">
      <alignment horizontal="left" indent="1"/>
    </xf>
    <xf numFmtId="165" fontId="21" fillId="9" borderId="26" xfId="0" applyNumberFormat="1" applyFont="1" applyFill="1" applyBorder="1" applyAlignment="1">
      <alignment horizontal="center"/>
    </xf>
    <xf numFmtId="165" fontId="23" fillId="9" borderId="32" xfId="0" applyNumberFormat="1" applyFont="1" applyFill="1" applyBorder="1" applyAlignment="1">
      <alignment horizontal="center"/>
    </xf>
    <xf numFmtId="165" fontId="21" fillId="9" borderId="56" xfId="0" applyNumberFormat="1" applyFont="1" applyFill="1" applyBorder="1" applyAlignment="1">
      <alignment horizontal="center"/>
    </xf>
    <xf numFmtId="165" fontId="21" fillId="9" borderId="70" xfId="0" applyNumberFormat="1" applyFont="1" applyFill="1" applyBorder="1" applyAlignment="1">
      <alignment horizontal="center"/>
    </xf>
    <xf numFmtId="10" fontId="21" fillId="9" borderId="42" xfId="0" applyNumberFormat="1" applyFont="1" applyFill="1" applyBorder="1" applyAlignment="1">
      <alignment horizontal="center"/>
    </xf>
    <xf numFmtId="165" fontId="21" fillId="9" borderId="55" xfId="0" applyNumberFormat="1" applyFont="1" applyFill="1" applyBorder="1" applyAlignment="1">
      <alignment horizontal="center"/>
    </xf>
    <xf numFmtId="0" fontId="21" fillId="9" borderId="61" xfId="0" applyFont="1" applyFill="1" applyBorder="1" applyAlignment="1">
      <alignment horizontal="left" indent="1"/>
    </xf>
    <xf numFmtId="10" fontId="21" fillId="9" borderId="88" xfId="0" applyNumberFormat="1" applyFont="1" applyFill="1" applyBorder="1" applyAlignment="1">
      <alignment horizontal="center"/>
    </xf>
    <xf numFmtId="10" fontId="21" fillId="9" borderId="52" xfId="0" applyNumberFormat="1" applyFont="1" applyFill="1" applyBorder="1" applyAlignment="1">
      <alignment horizontal="center"/>
    </xf>
    <xf numFmtId="0" fontId="3" fillId="0" borderId="0" xfId="0" applyFont="1"/>
    <xf numFmtId="3" fontId="2" fillId="0" borderId="0" xfId="0" applyNumberFormat="1" applyFont="1"/>
    <xf numFmtId="0" fontId="22" fillId="0" borderId="0" xfId="0" applyFont="1"/>
    <xf numFmtId="0" fontId="22" fillId="11" borderId="18" xfId="0" applyFont="1" applyFill="1" applyBorder="1"/>
    <xf numFmtId="0" fontId="22" fillId="11" borderId="19" xfId="0" applyFont="1" applyFill="1" applyBorder="1"/>
    <xf numFmtId="0" fontId="22" fillId="11" borderId="19" xfId="0" applyFont="1" applyFill="1" applyBorder="1" applyAlignment="1">
      <alignment horizontal="center"/>
    </xf>
    <xf numFmtId="0" fontId="22" fillId="11" borderId="9" xfId="0" applyFont="1" applyFill="1" applyBorder="1" applyAlignment="1">
      <alignment horizontal="center"/>
    </xf>
    <xf numFmtId="0" fontId="21" fillId="0" borderId="9" xfId="0" applyFont="1" applyBorder="1"/>
    <xf numFmtId="0" fontId="21" fillId="0" borderId="62" xfId="0" applyFont="1" applyBorder="1"/>
    <xf numFmtId="0" fontId="21" fillId="0" borderId="27" xfId="0" applyFont="1" applyBorder="1"/>
    <xf numFmtId="5" fontId="22" fillId="0" borderId="27" xfId="0" applyNumberFormat="1" applyFont="1" applyBorder="1"/>
    <xf numFmtId="5" fontId="21" fillId="0" borderId="27" xfId="0" applyNumberFormat="1" applyFont="1" applyBorder="1"/>
    <xf numFmtId="5" fontId="21" fillId="0" borderId="53" xfId="0" applyNumberFormat="1" applyFont="1" applyBorder="1"/>
    <xf numFmtId="5" fontId="22" fillId="0" borderId="62" xfId="0" applyNumberFormat="1" applyFont="1" applyBorder="1"/>
    <xf numFmtId="5" fontId="21" fillId="0" borderId="62" xfId="0" applyNumberFormat="1" applyFont="1" applyBorder="1"/>
    <xf numFmtId="5" fontId="21" fillId="0" borderId="63" xfId="0" applyNumberFormat="1" applyFont="1" applyBorder="1"/>
    <xf numFmtId="0" fontId="21" fillId="11" borderId="54" xfId="0" applyFont="1" applyFill="1" applyBorder="1"/>
    <xf numFmtId="0" fontId="21" fillId="11" borderId="18" xfId="0" applyFont="1" applyFill="1" applyBorder="1"/>
    <xf numFmtId="0" fontId="21" fillId="11" borderId="19" xfId="0" applyFont="1" applyFill="1" applyBorder="1"/>
    <xf numFmtId="3" fontId="22" fillId="0" borderId="63" xfId="0" applyNumberFormat="1" applyFont="1" applyBorder="1"/>
    <xf numFmtId="7" fontId="2" fillId="9" borderId="19" xfId="0" applyNumberFormat="1" applyFont="1" applyFill="1" applyBorder="1"/>
    <xf numFmtId="5" fontId="2" fillId="9" borderId="19" xfId="0" applyNumberFormat="1" applyFont="1" applyFill="1" applyBorder="1"/>
    <xf numFmtId="0" fontId="21" fillId="9" borderId="0" xfId="0" applyFont="1" applyFill="1"/>
    <xf numFmtId="0" fontId="22" fillId="9" borderId="19" xfId="0" applyFont="1" applyFill="1" applyBorder="1"/>
    <xf numFmtId="0" fontId="0" fillId="9" borderId="0" xfId="0" applyFill="1"/>
    <xf numFmtId="14" fontId="4" fillId="9" borderId="19" xfId="0" applyNumberFormat="1" applyFont="1" applyFill="1" applyBorder="1" applyAlignment="1">
      <alignment horizontal="center"/>
    </xf>
    <xf numFmtId="14" fontId="2" fillId="9" borderId="19" xfId="0" applyNumberFormat="1" applyFont="1" applyFill="1" applyBorder="1" applyAlignment="1">
      <alignment horizontal="center"/>
    </xf>
    <xf numFmtId="0" fontId="2" fillId="9" borderId="19" xfId="0" applyFont="1" applyFill="1" applyBorder="1" applyAlignment="1">
      <alignment horizontal="left" vertical="center"/>
    </xf>
    <xf numFmtId="0" fontId="3" fillId="9" borderId="19" xfId="0" applyFont="1" applyFill="1" applyBorder="1" applyAlignment="1">
      <alignment horizontal="center" vertical="center"/>
    </xf>
    <xf numFmtId="38" fontId="7" fillId="9" borderId="19" xfId="0" applyNumberFormat="1" applyFont="1" applyFill="1" applyBorder="1" applyAlignment="1">
      <alignment horizontal="center" vertical="center"/>
    </xf>
    <xf numFmtId="8" fontId="7" fillId="9" borderId="19" xfId="0" applyNumberFormat="1" applyFont="1" applyFill="1" applyBorder="1" applyAlignment="1">
      <alignment horizontal="center" vertical="center"/>
    </xf>
    <xf numFmtId="37" fontId="7" fillId="9" borderId="19" xfId="0" applyNumberFormat="1" applyFont="1" applyFill="1" applyBorder="1" applyAlignment="1">
      <alignment horizontal="center" vertical="center"/>
    </xf>
    <xf numFmtId="37" fontId="4" fillId="9" borderId="19" xfId="0" applyNumberFormat="1" applyFont="1" applyFill="1" applyBorder="1" applyAlignment="1">
      <alignment horizontal="center" vertical="center"/>
    </xf>
    <xf numFmtId="7" fontId="7" fillId="9" borderId="19" xfId="0" applyNumberFormat="1" applyFont="1" applyFill="1" applyBorder="1" applyAlignment="1">
      <alignment horizontal="center" vertical="center"/>
    </xf>
    <xf numFmtId="5" fontId="7" fillId="9" borderId="19" xfId="0" applyNumberFormat="1" applyFont="1" applyFill="1" applyBorder="1" applyAlignment="1">
      <alignment horizontal="center" vertical="center"/>
    </xf>
    <xf numFmtId="7" fontId="23" fillId="9" borderId="19" xfId="0" quotePrefix="1" applyNumberFormat="1" applyFont="1" applyFill="1" applyBorder="1" applyAlignment="1">
      <alignment horizontal="center" vertical="center"/>
    </xf>
    <xf numFmtId="7" fontId="20" fillId="9" borderId="19" xfId="0" applyNumberFormat="1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center" vertical="center"/>
    </xf>
    <xf numFmtId="165" fontId="4" fillId="9" borderId="19" xfId="0" applyNumberFormat="1" applyFont="1" applyFill="1" applyBorder="1" applyAlignment="1">
      <alignment horizontal="center" vertical="center"/>
    </xf>
    <xf numFmtId="181" fontId="4" fillId="9" borderId="19" xfId="0" applyNumberFormat="1" applyFont="1" applyFill="1" applyBorder="1" applyAlignment="1">
      <alignment horizontal="center" vertical="center"/>
    </xf>
    <xf numFmtId="0" fontId="23" fillId="9" borderId="19" xfId="0" applyFont="1" applyFill="1" applyBorder="1"/>
    <xf numFmtId="1" fontId="23" fillId="9" borderId="19" xfId="0" applyNumberFormat="1" applyFont="1" applyFill="1" applyBorder="1"/>
    <xf numFmtId="0" fontId="18" fillId="9" borderId="19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horizontal="center"/>
    </xf>
    <xf numFmtId="0" fontId="22" fillId="9" borderId="0" xfId="0" applyFont="1" applyFill="1"/>
    <xf numFmtId="37" fontId="21" fillId="9" borderId="19" xfId="0" applyNumberFormat="1" applyFont="1" applyFill="1" applyBorder="1"/>
    <xf numFmtId="0" fontId="18" fillId="9" borderId="19" xfId="0" applyFont="1" applyFill="1" applyBorder="1"/>
    <xf numFmtId="5" fontId="0" fillId="9" borderId="19" xfId="0" applyNumberFormat="1" applyFill="1" applyBorder="1"/>
    <xf numFmtId="165" fontId="0" fillId="9" borderId="19" xfId="0" applyNumberFormat="1" applyFill="1" applyBorder="1"/>
    <xf numFmtId="10" fontId="0" fillId="9" borderId="19" xfId="0" applyNumberFormat="1" applyFill="1" applyBorder="1"/>
    <xf numFmtId="9" fontId="0" fillId="9" borderId="19" xfId="0" applyNumberFormat="1" applyFill="1" applyBorder="1"/>
    <xf numFmtId="200" fontId="0" fillId="9" borderId="19" xfId="0" applyNumberFormat="1" applyFill="1" applyBorder="1"/>
    <xf numFmtId="0" fontId="21" fillId="0" borderId="1" xfId="0" applyFont="1" applyBorder="1"/>
    <xf numFmtId="10" fontId="21" fillId="0" borderId="1" xfId="0" applyNumberFormat="1" applyFont="1" applyBorder="1"/>
    <xf numFmtId="5" fontId="22" fillId="0" borderId="1" xfId="0" applyNumberFormat="1" applyFont="1" applyBorder="1"/>
    <xf numFmtId="5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0" fontId="21" fillId="11" borderId="29" xfId="0" applyFont="1" applyFill="1" applyBorder="1"/>
    <xf numFmtId="10" fontId="21" fillId="0" borderId="47" xfId="0" applyNumberFormat="1" applyFont="1" applyBorder="1"/>
    <xf numFmtId="5" fontId="22" fillId="0" borderId="47" xfId="0" applyNumberFormat="1" applyFont="1" applyBorder="1"/>
    <xf numFmtId="5" fontId="21" fillId="0" borderId="47" xfId="0" applyNumberFormat="1" applyFont="1" applyBorder="1" applyAlignment="1">
      <alignment horizontal="center"/>
    </xf>
    <xf numFmtId="5" fontId="21" fillId="0" borderId="96" xfId="0" applyNumberFormat="1" applyFont="1" applyBorder="1" applyAlignment="1">
      <alignment horizontal="center"/>
    </xf>
    <xf numFmtId="5" fontId="21" fillId="0" borderId="1" xfId="0" applyNumberFormat="1" applyFont="1" applyBorder="1"/>
    <xf numFmtId="5" fontId="21" fillId="0" borderId="47" xfId="0" applyNumberFormat="1" applyFont="1" applyBorder="1"/>
    <xf numFmtId="5" fontId="21" fillId="0" borderId="96" xfId="0" applyNumberFormat="1" applyFont="1" applyBorder="1"/>
    <xf numFmtId="3" fontId="22" fillId="9" borderId="1" xfId="0" applyNumberFormat="1" applyFont="1" applyFill="1" applyBorder="1"/>
    <xf numFmtId="3" fontId="21" fillId="9" borderId="1" xfId="0" applyNumberFormat="1" applyFont="1" applyFill="1" applyBorder="1"/>
    <xf numFmtId="5" fontId="21" fillId="0" borderId="79" xfId="0" applyNumberFormat="1" applyFont="1" applyBorder="1" applyAlignment="1">
      <alignment horizontal="center"/>
    </xf>
    <xf numFmtId="5" fontId="21" fillId="0" borderId="3" xfId="0" applyNumberFormat="1" applyFont="1" applyBorder="1" applyAlignment="1">
      <alignment horizontal="center"/>
    </xf>
    <xf numFmtId="5" fontId="21" fillId="0" borderId="23" xfId="0" applyNumberFormat="1" applyFont="1" applyBorder="1" applyAlignment="1">
      <alignment horizontal="center"/>
    </xf>
    <xf numFmtId="5" fontId="21" fillId="0" borderId="31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2" xfId="0" applyFont="1" applyBorder="1"/>
    <xf numFmtId="0" fontId="21" fillId="0" borderId="7" xfId="0" applyFont="1" applyBorder="1" applyAlignment="1">
      <alignment horizontal="left" indent="1"/>
    </xf>
    <xf numFmtId="5" fontId="21" fillId="0" borderId="8" xfId="0" applyNumberFormat="1" applyFont="1" applyBorder="1" applyAlignment="1">
      <alignment horizontal="center"/>
    </xf>
    <xf numFmtId="5" fontId="21" fillId="0" borderId="8" xfId="0" applyNumberFormat="1" applyFont="1" applyBorder="1"/>
    <xf numFmtId="37" fontId="22" fillId="0" borderId="2" xfId="0" applyNumberFormat="1" applyFont="1" applyBorder="1"/>
    <xf numFmtId="37" fontId="21" fillId="0" borderId="2" xfId="0" applyNumberFormat="1" applyFont="1" applyBorder="1"/>
    <xf numFmtId="37" fontId="21" fillId="0" borderId="11" xfId="0" applyNumberFormat="1" applyFont="1" applyBorder="1"/>
    <xf numFmtId="0" fontId="22" fillId="0" borderId="43" xfId="0" applyFont="1" applyBorder="1"/>
    <xf numFmtId="0" fontId="21" fillId="0" borderId="70" xfId="0" applyFont="1" applyBorder="1"/>
    <xf numFmtId="0" fontId="21" fillId="0" borderId="42" xfId="0" applyFont="1" applyBorder="1"/>
    <xf numFmtId="0" fontId="21" fillId="0" borderId="22" xfId="0" applyFont="1" applyBorder="1"/>
    <xf numFmtId="0" fontId="21" fillId="0" borderId="23" xfId="0" applyFont="1" applyBorder="1"/>
    <xf numFmtId="37" fontId="22" fillId="0" borderId="23" xfId="0" applyNumberFormat="1" applyFont="1" applyBorder="1"/>
    <xf numFmtId="37" fontId="21" fillId="0" borderId="23" xfId="0" applyNumberFormat="1" applyFont="1" applyBorder="1"/>
    <xf numFmtId="37" fontId="21" fillId="0" borderId="24" xfId="0" applyNumberFormat="1" applyFont="1" applyBorder="1"/>
    <xf numFmtId="0" fontId="21" fillId="0" borderId="30" xfId="0" applyFont="1" applyBorder="1" applyAlignment="1">
      <alignment horizontal="left" indent="1"/>
    </xf>
    <xf numFmtId="0" fontId="21" fillId="0" borderId="31" xfId="0" applyFont="1" applyBorder="1"/>
    <xf numFmtId="37" fontId="22" fillId="0" borderId="31" xfId="0" applyNumberFormat="1" applyFont="1" applyBorder="1"/>
    <xf numFmtId="37" fontId="21" fillId="0" borderId="31" xfId="0" applyNumberFormat="1" applyFont="1" applyBorder="1"/>
    <xf numFmtId="37" fontId="21" fillId="0" borderId="32" xfId="0" applyNumberFormat="1" applyFont="1" applyBorder="1"/>
    <xf numFmtId="3" fontId="21" fillId="0" borderId="70" xfId="0" applyNumberFormat="1" applyFont="1" applyBorder="1"/>
    <xf numFmtId="3" fontId="21" fillId="0" borderId="42" xfId="0" applyNumberFormat="1" applyFont="1" applyBorder="1"/>
    <xf numFmtId="3" fontId="22" fillId="9" borderId="31" xfId="0" applyNumberFormat="1" applyFont="1" applyFill="1" applyBorder="1"/>
    <xf numFmtId="3" fontId="21" fillId="9" borderId="31" xfId="0" applyNumberFormat="1" applyFont="1" applyFill="1" applyBorder="1"/>
    <xf numFmtId="0" fontId="21" fillId="9" borderId="30" xfId="0" applyFont="1" applyFill="1" applyBorder="1" applyAlignment="1">
      <alignment horizontal="left" indent="1"/>
    </xf>
    <xf numFmtId="3" fontId="21" fillId="9" borderId="32" xfId="0" applyNumberFormat="1" applyFont="1" applyFill="1" applyBorder="1"/>
    <xf numFmtId="0" fontId="21" fillId="9" borderId="7" xfId="0" applyFont="1" applyFill="1" applyBorder="1" applyAlignment="1">
      <alignment horizontal="left" indent="1"/>
    </xf>
    <xf numFmtId="3" fontId="21" fillId="9" borderId="8" xfId="0" applyNumberFormat="1" applyFont="1" applyFill="1" applyBorder="1"/>
    <xf numFmtId="0" fontId="21" fillId="0" borderId="7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5" fontId="21" fillId="0" borderId="86" xfId="0" applyNumberFormat="1" applyFont="1" applyBorder="1" applyAlignment="1">
      <alignment horizontal="center"/>
    </xf>
    <xf numFmtId="5" fontId="21" fillId="0" borderId="32" xfId="0" applyNumberFormat="1" applyFont="1" applyBorder="1" applyAlignment="1">
      <alignment horizontal="center"/>
    </xf>
    <xf numFmtId="0" fontId="21" fillId="0" borderId="22" xfId="0" applyFont="1" applyBorder="1" applyAlignment="1">
      <alignment horizontal="left" indent="1"/>
    </xf>
    <xf numFmtId="5" fontId="21" fillId="0" borderId="2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indent="1"/>
    </xf>
    <xf numFmtId="5" fontId="21" fillId="0" borderId="2" xfId="0" applyNumberFormat="1" applyFont="1" applyBorder="1" applyAlignment="1">
      <alignment horizontal="center"/>
    </xf>
    <xf numFmtId="5" fontId="21" fillId="0" borderId="11" xfId="0" applyNumberFormat="1" applyFont="1" applyBorder="1" applyAlignment="1">
      <alignment horizontal="center"/>
    </xf>
    <xf numFmtId="0" fontId="21" fillId="0" borderId="88" xfId="0" applyFont="1" applyBorder="1"/>
    <xf numFmtId="3" fontId="22" fillId="0" borderId="88" xfId="0" applyNumberFormat="1" applyFont="1" applyBorder="1"/>
    <xf numFmtId="0" fontId="21" fillId="9" borderId="31" xfId="0" applyFont="1" applyFill="1" applyBorder="1" applyAlignment="1">
      <alignment horizontal="center"/>
    </xf>
    <xf numFmtId="0" fontId="21" fillId="9" borderId="32" xfId="0" applyFont="1" applyFill="1" applyBorder="1"/>
    <xf numFmtId="0" fontId="21" fillId="9" borderId="1" xfId="0" applyFont="1" applyFill="1" applyBorder="1" applyAlignment="1">
      <alignment horizontal="center"/>
    </xf>
    <xf numFmtId="0" fontId="21" fillId="9" borderId="10" xfId="0" applyFont="1" applyFill="1" applyBorder="1"/>
    <xf numFmtId="37" fontId="21" fillId="9" borderId="31" xfId="0" applyNumberFormat="1" applyFont="1" applyFill="1" applyBorder="1"/>
    <xf numFmtId="37" fontId="22" fillId="9" borderId="31" xfId="0" applyNumberFormat="1" applyFont="1" applyFill="1" applyBorder="1"/>
    <xf numFmtId="37" fontId="21" fillId="9" borderId="32" xfId="0" applyNumberFormat="1" applyFont="1" applyFill="1" applyBorder="1"/>
    <xf numFmtId="37" fontId="21" fillId="9" borderId="1" xfId="0" applyNumberFormat="1" applyFont="1" applyFill="1" applyBorder="1"/>
    <xf numFmtId="37" fontId="22" fillId="9" borderId="1" xfId="0" applyNumberFormat="1" applyFont="1" applyFill="1" applyBorder="1"/>
    <xf numFmtId="37" fontId="21" fillId="9" borderId="8" xfId="0" applyNumberFormat="1" applyFont="1" applyFill="1" applyBorder="1"/>
    <xf numFmtId="0" fontId="21" fillId="9" borderId="22" xfId="0" applyFont="1" applyFill="1" applyBorder="1"/>
    <xf numFmtId="37" fontId="21" fillId="9" borderId="23" xfId="0" applyNumberFormat="1" applyFont="1" applyFill="1" applyBorder="1"/>
    <xf numFmtId="37" fontId="22" fillId="9" borderId="23" xfId="0" applyNumberFormat="1" applyFont="1" applyFill="1" applyBorder="1"/>
    <xf numFmtId="37" fontId="21" fillId="9" borderId="24" xfId="0" applyNumberFormat="1" applyFont="1" applyFill="1" applyBorder="1"/>
    <xf numFmtId="37" fontId="22" fillId="9" borderId="2" xfId="0" applyNumberFormat="1" applyFont="1" applyFill="1" applyBorder="1"/>
    <xf numFmtId="37" fontId="21" fillId="9" borderId="2" xfId="0" applyNumberFormat="1" applyFont="1" applyFill="1" applyBorder="1"/>
    <xf numFmtId="37" fontId="21" fillId="9" borderId="11" xfId="0" applyNumberFormat="1" applyFont="1" applyFill="1" applyBorder="1"/>
    <xf numFmtId="10" fontId="21" fillId="9" borderId="1" xfId="0" applyNumberFormat="1" applyFont="1" applyFill="1" applyBorder="1"/>
    <xf numFmtId="165" fontId="21" fillId="9" borderId="8" xfId="0" applyNumberFormat="1" applyFont="1" applyFill="1" applyBorder="1"/>
    <xf numFmtId="10" fontId="21" fillId="9" borderId="8" xfId="0" applyNumberFormat="1" applyFont="1" applyFill="1" applyBorder="1"/>
    <xf numFmtId="2" fontId="21" fillId="9" borderId="2" xfId="0" applyNumberFormat="1" applyFont="1" applyFill="1" applyBorder="1"/>
    <xf numFmtId="200" fontId="21" fillId="9" borderId="2" xfId="0" applyNumberFormat="1" applyFont="1" applyFill="1" applyBorder="1"/>
    <xf numFmtId="200" fontId="21" fillId="9" borderId="11" xfId="0" applyNumberFormat="1" applyFont="1" applyFill="1" applyBorder="1"/>
    <xf numFmtId="5" fontId="21" fillId="9" borderId="31" xfId="0" applyNumberFormat="1" applyFont="1" applyFill="1" applyBorder="1"/>
    <xf numFmtId="5" fontId="21" fillId="9" borderId="32" xfId="0" applyNumberFormat="1" applyFont="1" applyFill="1" applyBorder="1"/>
    <xf numFmtId="10" fontId="21" fillId="9" borderId="23" xfId="0" applyNumberFormat="1" applyFont="1" applyFill="1" applyBorder="1"/>
    <xf numFmtId="10" fontId="21" fillId="9" borderId="24" xfId="0" applyNumberFormat="1" applyFont="1" applyFill="1" applyBorder="1"/>
    <xf numFmtId="10" fontId="21" fillId="9" borderId="31" xfId="0" applyNumberFormat="1" applyFont="1" applyFill="1" applyBorder="1"/>
    <xf numFmtId="10" fontId="21" fillId="9" borderId="32" xfId="0" applyNumberFormat="1" applyFont="1" applyFill="1" applyBorder="1"/>
    <xf numFmtId="0" fontId="22" fillId="9" borderId="0" xfId="0" applyFont="1" applyFill="1" applyAlignment="1">
      <alignment vertical="center"/>
    </xf>
    <xf numFmtId="0" fontId="22" fillId="11" borderId="18" xfId="0" applyFont="1" applyFill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200" fontId="21" fillId="0" borderId="98" xfId="0" applyNumberFormat="1" applyFont="1" applyBorder="1" applyAlignment="1">
      <alignment horizontal="center" vertical="center"/>
    </xf>
    <xf numFmtId="179" fontId="21" fillId="0" borderId="98" xfId="0" applyNumberFormat="1" applyFont="1" applyBorder="1" applyAlignment="1">
      <alignment horizontal="center" vertical="center"/>
    </xf>
    <xf numFmtId="0" fontId="21" fillId="0" borderId="98" xfId="0" applyFont="1" applyBorder="1" applyAlignment="1">
      <alignment vertical="center" wrapText="1"/>
    </xf>
    <xf numFmtId="1" fontId="21" fillId="0" borderId="98" xfId="0" applyNumberFormat="1" applyFont="1" applyBorder="1" applyAlignment="1">
      <alignment horizontal="center" vertical="center"/>
    </xf>
    <xf numFmtId="3" fontId="21" fillId="0" borderId="98" xfId="0" applyNumberFormat="1" applyFont="1" applyBorder="1" applyAlignment="1">
      <alignment horizontal="center" vertical="center"/>
    </xf>
    <xf numFmtId="165" fontId="21" fillId="0" borderId="98" xfId="0" applyNumberFormat="1" applyFont="1" applyBorder="1" applyAlignment="1">
      <alignment horizontal="center" vertical="center"/>
    </xf>
    <xf numFmtId="5" fontId="21" fillId="0" borderId="84" xfId="0" applyNumberFormat="1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200" fontId="21" fillId="0" borderId="71" xfId="0" applyNumberFormat="1" applyFont="1" applyBorder="1" applyAlignment="1">
      <alignment horizontal="center" vertical="center"/>
    </xf>
    <xf numFmtId="179" fontId="21" fillId="0" borderId="71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vertical="center" wrapText="1"/>
    </xf>
    <xf numFmtId="1" fontId="21" fillId="0" borderId="71" xfId="0" applyNumberFormat="1" applyFont="1" applyBorder="1" applyAlignment="1">
      <alignment horizontal="center" vertical="center"/>
    </xf>
    <xf numFmtId="3" fontId="21" fillId="0" borderId="71" xfId="0" applyNumberFormat="1" applyFont="1" applyBorder="1" applyAlignment="1">
      <alignment horizontal="center" vertical="center"/>
    </xf>
    <xf numFmtId="165" fontId="21" fillId="0" borderId="71" xfId="0" applyNumberFormat="1" applyFont="1" applyBorder="1" applyAlignment="1">
      <alignment horizontal="center" vertical="center"/>
    </xf>
    <xf numFmtId="5" fontId="21" fillId="0" borderId="15" xfId="0" applyNumberFormat="1" applyFont="1" applyBorder="1" applyAlignment="1">
      <alignment horizontal="center" vertical="center"/>
    </xf>
    <xf numFmtId="0" fontId="22" fillId="0" borderId="61" xfId="0" applyFont="1" applyBorder="1"/>
    <xf numFmtId="200" fontId="22" fillId="0" borderId="88" xfId="0" applyNumberFormat="1" applyFont="1" applyBorder="1" applyAlignment="1">
      <alignment horizontal="center"/>
    </xf>
    <xf numFmtId="179" fontId="22" fillId="0" borderId="88" xfId="0" applyNumberFormat="1" applyFont="1" applyBorder="1"/>
    <xf numFmtId="0" fontId="22" fillId="0" borderId="88" xfId="0" applyFont="1" applyBorder="1"/>
    <xf numFmtId="1" fontId="22" fillId="0" borderId="88" xfId="0" applyNumberFormat="1" applyFont="1" applyBorder="1" applyAlignment="1">
      <alignment horizontal="center" vertical="center"/>
    </xf>
    <xf numFmtId="1" fontId="22" fillId="0" borderId="88" xfId="0" applyNumberFormat="1" applyFont="1" applyBorder="1" applyAlignment="1">
      <alignment horizontal="center"/>
    </xf>
    <xf numFmtId="3" fontId="22" fillId="0" borderId="88" xfId="0" applyNumberFormat="1" applyFont="1" applyBorder="1" applyAlignment="1">
      <alignment horizontal="center"/>
    </xf>
    <xf numFmtId="165" fontId="22" fillId="0" borderId="88" xfId="0" applyNumberFormat="1" applyFont="1" applyBorder="1" applyAlignment="1">
      <alignment horizontal="center"/>
    </xf>
    <xf numFmtId="5" fontId="22" fillId="0" borderId="52" xfId="0" applyNumberFormat="1" applyFont="1" applyBorder="1" applyAlignment="1">
      <alignment horizontal="center"/>
    </xf>
    <xf numFmtId="0" fontId="22" fillId="11" borderId="43" xfId="0" applyFont="1" applyFill="1" applyBorder="1" applyAlignment="1">
      <alignment vertical="center"/>
    </xf>
    <xf numFmtId="0" fontId="21" fillId="11" borderId="70" xfId="0" applyFont="1" applyFill="1" applyBorder="1"/>
    <xf numFmtId="0" fontId="21" fillId="11" borderId="42" xfId="0" applyFont="1" applyFill="1" applyBorder="1"/>
    <xf numFmtId="0" fontId="22" fillId="11" borderId="18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5" fontId="6" fillId="11" borderId="24" xfId="0" applyNumberFormat="1" applyFont="1" applyFill="1" applyBorder="1" applyAlignment="1">
      <alignment horizontal="center"/>
    </xf>
    <xf numFmtId="0" fontId="0" fillId="15" borderId="0" xfId="0" applyFill="1"/>
    <xf numFmtId="0" fontId="22" fillId="11" borderId="54" xfId="0" applyFont="1" applyFill="1" applyBorder="1" applyAlignment="1">
      <alignment horizontal="center"/>
    </xf>
    <xf numFmtId="0" fontId="22" fillId="11" borderId="29" xfId="0" applyFont="1" applyFill="1" applyBorder="1" applyAlignment="1">
      <alignment horizontal="center"/>
    </xf>
    <xf numFmtId="0" fontId="21" fillId="0" borderId="7" xfId="0" applyFont="1" applyBorder="1" applyAlignment="1">
      <alignment horizontal="left" indent="1"/>
    </xf>
    <xf numFmtId="0" fontId="21" fillId="0" borderId="1" xfId="0" applyFont="1" applyBorder="1" applyAlignment="1">
      <alignment horizontal="left" indent="1"/>
    </xf>
    <xf numFmtId="0" fontId="21" fillId="0" borderId="16" xfId="0" applyFont="1" applyBorder="1" applyAlignment="1">
      <alignment horizontal="left" indent="1"/>
    </xf>
    <xf numFmtId="0" fontId="21" fillId="0" borderId="91" xfId="0" applyFont="1" applyBorder="1" applyAlignment="1">
      <alignment horizontal="left" indent="1"/>
    </xf>
    <xf numFmtId="0" fontId="22" fillId="0" borderId="92" xfId="0" applyFont="1" applyBorder="1" applyAlignment="1">
      <alignment horizontal="left"/>
    </xf>
    <xf numFmtId="0" fontId="22" fillId="0" borderId="93" xfId="0" applyFont="1" applyBorder="1" applyAlignment="1">
      <alignment horizontal="left"/>
    </xf>
    <xf numFmtId="0" fontId="22" fillId="0" borderId="94" xfId="0" applyFont="1" applyBorder="1" applyAlignment="1">
      <alignment horizontal="left"/>
    </xf>
    <xf numFmtId="0" fontId="22" fillId="0" borderId="95" xfId="0" applyFont="1" applyBorder="1" applyAlignment="1">
      <alignment horizontal="left"/>
    </xf>
    <xf numFmtId="0" fontId="21" fillId="9" borderId="66" xfId="0" applyFont="1" applyFill="1" applyBorder="1" applyAlignment="1">
      <alignment horizontal="left"/>
    </xf>
    <xf numFmtId="0" fontId="21" fillId="9" borderId="27" xfId="0" applyFont="1" applyFill="1" applyBorder="1" applyAlignment="1">
      <alignment horizontal="left"/>
    </xf>
    <xf numFmtId="0" fontId="21" fillId="9" borderId="75" xfId="0" applyFont="1" applyFill="1" applyBorder="1" applyAlignment="1">
      <alignment horizontal="left"/>
    </xf>
    <xf numFmtId="0" fontId="21" fillId="9" borderId="64" xfId="0" applyFont="1" applyFill="1" applyBorder="1" applyAlignment="1">
      <alignment horizontal="left"/>
    </xf>
    <xf numFmtId="0" fontId="21" fillId="9" borderId="76" xfId="0" applyFont="1" applyFill="1" applyBorder="1" applyAlignment="1">
      <alignment horizontal="left"/>
    </xf>
    <xf numFmtId="0" fontId="21" fillId="9" borderId="4" xfId="0" applyFont="1" applyFill="1" applyBorder="1" applyAlignment="1">
      <alignment horizontal="left"/>
    </xf>
    <xf numFmtId="0" fontId="21" fillId="9" borderId="65" xfId="0" applyFont="1" applyFill="1" applyBorder="1" applyAlignment="1">
      <alignment horizontal="left"/>
    </xf>
    <xf numFmtId="0" fontId="21" fillId="9" borderId="77" xfId="0" applyFont="1" applyFill="1" applyBorder="1" applyAlignment="1">
      <alignment horizontal="left"/>
    </xf>
    <xf numFmtId="0" fontId="21" fillId="9" borderId="97" xfId="0" applyFont="1" applyFill="1" applyBorder="1" applyAlignment="1">
      <alignment horizontal="left"/>
    </xf>
    <xf numFmtId="0" fontId="21" fillId="9" borderId="68" xfId="0" applyFont="1" applyFill="1" applyBorder="1" applyAlignment="1">
      <alignment horizontal="left"/>
    </xf>
    <xf numFmtId="0" fontId="21" fillId="9" borderId="80" xfId="0" applyFont="1" applyFill="1" applyBorder="1" applyAlignment="1">
      <alignment horizontal="left"/>
    </xf>
    <xf numFmtId="0" fontId="21" fillId="9" borderId="74" xfId="0" applyFont="1" applyFill="1" applyBorder="1" applyAlignment="1">
      <alignment horizontal="left"/>
    </xf>
    <xf numFmtId="0" fontId="3" fillId="9" borderId="19" xfId="0" applyFont="1" applyFill="1" applyBorder="1" applyAlignment="1">
      <alignment horizontal="center"/>
    </xf>
    <xf numFmtId="0" fontId="1" fillId="9" borderId="19" xfId="0" applyFont="1" applyFill="1" applyBorder="1"/>
    <xf numFmtId="0" fontId="22" fillId="11" borderId="43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center" vertical="center"/>
    </xf>
    <xf numFmtId="0" fontId="22" fillId="11" borderId="42" xfId="0" applyFont="1" applyFill="1" applyBorder="1" applyAlignment="1">
      <alignment horizontal="center" vertical="center"/>
    </xf>
    <xf numFmtId="0" fontId="6" fillId="11" borderId="43" xfId="0" applyFont="1" applyFill="1" applyBorder="1" applyAlignment="1">
      <alignment horizontal="right"/>
    </xf>
    <xf numFmtId="0" fontId="1" fillId="11" borderId="70" xfId="0" applyFont="1" applyFill="1" applyBorder="1"/>
    <xf numFmtId="0" fontId="6" fillId="11" borderId="61" xfId="0" applyFont="1" applyFill="1" applyBorder="1" applyAlignment="1">
      <alignment horizontal="center"/>
    </xf>
    <xf numFmtId="0" fontId="1" fillId="11" borderId="62" xfId="0" applyFont="1" applyFill="1" applyBorder="1"/>
    <xf numFmtId="0" fontId="1" fillId="11" borderId="63" xfId="0" applyFont="1" applyFill="1" applyBorder="1"/>
    <xf numFmtId="0" fontId="6" fillId="11" borderId="43" xfId="0" applyFont="1" applyFill="1" applyBorder="1" applyAlignment="1">
      <alignment horizontal="center"/>
    </xf>
    <xf numFmtId="0" fontId="1" fillId="11" borderId="42" xfId="0" applyFont="1" applyFill="1" applyBorder="1"/>
    <xf numFmtId="180" fontId="10" fillId="12" borderId="43" xfId="0" applyNumberFormat="1" applyFont="1" applyFill="1" applyBorder="1" applyAlignment="1">
      <alignment horizontal="center"/>
    </xf>
    <xf numFmtId="0" fontId="1" fillId="12" borderId="70" xfId="0" applyFont="1" applyFill="1" applyBorder="1"/>
    <xf numFmtId="180" fontId="6" fillId="12" borderId="70" xfId="0" applyNumberFormat="1" applyFont="1" applyFill="1" applyBorder="1" applyAlignment="1">
      <alignment horizontal="center"/>
    </xf>
    <xf numFmtId="0" fontId="1" fillId="12" borderId="42" xfId="0" applyFont="1" applyFill="1" applyBorder="1"/>
    <xf numFmtId="0" fontId="6" fillId="12" borderId="43" xfId="0" applyFont="1" applyFill="1" applyBorder="1" applyAlignment="1">
      <alignment horizontal="right"/>
    </xf>
    <xf numFmtId="5" fontId="2" fillId="0" borderId="69" xfId="0" applyNumberFormat="1" applyFont="1" applyBorder="1" applyAlignment="1">
      <alignment horizontal="center"/>
    </xf>
    <xf numFmtId="0" fontId="1" fillId="0" borderId="44" xfId="0" applyFont="1" applyBorder="1"/>
    <xf numFmtId="5" fontId="3" fillId="0" borderId="3" xfId="0" applyNumberFormat="1" applyFont="1" applyBorder="1" applyAlignment="1">
      <alignment horizontal="center"/>
    </xf>
    <xf numFmtId="0" fontId="1" fillId="0" borderId="4" xfId="0" applyFont="1" applyBorder="1"/>
    <xf numFmtId="5" fontId="3" fillId="0" borderId="47" xfId="0" applyNumberFormat="1" applyFont="1" applyBorder="1" applyAlignment="1">
      <alignment horizontal="center"/>
    </xf>
    <xf numFmtId="0" fontId="1" fillId="0" borderId="17" xfId="0" applyFont="1" applyBorder="1"/>
    <xf numFmtId="5" fontId="2" fillId="0" borderId="49" xfId="0" applyNumberFormat="1" applyFont="1" applyBorder="1" applyAlignment="1">
      <alignment horizontal="center"/>
    </xf>
    <xf numFmtId="0" fontId="1" fillId="0" borderId="50" xfId="0" applyFont="1" applyBorder="1"/>
    <xf numFmtId="0" fontId="6" fillId="12" borderId="28" xfId="0" applyFont="1" applyFill="1" applyBorder="1" applyAlignment="1">
      <alignment horizontal="right"/>
    </xf>
    <xf numFmtId="0" fontId="1" fillId="12" borderId="54" xfId="0" applyFont="1" applyFill="1" applyBorder="1"/>
    <xf numFmtId="180" fontId="6" fillId="12" borderId="54" xfId="0" applyNumberFormat="1" applyFont="1" applyFill="1" applyBorder="1" applyAlignment="1">
      <alignment horizontal="center"/>
    </xf>
    <xf numFmtId="0" fontId="1" fillId="12" borderId="29" xfId="0" applyFont="1" applyFill="1" applyBorder="1"/>
    <xf numFmtId="0" fontId="2" fillId="9" borderId="55" xfId="0" applyFont="1" applyFill="1" applyBorder="1" applyAlignment="1">
      <alignment horizontal="left" wrapText="1"/>
    </xf>
    <xf numFmtId="3" fontId="3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63" xfId="0" applyFont="1" applyBorder="1"/>
    <xf numFmtId="0" fontId="3" fillId="0" borderId="27" xfId="0" applyFont="1" applyBorder="1" applyAlignment="1">
      <alignment horizontal="left"/>
    </xf>
    <xf numFmtId="0" fontId="1" fillId="0" borderId="27" xfId="0" applyFont="1" applyBorder="1"/>
    <xf numFmtId="0" fontId="3" fillId="12" borderId="43" xfId="0" applyFont="1" applyFill="1" applyBorder="1" applyAlignment="1">
      <alignment horizontal="right"/>
    </xf>
    <xf numFmtId="0" fontId="6" fillId="5" borderId="28" xfId="0" applyFont="1" applyFill="1" applyBorder="1" applyAlignment="1">
      <alignment horizontal="center"/>
    </xf>
    <xf numFmtId="0" fontId="1" fillId="0" borderId="54" xfId="0" applyFont="1" applyBorder="1"/>
    <xf numFmtId="0" fontId="1" fillId="0" borderId="29" xfId="0" applyFont="1" applyBorder="1"/>
    <xf numFmtId="3" fontId="6" fillId="12" borderId="54" xfId="0" applyNumberFormat="1" applyFont="1" applyFill="1" applyBorder="1" applyAlignment="1">
      <alignment horizontal="center"/>
    </xf>
    <xf numFmtId="0" fontId="2" fillId="9" borderId="55" xfId="0" applyFont="1" applyFill="1" applyBorder="1" applyAlignment="1">
      <alignment horizontal="left"/>
    </xf>
    <xf numFmtId="3" fontId="6" fillId="12" borderId="70" xfId="0" applyNumberFormat="1" applyFont="1" applyFill="1" applyBorder="1" applyAlignment="1">
      <alignment horizontal="center"/>
    </xf>
    <xf numFmtId="5" fontId="2" fillId="3" borderId="3" xfId="0" applyNumberFormat="1" applyFont="1" applyFill="1" applyBorder="1" applyAlignment="1">
      <alignment horizontal="center"/>
    </xf>
    <xf numFmtId="5" fontId="2" fillId="3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76" xfId="0" applyFont="1" applyBorder="1"/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62" xfId="0" applyFont="1" applyBorder="1"/>
  </cellXfs>
  <cellStyles count="4">
    <cellStyle name="Normal" xfId="0" builtinId="0"/>
    <cellStyle name="千位分隔 2" xfId="3" xr:uid="{B9EE0B1C-5BC6-4427-A413-0A588C3B589B}"/>
    <cellStyle name="常规 2 2" xfId="1" xr:uid="{BA758F9F-F0E4-418C-93F6-4BFAB2D45C03}"/>
    <cellStyle name="百分比 2" xfId="2" xr:uid="{7FF22FEC-BBCA-49B1-8F28-D8A843634DE9}"/>
  </cellStyles>
  <dxfs count="40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F5D0A1"/>
      <color rgb="FFB7DFF5"/>
      <color rgb="FFE8B7B7"/>
      <color rgb="FFEBB7B7"/>
      <color rgb="FFE68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40" Type="http://customschemas.google.com/relationships/workbookmetadata" Target="metadata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38100</xdr:colOff>
      <xdr:row>3</xdr:row>
      <xdr:rowOff>0</xdr:rowOff>
    </xdr:from>
    <xdr:ext cx="7134225" cy="857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83650" y="3741900"/>
          <a:ext cx="7124700" cy="76200"/>
        </a:xfrm>
        <a:prstGeom prst="rect">
          <a:avLst/>
        </a:prstGeom>
        <a:noFill/>
        <a:ln>
          <a:noFill/>
        </a:ln>
      </xdr:spPr>
      <xdr:txBody>
        <a:bodyPr spcFirstLastPara="1" wrap="square" lIns="36575" tIns="36575" rIns="36575" bIns="36575" anchor="t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800"/>
            <a:buFont typeface="Calibri"/>
            <a:buNone/>
          </a:pPr>
          <a:r>
            <a:rPr lang="en-US" sz="800" b="1" i="0" u="none" strike="noStrike" cap="non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D  e  v  e  l  o  p  m  e  n  t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600"/>
            <a:buFont typeface="Arial"/>
            <a:buNone/>
          </a:pPr>
          <a:endParaRPr sz="1600" b="1" i="0" u="none" strike="noStrike" cap="none">
            <a:solidFill>
              <a:srgbClr val="FFFFFF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60</xdr:col>
      <xdr:colOff>95250</xdr:colOff>
      <xdr:row>1</xdr:row>
      <xdr:rowOff>0</xdr:rowOff>
    </xdr:from>
    <xdr:ext cx="7038975" cy="295275"/>
    <xdr:pic>
      <xdr:nvPicPr>
        <xdr:cNvPr id="4" name="image16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osed%20Deals\Mack-Cali%20Portfolio\Investment%20Committee%20Book\$600k%20price%20adjustment%20VI\Section%203%20-%20Mack-Cali%20Portfolio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es%20A%20Long\Dropbox\Development-L-T\West%20Oakland\1600%207th%20St\Equity%20Book%20and%20Financials\efscluster1\eusersdefpaths\greystar\live\41900914476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higgins\Local%20Settings\Temporary%20Internet%20Files\OLK16E\North%20Houston%20Medical%20Base%20Case%208-17-04%20(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XUsers\koura\Analyst%20Bullpen\2%20-%20Seattle%20Deals\Seattle\South%20Lake%20Union\1%208%2012%20-%20Seattle%20282%20-%20AW_KAO_1.10.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hewticknor\Dropbox\Development-L-T\Oakland\585%2022nd%20St\Asset%20Management\G:\Real%20Estate\_New%20Deals\NYC%20-%2085%20West%20Broadway\Model\hotel%20model\kimpton%20hotel%20development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hewticknor\Dropbox\Development-L-T\Oakland\585%2022nd%20St\Asset%20Management\G: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I-FS1\Users\FHC\ESTIMATE\Large%20Projects%20Estimates%202005\Carmichael%20Library%2025006\Bid%20Card%20Carmichael%20Library%201_27_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pender.CHS\Local%20Settings\Temporary%20Internet%20Files\OLK12F\45760934376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\Dropbox\Greystar\Deals\Menlo%20Park\Equity%20Book\Menlo%20Park%20-%2065%25%20LTC%20-%2011-17-2013%20-%20broken%20link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R\Invoices\Greystar%20Investments\GCP%20Invoice-JMIGR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aconlakes\Shared%20Documents\Beacon%20Lakes\100%20Land%20and%20Feasibility\Project%20Budget\MULE%20and%20Partners%20model%20greystar%20Beacon%20Lakes%203-5-07%20v5\beacon%20MULE2007_Beta2.3\MULE2007_Beta2.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rbrown.AUSTIN\Local%20Settings\Temporary%20Internet%20Files\OLK1\49864162724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*"/>
      <sheetName val="Dealsumm"/>
      <sheetName val="Assm"/>
      <sheetName val="#"/>
      <sheetName val="#debt"/>
      <sheetName val="A"/>
      <sheetName val="B"/>
      <sheetName val="C"/>
      <sheetName val="Profit"/>
      <sheetName val="FeeAnalysis"/>
      <sheetName val="Land Assm"/>
      <sheetName val="Land #"/>
      <sheetName val="Land #debt"/>
      <sheetName val="Mont Assm"/>
      <sheetName val="Mont #"/>
      <sheetName val="Mont #debt"/>
      <sheetName val="Metr Assm"/>
      <sheetName val="Metr #"/>
      <sheetName val="Metr #debt"/>
      <sheetName val="Rep Assm"/>
      <sheetName val="Rep #"/>
      <sheetName val="Rep #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perty taxes-NOI-Prop 13 2538"/>
      <sheetName val="585 22nd NOI reduction-Prop 13"/>
      <sheetName val="471 Fees and allowances"/>
      <sheetName val="Unit mix revised 2538 08-04-16"/>
      <sheetName val="Unit mix revised 585 01-24-17"/>
      <sheetName val="570 Fees and Allowances"/>
      <sheetName val="Operating Expense &amp; Income 2538"/>
      <sheetName val="Rental pro-forma-97 UNITS-2538"/>
      <sheetName val="OVERALL DRAW 2538"/>
      <sheetName val="Equity Investor Sheet 2538"/>
      <sheetName val="26th - PM Budget"/>
      <sheetName val="2538 ALL EXPENSES"/>
      <sheetName val="2538 CONTRACTS"/>
      <sheetName val="Monthly Draw 585&amp;2538"/>
      <sheetName val="Operating Expense &amp; Income-585"/>
      <sheetName val="Rental pro-forma 585"/>
      <sheetName val="OVERALL DRAW 585"/>
      <sheetName val="Equity Investor Sheet 585"/>
      <sheetName val="21st - PM Budget"/>
      <sheetName val="585 ALL EXPENSES"/>
      <sheetName val="585 CONTRACTS"/>
      <sheetName val="UBS Waterfall"/>
      <sheetName val="Return Summary"/>
      <sheetName val="Trended CF-Simple 2538"/>
      <sheetName val="Trended CF-Simple585"/>
      <sheetName val="2538 BID LOG 5-16-17"/>
      <sheetName val="2538 BID LOG 6-6-17"/>
      <sheetName val="COSTS BOTH"/>
      <sheetName val="CONSOLIDATED"/>
      <sheetName val="DESIGN DRAW 585"/>
      <sheetName val="DESIGN DRAW 2538"/>
      <sheetName val="10y Libor"/>
      <sheetName val="60 units-OLD"/>
      <sheetName val="TIC Structure"/>
      <sheetName val="10 Yr. - Cash Flow"/>
      <sheetName val="One Pager - Assumptions"/>
      <sheetName val="NOI Down"/>
      <sheetName val="Rent Roll"/>
      <sheetName val="Rent"/>
      <sheetName val="TI"/>
      <sheetName val="Supporting Info."/>
      <sheetName val="Lease-Up"/>
      <sheetName val="Client Specif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perty taxes-NOI-Prop 13 2538"/>
      <sheetName val="585 22nd NOI reduction-Prop 13"/>
      <sheetName val="471 Fees and allowances"/>
      <sheetName val="Unit mix revised 2538 08-04-16"/>
      <sheetName val="Unit mix revised 585 01-24-17"/>
      <sheetName val="570 Fees and Allowances"/>
      <sheetName val="Operating Expense &amp; Income 2538"/>
      <sheetName val="Rental pro-forma-97 UNITS-2538"/>
      <sheetName val="OVERALL DRAW 2538"/>
      <sheetName val="Equity Investor Sheet 2538"/>
      <sheetName val="26th - PM Budget"/>
      <sheetName val="2538 ALL EXPENSES"/>
      <sheetName val="2538 CONTRACTS"/>
      <sheetName val="Monthly Draw 585&amp;2538"/>
      <sheetName val="Operating Expense &amp; Income-585"/>
      <sheetName val="Rental pro-forma 585"/>
      <sheetName val="OVERALL DRAW 585"/>
      <sheetName val="Equity Investor Sheet 585"/>
      <sheetName val="21st - PM Budget"/>
      <sheetName val="585 ALL EXPENSES"/>
      <sheetName val="585 CONTRACTS"/>
      <sheetName val="UBS Waterfall"/>
      <sheetName val="Return Summary"/>
      <sheetName val="Trended CF-Simple 2538"/>
      <sheetName val="Trended CF-Simple585"/>
      <sheetName val="2538 BID LOG 5-16-17"/>
      <sheetName val="2538 BID LOG 6-6-17"/>
      <sheetName val="COSTS BOTH"/>
      <sheetName val="CONSOLIDATED"/>
      <sheetName val="DESIGN DRAW 585"/>
      <sheetName val="DESIGN DRAW 2538"/>
      <sheetName val="10y Libor"/>
      <sheetName val="60 units-OLD"/>
      <sheetName val="Updates"/>
      <sheetName val="Negotiations Page"/>
      <sheetName val="Land Flip"/>
      <sheetName val="Parking"/>
      <sheetName val="base case"/>
      <sheetName val="Spent to Date"/>
      <sheetName val="Table of Contents"/>
      <sheetName val="Lanes Analysis"/>
      <sheetName val="Investment Committee Cover"/>
      <sheetName val="Executive Summary"/>
      <sheetName val="Assumptions Tracker"/>
      <sheetName val="Development Images"/>
      <sheetName val="Lanes Summary"/>
      <sheetName val="1 - Location"/>
      <sheetName val="2 - Supply &amp; Demand"/>
      <sheetName val="3 - Basis"/>
      <sheetName val="4 - Rents"/>
      <sheetName val="5 - Rent Growth"/>
      <sheetName val="6 - Development"/>
      <sheetName val="7 - Construction"/>
      <sheetName val="8 - Transaction Timing"/>
      <sheetName val="9 - Partnership Structure"/>
      <sheetName val="10 - Returns"/>
      <sheetName val="NOT IN USE - Detailed Budget"/>
      <sheetName val="Muni Fees"/>
      <sheetName val="New Detailed Budget MT"/>
      <sheetName val="Input"/>
      <sheetName val="Equity Package"/>
      <sheetName val="Coinvest Analysis"/>
      <sheetName val="Pursuit Schedule"/>
      <sheetName val="Comparison IC"/>
      <sheetName val="Sales Analysis"/>
      <sheetName val="REIS 2Q12"/>
      <sheetName val="Untrended Cash Flow"/>
      <sheetName val="Trended Cash Flow"/>
      <sheetName val="Comparison Table"/>
      <sheetName val="REIS YE2011"/>
      <sheetName val="Mgmt Sign Off"/>
      <sheetName val="Capitalization"/>
      <sheetName val="Comparison"/>
      <sheetName val="3Q11 REIS Report"/>
      <sheetName val="Exhibits"/>
      <sheetName val="Develop. Integrated Lifecycle"/>
      <sheetName val="Integrated Checklist"/>
      <sheetName val="Conceptual Design Review"/>
      <sheetName val="Detailed Costs"/>
      <sheetName val="Deposit Dollars"/>
      <sheetName val="Pursuit Costs"/>
      <sheetName val="Tools"/>
      <sheetName val="Generic Cover"/>
      <sheetName val="Notes"/>
      <sheetName val="Protocol &amp; Policy"/>
      <sheetName val="Suggestions"/>
      <sheetName val="Calc Table"/>
      <sheetName val="Project Cost Summary"/>
      <sheetName val="Lease Up"/>
      <sheetName val="Lists"/>
      <sheetName val="Origin"/>
      <sheetName val="Construction Costs"/>
      <sheetName val="Expense Detail"/>
      <sheetName val="Data"/>
      <sheetName val="Operating Expense &amp; Income"/>
      <sheetName val="Property taxes-NOI- Prop 13"/>
      <sheetName val="Rental pro-forma-97 UNITS"/>
      <sheetName val="Schedule-Budgets-2538"/>
      <sheetName val="Monthly Draw 2538"/>
      <sheetName val="Trended CF-Simple"/>
      <sheetName val="Rent Roll table for Equity Book"/>
      <sheetName val="Cost Allocation to commer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-INPU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perty taxes-NOI-Prop 13 2538"/>
      <sheetName val="585 22nd NOI reduction-Prop 13"/>
      <sheetName val="471 Fees and allowances"/>
      <sheetName val="Unit mix revised 2538 08-04-16"/>
      <sheetName val="Unit mix revised 585 01-24-17"/>
      <sheetName val="570 Fees and Allowances"/>
      <sheetName val="Operating Expense &amp; Income 2538"/>
      <sheetName val="Rental pro-forma-97 UNITS-2538"/>
      <sheetName val="OVERALL DRAW 2538"/>
      <sheetName val="Equity Investor Sheet 2538"/>
      <sheetName val="26th - PM Budget"/>
      <sheetName val="2538 ALL EXPENSES"/>
      <sheetName val="2538 CONTRACTS"/>
      <sheetName val="Monthly Draw 585&amp;2538"/>
      <sheetName val="Operating Expense &amp; Income-585"/>
      <sheetName val="Rental pro-forma 585"/>
      <sheetName val="OVERALL DRAW 585"/>
      <sheetName val="Equity Investor Sheet 585"/>
      <sheetName val="21st - PM Budget"/>
      <sheetName val="585 ALL EXPENSES"/>
      <sheetName val="585 CONTRACTS"/>
      <sheetName val="UBS Waterfall"/>
      <sheetName val="Return Summary"/>
      <sheetName val="Trended CF-Simple 2538"/>
      <sheetName val="Trended CF-Simple585"/>
      <sheetName val="2538 BID LOG 5-16-17"/>
      <sheetName val="2538 BID LOG 6-6-17"/>
      <sheetName val="COSTS BOTH"/>
      <sheetName val="CONSOLIDATED"/>
      <sheetName val="DESIGN DRAW 585"/>
      <sheetName val="DESIGN DRAW 2538"/>
      <sheetName val="10y Libor"/>
      <sheetName val="60 units-OLD"/>
      <sheetName val="Frontsheet"/>
      <sheetName val="Bid Form"/>
      <sheetName val="1"/>
      <sheetName val="2"/>
      <sheetName val="3"/>
      <sheetName val="4"/>
      <sheetName val="5"/>
      <sheetName val="6"/>
      <sheetName val="8"/>
      <sheetName val="7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Trade Breakdown"/>
      <sheetName val="Notes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Report"/>
      <sheetName val="Message"/>
      <sheetName val="Operating Expense &amp; Income"/>
      <sheetName val="Property taxes-NOI- Prop 13"/>
      <sheetName val="Rental pro-forma-97 UNITS"/>
      <sheetName val="OVERALL DRAW 2538"/>
      <sheetName val="Schedule-Budgets-2538"/>
      <sheetName val="Equity Investor Sheet 2538"/>
      <sheetName val="Monthly Draw 2538"/>
      <sheetName val="Trended CF-Simple"/>
      <sheetName val="Rent Roll table for Equity Book"/>
      <sheetName val="Cost Allocation to commercial"/>
      <sheetName val="DESIGN DRAW 2538"/>
      <sheetName val="2538 CONTRACTS"/>
      <sheetName val="60 unit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dates"/>
      <sheetName val="Lanes Analysis"/>
      <sheetName val="Pursuit Schedule"/>
      <sheetName val="Investment Committee Cover"/>
      <sheetName val="Executive Summary"/>
      <sheetName val="Development Images"/>
      <sheetName val="Lanes Summary"/>
      <sheetName val="1 - Location"/>
      <sheetName val="2 - Supply &amp; Demand"/>
      <sheetName val="3 - Basis"/>
      <sheetName val="4 - Rents"/>
      <sheetName val="5 - Rent Growth"/>
      <sheetName val="6 - Development"/>
      <sheetName val="7 - Construction"/>
      <sheetName val="8 - Transaction Timing"/>
      <sheetName val="10 - Returns"/>
      <sheetName val="9 - Assumptions Tracker"/>
      <sheetName val="Sales Comps"/>
      <sheetName val="Rent Comps"/>
      <sheetName val="Equity Page"/>
      <sheetName val="Mgmt Sign Off"/>
      <sheetName val="Input"/>
      <sheetName val="Trended Cash Flow"/>
      <sheetName val="Coinvest Analysis"/>
      <sheetName val="Sale Value Analysis"/>
      <sheetName val="Pursuit Cost IRR"/>
      <sheetName val="Sheet1"/>
      <sheetName val="Detailed Budget"/>
      <sheetName val="Development Budget"/>
      <sheetName val="Muni Fees"/>
      <sheetName val="Elan San Fran"/>
      <sheetName val="Yardi"/>
      <sheetName val="REIS"/>
      <sheetName val="Project Budget"/>
      <sheetName val="Sensitivity Analysis"/>
      <sheetName val="IRR Bridge"/>
      <sheetName val="Calc Table"/>
      <sheetName val="Unit Matrix"/>
      <sheetName val="Concord Mix"/>
      <sheetName val="Pursuit_Expenses by cost code"/>
      <sheetName val="Tracker"/>
      <sheetName val="Construction"/>
      <sheetName val="Budget"/>
      <sheetName val="Unit Mix"/>
      <sheetName val="Inclusionary Housing"/>
      <sheetName val="Untrended Cash Flow"/>
      <sheetName val="Project Cost Summary"/>
      <sheetName val="Capitalization"/>
      <sheetName val="Lease Up"/>
      <sheetName val="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ize Your Invoice"/>
      <sheetName val="AutoOpen Stub Data"/>
      <sheetName val="Invoice"/>
      <sheetName val="Macros"/>
      <sheetName val="ATW"/>
      <sheetName val="Lock"/>
      <sheetName val="Intl Data Table"/>
      <sheetName val="TemplateInformation"/>
      <sheetName val="GCP Invoice-JMIGR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al Input"/>
      <sheetName val="Annual CF Input"/>
      <sheetName val="Monthly CF Input"/>
      <sheetName val="Pools"/>
      <sheetName val="RE Valuation"/>
      <sheetName val="JV Financials"/>
      <sheetName val="GE Economics"/>
      <sheetName val="Metrics"/>
      <sheetName val="Sensitivities"/>
      <sheetName val="Deal Assumptions"/>
      <sheetName val="Property Assumptions"/>
      <sheetName val="Debt Worksheet"/>
      <sheetName val="Equity Worksheet"/>
      <sheetName val="FAS 141"/>
      <sheetName val="Overhead"/>
      <sheetName val="Data Tape"/>
      <sheetName val="Criteria"/>
      <sheetName val="UW vs 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98641627242"/>
      <sheetName val="Template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0209D-33CB-44EF-B20D-AF74F4E492A6}">
  <sheetPr>
    <tabColor rgb="FFFFFF00"/>
  </sheetPr>
  <dimension ref="A1:Z100"/>
  <sheetViews>
    <sheetView topLeftCell="C1" workbookViewId="0">
      <selection activeCell="O17" sqref="O17"/>
    </sheetView>
  </sheetViews>
  <sheetFormatPr defaultRowHeight="14.5" x14ac:dyDescent="0.35"/>
  <cols>
    <col min="1" max="1" width="4" customWidth="1"/>
    <col min="2" max="2" width="34.26953125" customWidth="1"/>
    <col min="3" max="3" width="16.7265625" bestFit="1" customWidth="1"/>
    <col min="4" max="4" width="9.453125" bestFit="1" customWidth="1"/>
    <col min="5" max="5" width="18.81640625" customWidth="1"/>
    <col min="6" max="6" width="19.1796875" customWidth="1"/>
    <col min="7" max="7" width="12.7265625" customWidth="1"/>
    <col min="8" max="8" width="4" hidden="1" customWidth="1"/>
    <col min="9" max="9" width="2.54296875" hidden="1" customWidth="1"/>
    <col min="10" max="10" width="2.26953125" hidden="1" customWidth="1"/>
    <col min="11" max="11" width="2" hidden="1" customWidth="1"/>
    <col min="12" max="12" width="24" customWidth="1"/>
    <col min="14" max="14" width="11.7265625" customWidth="1"/>
    <col min="15" max="15" width="17.7265625" customWidth="1"/>
    <col min="16" max="16" width="15.54296875" customWidth="1"/>
    <col min="17" max="17" width="15.7265625" customWidth="1"/>
    <col min="18" max="18" width="14.1796875" customWidth="1"/>
  </cols>
  <sheetData>
    <row r="1" spans="1:26" x14ac:dyDescent="0.35">
      <c r="A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7"/>
      <c r="S1" s="904"/>
      <c r="T1" s="904"/>
      <c r="U1" s="904"/>
      <c r="V1" s="904"/>
      <c r="W1" s="904"/>
      <c r="X1" s="904"/>
      <c r="Y1" s="904"/>
      <c r="Z1" s="904"/>
    </row>
    <row r="2" spans="1:26" x14ac:dyDescent="0.35">
      <c r="A2" s="745"/>
      <c r="B2" s="767" t="s">
        <v>0</v>
      </c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7"/>
      <c r="S2" s="904"/>
      <c r="T2" s="904"/>
      <c r="U2" s="904"/>
      <c r="V2" s="904"/>
      <c r="W2" s="904"/>
      <c r="X2" s="904"/>
      <c r="Y2" s="904"/>
      <c r="Z2" s="904"/>
    </row>
    <row r="3" spans="1:26" x14ac:dyDescent="0.35">
      <c r="A3" s="745"/>
      <c r="B3" s="458"/>
      <c r="C3" s="458"/>
      <c r="D3" s="458"/>
      <c r="E3" s="458"/>
      <c r="F3" s="458"/>
      <c r="G3" s="745"/>
      <c r="H3" s="745"/>
      <c r="I3" s="745"/>
      <c r="J3" s="745"/>
      <c r="K3" s="745"/>
      <c r="L3" s="458"/>
      <c r="M3" s="458"/>
      <c r="N3" s="458"/>
      <c r="O3" s="458"/>
      <c r="P3" s="458"/>
      <c r="Q3" s="458"/>
      <c r="R3" s="747"/>
      <c r="S3" s="904"/>
      <c r="T3" s="904"/>
      <c r="U3" s="904"/>
      <c r="V3" s="904"/>
      <c r="W3" s="904"/>
      <c r="X3" s="904"/>
      <c r="Y3" s="904"/>
      <c r="Z3" s="904"/>
    </row>
    <row r="4" spans="1:26" x14ac:dyDescent="0.35">
      <c r="A4" s="458"/>
      <c r="B4" s="582" t="s">
        <v>1</v>
      </c>
      <c r="C4" s="604"/>
      <c r="D4" s="604"/>
      <c r="E4" s="604"/>
      <c r="F4" s="605" t="s">
        <v>2</v>
      </c>
      <c r="G4" s="746"/>
      <c r="H4" s="225"/>
      <c r="I4" s="225"/>
      <c r="J4" s="225"/>
      <c r="K4" s="226"/>
      <c r="L4" s="582" t="s">
        <v>3</v>
      </c>
      <c r="M4" s="604"/>
      <c r="N4" s="604"/>
      <c r="O4" s="604"/>
      <c r="P4" s="905" t="s">
        <v>2</v>
      </c>
      <c r="Q4" s="906"/>
      <c r="R4" s="769"/>
      <c r="S4" s="904"/>
      <c r="T4" s="904"/>
      <c r="U4" s="904"/>
      <c r="V4" s="904"/>
      <c r="W4" s="904"/>
      <c r="X4" s="904"/>
      <c r="Y4" s="904"/>
      <c r="Z4" s="904"/>
    </row>
    <row r="5" spans="1:26" x14ac:dyDescent="0.35">
      <c r="A5" s="458"/>
      <c r="B5" s="600"/>
      <c r="C5" s="601"/>
      <c r="D5" s="601"/>
      <c r="E5" s="602" t="s">
        <v>4</v>
      </c>
      <c r="F5" s="603" t="s">
        <v>5</v>
      </c>
      <c r="G5" s="746"/>
      <c r="H5" s="225"/>
      <c r="I5" s="225"/>
      <c r="J5" s="225"/>
      <c r="K5" s="226"/>
      <c r="L5" s="726"/>
      <c r="M5" s="727"/>
      <c r="N5" s="727"/>
      <c r="O5" s="727" t="s">
        <v>6</v>
      </c>
      <c r="P5" s="728" t="s">
        <v>4</v>
      </c>
      <c r="Q5" s="729" t="s">
        <v>5</v>
      </c>
      <c r="R5" s="769"/>
      <c r="S5" s="904"/>
      <c r="T5" s="904"/>
      <c r="U5" s="904"/>
      <c r="V5" s="904"/>
      <c r="W5" s="904"/>
      <c r="X5" s="904"/>
      <c r="Y5" s="904"/>
      <c r="Z5" s="904"/>
    </row>
    <row r="6" spans="1:26" x14ac:dyDescent="0.35">
      <c r="A6" s="458"/>
      <c r="B6" s="317" t="s">
        <v>7</v>
      </c>
      <c r="C6" s="318"/>
      <c r="D6" s="318"/>
      <c r="E6" s="834" t="str">
        <f>Assumptions!H80</f>
        <v>1/1/24 to 12/31/25</v>
      </c>
      <c r="F6" s="835" t="str">
        <f>Assumptions!I80</f>
        <v>1/1/24 to 12/31/27</v>
      </c>
      <c r="G6" s="458"/>
      <c r="H6" s="225"/>
      <c r="I6" s="225"/>
      <c r="J6" s="225"/>
      <c r="K6" s="226"/>
      <c r="L6" s="655" t="s">
        <v>8</v>
      </c>
      <c r="M6" s="695"/>
      <c r="N6" s="695"/>
      <c r="O6" s="695"/>
      <c r="P6" s="695"/>
      <c r="Q6" s="696"/>
      <c r="R6" s="511"/>
      <c r="S6" s="904"/>
      <c r="T6" s="904"/>
      <c r="U6" s="904"/>
      <c r="V6" s="904"/>
      <c r="W6" s="904"/>
      <c r="X6" s="904"/>
      <c r="Y6" s="904"/>
      <c r="Z6" s="904"/>
    </row>
    <row r="7" spans="1:26" x14ac:dyDescent="0.35">
      <c r="A7" s="458"/>
      <c r="B7" s="323" t="s">
        <v>9</v>
      </c>
      <c r="C7" s="324"/>
      <c r="D7" s="324"/>
      <c r="E7" s="836" t="str">
        <f>Assumptions!H81</f>
        <v>1/1/26 to 6/30/26</v>
      </c>
      <c r="F7" s="341" t="str">
        <f>Assumptions!I81</f>
        <v>1/1/28 to 6/30/28</v>
      </c>
      <c r="G7" s="458"/>
      <c r="H7" s="225"/>
      <c r="I7" s="225"/>
      <c r="J7" s="225"/>
      <c r="K7" s="226"/>
      <c r="L7" s="915" t="s">
        <v>10</v>
      </c>
      <c r="M7" s="916"/>
      <c r="N7" s="917"/>
      <c r="O7" s="857">
        <f>SUM(P7:R7)</f>
        <v>672288034.9539901</v>
      </c>
      <c r="P7" s="857">
        <f>'Phase I Financial'!C69</f>
        <v>462852052.56865907</v>
      </c>
      <c r="Q7" s="858">
        <f>'Phase II Financial'!C78</f>
        <v>209435982.38533103</v>
      </c>
      <c r="R7" s="770"/>
      <c r="S7" s="904"/>
      <c r="T7" s="904"/>
      <c r="U7" s="904"/>
      <c r="V7" s="904"/>
      <c r="W7" s="904"/>
      <c r="X7" s="904"/>
      <c r="Y7" s="904"/>
      <c r="Z7" s="904"/>
    </row>
    <row r="8" spans="1:26" x14ac:dyDescent="0.35">
      <c r="A8" s="458"/>
      <c r="B8" s="323" t="s">
        <v>11</v>
      </c>
      <c r="C8" s="324"/>
      <c r="D8" s="324"/>
      <c r="E8" s="836" t="str">
        <f>Assumptions!H82</f>
        <v>7/1/26 to 6/30/29</v>
      </c>
      <c r="F8" s="341" t="str">
        <f>Assumptions!I82</f>
        <v>7/1/28 to 6/30/31</v>
      </c>
      <c r="G8" s="458"/>
      <c r="H8" s="225"/>
      <c r="I8" s="225"/>
      <c r="J8" s="225"/>
      <c r="K8" s="226"/>
      <c r="L8" s="918" t="s">
        <v>12</v>
      </c>
      <c r="M8" s="919"/>
      <c r="N8" s="920"/>
      <c r="O8" s="651">
        <f>SUM(P8:R8)</f>
        <v>850377660.78181756</v>
      </c>
      <c r="P8" s="651">
        <f>'Phase I Financial'!D45</f>
        <v>600036665.74007809</v>
      </c>
      <c r="Q8" s="852">
        <f>'Phase II Financial'!D54</f>
        <v>250340995.04173949</v>
      </c>
      <c r="R8" s="771"/>
      <c r="S8" s="904"/>
      <c r="T8" s="904"/>
      <c r="U8" s="904"/>
      <c r="V8" s="904"/>
      <c r="W8" s="904"/>
      <c r="X8" s="904"/>
      <c r="Y8" s="904"/>
      <c r="Z8" s="904"/>
    </row>
    <row r="9" spans="1:26" x14ac:dyDescent="0.35">
      <c r="A9" s="458"/>
      <c r="B9" s="837" t="s">
        <v>13</v>
      </c>
      <c r="C9" s="342"/>
      <c r="D9" s="342"/>
      <c r="E9" s="331" t="str">
        <f>Assumptions!H83</f>
        <v>7/1/29 to 12/31/29</v>
      </c>
      <c r="F9" s="345" t="str">
        <f>Assumptions!I83</f>
        <v>7/1/31 to 12/31/31</v>
      </c>
      <c r="G9" s="458"/>
      <c r="H9" s="225"/>
      <c r="I9" s="225"/>
      <c r="J9" s="225"/>
      <c r="K9" s="226"/>
      <c r="L9" s="918" t="s">
        <v>14</v>
      </c>
      <c r="M9" s="919"/>
      <c r="N9" s="920"/>
      <c r="O9" s="851">
        <f>AVERAGE(P9:Q9)</f>
        <v>5.606325243448429E-2</v>
      </c>
      <c r="P9" s="851">
        <f>'Phase I Financial'!B70</f>
        <v>5.8337539627304799E-2</v>
      </c>
      <c r="Q9" s="853">
        <f>'Phase II Financial'!B79</f>
        <v>5.3788965241663773E-2</v>
      </c>
      <c r="R9" s="772"/>
      <c r="S9" s="904"/>
      <c r="T9" s="904"/>
      <c r="U9" s="904"/>
      <c r="V9" s="904"/>
      <c r="W9" s="904"/>
      <c r="X9" s="904"/>
      <c r="Y9" s="904"/>
      <c r="Z9" s="904"/>
    </row>
    <row r="10" spans="1:26" x14ac:dyDescent="0.35">
      <c r="A10" s="745"/>
      <c r="B10" s="458"/>
      <c r="C10" s="458"/>
      <c r="D10" s="458"/>
      <c r="E10" s="458"/>
      <c r="F10" s="458"/>
      <c r="G10" s="745"/>
      <c r="H10" s="225"/>
      <c r="I10" s="225"/>
      <c r="J10" s="225"/>
      <c r="K10" s="226"/>
      <c r="L10" s="924" t="s">
        <v>15</v>
      </c>
      <c r="M10" s="925"/>
      <c r="N10" s="926"/>
      <c r="O10" s="859">
        <f>AVERAGE(P10:Q10)</f>
        <v>4.4999999999999998E-2</v>
      </c>
      <c r="P10" s="859">
        <f>'Phase I Financial'!B103</f>
        <v>4.4999999999999998E-2</v>
      </c>
      <c r="Q10" s="860">
        <f>'Phase II Financial'!B114</f>
        <v>4.4999999999999998E-2</v>
      </c>
      <c r="R10" s="772"/>
      <c r="S10" s="904"/>
      <c r="T10" s="904"/>
      <c r="U10" s="904"/>
      <c r="V10" s="904"/>
      <c r="W10" s="904"/>
      <c r="X10" s="904"/>
      <c r="Y10" s="904"/>
      <c r="Z10" s="904"/>
    </row>
    <row r="11" spans="1:26" x14ac:dyDescent="0.35">
      <c r="A11" s="745"/>
      <c r="B11" s="458"/>
      <c r="C11" s="458"/>
      <c r="D11" s="458"/>
      <c r="E11" s="458"/>
      <c r="F11" s="458"/>
      <c r="G11" s="745"/>
      <c r="H11" s="225"/>
      <c r="I11" s="225"/>
      <c r="J11" s="225"/>
      <c r="K11" s="226"/>
      <c r="L11" s="655" t="s">
        <v>16</v>
      </c>
      <c r="M11" s="695"/>
      <c r="N11" s="695"/>
      <c r="O11" s="695"/>
      <c r="P11" s="695"/>
      <c r="Q11" s="696"/>
      <c r="R11" s="511"/>
      <c r="S11" s="904"/>
      <c r="T11" s="904"/>
      <c r="U11" s="904"/>
      <c r="V11" s="904"/>
      <c r="W11" s="904"/>
      <c r="X11" s="904"/>
      <c r="Y11" s="904"/>
      <c r="Z11" s="904"/>
    </row>
    <row r="12" spans="1:26" x14ac:dyDescent="0.35">
      <c r="A12" s="458"/>
      <c r="B12" s="582" t="s">
        <v>17</v>
      </c>
      <c r="C12" s="604" t="s">
        <v>18</v>
      </c>
      <c r="D12" s="604"/>
      <c r="E12" s="905" t="s">
        <v>2</v>
      </c>
      <c r="F12" s="906"/>
      <c r="G12" s="746"/>
      <c r="H12" s="225"/>
      <c r="I12" s="225"/>
      <c r="J12" s="225"/>
      <c r="K12" s="226"/>
      <c r="L12" s="915" t="s">
        <v>19</v>
      </c>
      <c r="M12" s="916"/>
      <c r="N12" s="917"/>
      <c r="O12" s="861">
        <f>'All Components Draw'!B10</f>
        <v>0.11671135193165383</v>
      </c>
      <c r="P12" s="861">
        <f>'Phase I Financial'!B101</f>
        <v>0.12032587113423787</v>
      </c>
      <c r="Q12" s="862">
        <f>'Phase II Financial'!B112</f>
        <v>0.10743932806863699</v>
      </c>
      <c r="R12" s="773"/>
      <c r="S12" s="904"/>
      <c r="T12" s="904"/>
      <c r="U12" s="904"/>
      <c r="V12" s="904"/>
      <c r="W12" s="904"/>
      <c r="X12" s="904"/>
      <c r="Y12" s="904"/>
      <c r="Z12" s="904"/>
    </row>
    <row r="13" spans="1:26" x14ac:dyDescent="0.35">
      <c r="A13" s="458"/>
      <c r="B13" s="726"/>
      <c r="C13" s="727"/>
      <c r="D13" s="727" t="s">
        <v>6</v>
      </c>
      <c r="E13" s="728" t="s">
        <v>4</v>
      </c>
      <c r="F13" s="729" t="s">
        <v>5</v>
      </c>
      <c r="G13" s="746"/>
      <c r="H13" s="225"/>
      <c r="I13" s="225"/>
      <c r="J13" s="225"/>
      <c r="K13" s="226"/>
      <c r="L13" s="918" t="s">
        <v>20</v>
      </c>
      <c r="M13" s="919"/>
      <c r="N13" s="920"/>
      <c r="O13" s="851">
        <f>'All Components Draw'!B6</f>
        <v>0.20382305012537527</v>
      </c>
      <c r="P13" s="851">
        <f>'Phase I Financial'!B100</f>
        <v>0.20898689160648898</v>
      </c>
      <c r="Q13" s="853">
        <f>'Phase II Financial'!B111</f>
        <v>0.18788262747755891</v>
      </c>
      <c r="R13" s="773"/>
      <c r="S13" s="904"/>
      <c r="T13" s="904"/>
      <c r="U13" s="904"/>
      <c r="V13" s="904"/>
      <c r="W13" s="904"/>
      <c r="X13" s="904"/>
      <c r="Y13" s="904"/>
      <c r="Z13" s="904"/>
    </row>
    <row r="14" spans="1:26" x14ac:dyDescent="0.35">
      <c r="A14" s="458"/>
      <c r="B14" s="655" t="s">
        <v>21</v>
      </c>
      <c r="C14" s="695"/>
      <c r="D14" s="695"/>
      <c r="E14" s="695"/>
      <c r="F14" s="696"/>
      <c r="G14" s="458"/>
      <c r="H14" s="225"/>
      <c r="I14" s="225"/>
      <c r="J14" s="225"/>
      <c r="K14" s="226"/>
      <c r="L14" s="921" t="s">
        <v>22</v>
      </c>
      <c r="M14" s="922"/>
      <c r="N14" s="923"/>
      <c r="O14" s="854">
        <f>('Phase I Financial'!B92+'Phase I Financial'!B82+'Phase II Financial'!B103+'Phase II Financial'!B93)/('Phase II Financial'!B93+'Phase I Financial'!B82)</f>
        <v>1.9159074891960386</v>
      </c>
      <c r="P14" s="855">
        <f>'Phase I Financial'!B99</f>
        <v>1.902240884955678</v>
      </c>
      <c r="Q14" s="856">
        <f>'Phase II Financial'!B110</f>
        <v>1.9528040057224607</v>
      </c>
      <c r="R14" s="774"/>
      <c r="S14" s="904"/>
      <c r="T14" s="904"/>
      <c r="U14" s="904"/>
      <c r="V14" s="904"/>
      <c r="W14" s="904"/>
      <c r="X14" s="904"/>
      <c r="Y14" s="904"/>
      <c r="Z14" s="904"/>
    </row>
    <row r="15" spans="1:26" x14ac:dyDescent="0.35">
      <c r="A15" s="458"/>
      <c r="B15" s="819" t="s">
        <v>23</v>
      </c>
      <c r="C15" s="838">
        <f>Assumptions!D7</f>
        <v>400</v>
      </c>
      <c r="D15" s="839">
        <f>SUM(E15:G15)</f>
        <v>355.43600000000004</v>
      </c>
      <c r="E15" s="838">
        <f>Assumptions!D6</f>
        <v>291.584</v>
      </c>
      <c r="F15" s="840">
        <f>Assumptions!E6</f>
        <v>63.852000000000004</v>
      </c>
      <c r="G15" s="768"/>
      <c r="H15" s="745"/>
      <c r="I15" s="745"/>
      <c r="J15" s="745"/>
      <c r="K15" s="745"/>
      <c r="L15" s="458"/>
      <c r="M15" s="458"/>
      <c r="N15" s="458"/>
      <c r="O15" s="458"/>
      <c r="P15" s="458"/>
      <c r="Q15" s="458"/>
      <c r="R15" s="747"/>
      <c r="S15" s="904"/>
      <c r="T15" s="904"/>
      <c r="U15" s="904"/>
      <c r="V15" s="904"/>
      <c r="W15" s="904"/>
      <c r="X15" s="904"/>
      <c r="Y15" s="904"/>
      <c r="Z15" s="904"/>
    </row>
    <row r="16" spans="1:26" x14ac:dyDescent="0.35">
      <c r="A16" s="458"/>
      <c r="B16" s="821" t="s">
        <v>24</v>
      </c>
      <c r="C16" s="841">
        <f>Assumptions!D12</f>
        <v>600</v>
      </c>
      <c r="D16" s="842">
        <f t="shared" ref="D16:D18" si="0">SUM(E16:G16)</f>
        <v>355.43600000000004</v>
      </c>
      <c r="E16" s="841">
        <f>Assumptions!D11</f>
        <v>291.584</v>
      </c>
      <c r="F16" s="843">
        <f>Assumptions!E11</f>
        <v>63.852000000000004</v>
      </c>
      <c r="G16" s="768"/>
      <c r="H16" s="745"/>
      <c r="I16" s="745"/>
      <c r="J16" s="745"/>
      <c r="K16" s="745"/>
      <c r="L16" s="458"/>
      <c r="M16" s="458"/>
      <c r="N16" s="458"/>
      <c r="O16" s="458"/>
      <c r="P16" s="458"/>
      <c r="Q16" s="458"/>
      <c r="R16" s="747"/>
      <c r="S16" s="904"/>
      <c r="T16" s="904"/>
      <c r="U16" s="904"/>
      <c r="V16" s="904"/>
      <c r="W16" s="904"/>
      <c r="X16" s="904"/>
      <c r="Y16" s="904"/>
      <c r="Z16" s="904"/>
    </row>
    <row r="17" spans="1:26" x14ac:dyDescent="0.35">
      <c r="A17" s="458"/>
      <c r="B17" s="821" t="s">
        <v>25</v>
      </c>
      <c r="C17" s="841">
        <f>Assumptions!D17</f>
        <v>900</v>
      </c>
      <c r="D17" s="842">
        <f t="shared" si="0"/>
        <v>272.50093333333331</v>
      </c>
      <c r="E17" s="841">
        <f>Assumptions!D16</f>
        <v>223.54773333333333</v>
      </c>
      <c r="F17" s="843">
        <f>Assumptions!E16</f>
        <v>48.953200000000002</v>
      </c>
      <c r="G17" s="768"/>
      <c r="H17" s="225"/>
      <c r="I17" s="225"/>
      <c r="J17" s="225"/>
      <c r="K17" s="226"/>
      <c r="L17" s="582" t="s">
        <v>26</v>
      </c>
      <c r="M17" s="604"/>
      <c r="N17" s="604"/>
      <c r="O17" s="604"/>
      <c r="P17" s="905" t="s">
        <v>2</v>
      </c>
      <c r="Q17" s="906"/>
      <c r="R17" s="511"/>
      <c r="S17" s="904"/>
      <c r="T17" s="904"/>
      <c r="U17" s="904"/>
      <c r="V17" s="904"/>
      <c r="W17" s="904"/>
      <c r="X17" s="904"/>
      <c r="Y17" s="904"/>
      <c r="Z17" s="904"/>
    </row>
    <row r="18" spans="1:26" x14ac:dyDescent="0.35">
      <c r="A18" s="458"/>
      <c r="B18" s="821" t="s">
        <v>27</v>
      </c>
      <c r="C18" s="841">
        <f>Assumptions!D22</f>
        <v>1300</v>
      </c>
      <c r="D18" s="842">
        <f t="shared" si="0"/>
        <v>84.757815384615384</v>
      </c>
      <c r="E18" s="841">
        <f>Assumptions!D21</f>
        <v>69.531569230769236</v>
      </c>
      <c r="F18" s="843">
        <f>Assumptions!E21</f>
        <v>15.226246153846155</v>
      </c>
      <c r="G18" s="768"/>
      <c r="H18" s="225"/>
      <c r="I18" s="225"/>
      <c r="J18" s="225"/>
      <c r="K18" s="226"/>
      <c r="L18" s="726"/>
      <c r="M18" s="727"/>
      <c r="N18" s="727"/>
      <c r="O18" s="727" t="s">
        <v>6</v>
      </c>
      <c r="P18" s="728" t="s">
        <v>4</v>
      </c>
      <c r="Q18" s="729" t="s">
        <v>5</v>
      </c>
      <c r="R18" s="511"/>
      <c r="S18" s="904"/>
      <c r="T18" s="904"/>
      <c r="U18" s="904"/>
      <c r="V18" s="904"/>
      <c r="W18" s="904"/>
      <c r="X18" s="904"/>
      <c r="Y18" s="904"/>
      <c r="Z18" s="904"/>
    </row>
    <row r="19" spans="1:26" x14ac:dyDescent="0.35">
      <c r="A19" s="458"/>
      <c r="B19" s="844" t="s">
        <v>28</v>
      </c>
      <c r="C19" s="845"/>
      <c r="D19" s="846">
        <f>SUM(D15:D18)</f>
        <v>1068.1307487179488</v>
      </c>
      <c r="E19" s="845">
        <f t="shared" ref="E19:F19" si="1">SUM(E15:E18)</f>
        <v>876.2473025641026</v>
      </c>
      <c r="F19" s="847">
        <f t="shared" si="1"/>
        <v>191.88344615384617</v>
      </c>
      <c r="G19" s="768"/>
      <c r="H19" s="225"/>
      <c r="I19" s="225"/>
      <c r="J19" s="225"/>
      <c r="K19" s="226"/>
      <c r="L19" s="582" t="s">
        <v>29</v>
      </c>
      <c r="M19" s="739"/>
      <c r="N19" s="739"/>
      <c r="O19" s="739"/>
      <c r="P19" s="739"/>
      <c r="Q19" s="780"/>
      <c r="R19" s="511"/>
      <c r="S19" s="904"/>
      <c r="T19" s="904"/>
      <c r="U19" s="904"/>
      <c r="V19" s="904"/>
      <c r="W19" s="904"/>
      <c r="X19" s="904"/>
      <c r="Y19" s="904"/>
      <c r="Z19" s="904"/>
    </row>
    <row r="20" spans="1:26" x14ac:dyDescent="0.35">
      <c r="A20" s="458"/>
      <c r="B20" s="655" t="s">
        <v>30</v>
      </c>
      <c r="C20" s="695"/>
      <c r="D20" s="695"/>
      <c r="E20" s="695"/>
      <c r="F20" s="696"/>
      <c r="G20" s="458"/>
      <c r="H20" s="225"/>
      <c r="I20" s="225"/>
      <c r="J20" s="225"/>
      <c r="K20" s="226"/>
      <c r="L20" s="907" t="s">
        <v>31</v>
      </c>
      <c r="M20" s="908"/>
      <c r="N20" s="776">
        <f>O20/$O$26</f>
        <v>0.64999966650124574</v>
      </c>
      <c r="O20" s="777">
        <f>SUM(P20:Q20)</f>
        <v>436987222.72009355</v>
      </c>
      <c r="P20" s="778">
        <f>'Phase I Financial'!B79</f>
        <v>300853834.16962838</v>
      </c>
      <c r="Q20" s="797">
        <f>'Phase II Financial'!B88</f>
        <v>136133388.55046517</v>
      </c>
      <c r="R20" s="511"/>
      <c r="S20" s="904"/>
      <c r="T20" s="904"/>
      <c r="U20" s="904"/>
      <c r="V20" s="904"/>
      <c r="W20" s="904"/>
      <c r="X20" s="904"/>
      <c r="Y20" s="904"/>
      <c r="Z20" s="904"/>
    </row>
    <row r="21" spans="1:26" x14ac:dyDescent="0.35">
      <c r="A21" s="458"/>
      <c r="B21" s="819" t="s">
        <v>23</v>
      </c>
      <c r="C21" s="838">
        <f>Assumptions!D29</f>
        <v>400</v>
      </c>
      <c r="D21" s="839">
        <f>SUM(E21:G21)</f>
        <v>88.859000000000009</v>
      </c>
      <c r="E21" s="838">
        <f>Assumptions!D28</f>
        <v>72.896000000000001</v>
      </c>
      <c r="F21" s="840">
        <f>Assumptions!E28</f>
        <v>15.963000000000001</v>
      </c>
      <c r="G21" s="768"/>
      <c r="H21" s="225"/>
      <c r="I21" s="225"/>
      <c r="J21" s="225"/>
      <c r="K21" s="226"/>
      <c r="L21" s="907" t="s">
        <v>32</v>
      </c>
      <c r="M21" s="908"/>
      <c r="N21" s="776">
        <f t="shared" ref="N21:N25" si="2">O21/$O$26</f>
        <v>1.7873982776665669E-2</v>
      </c>
      <c r="O21" s="777">
        <f>SUM(P21:Q21)</f>
        <v>12016470.923076924</v>
      </c>
      <c r="P21" s="778">
        <f>'Phase I Financial'!B80</f>
        <v>9857782.153846154</v>
      </c>
      <c r="Q21" s="797">
        <f>'Phase II Financial'!B89</f>
        <v>2158688.7692307695</v>
      </c>
      <c r="R21" s="511"/>
      <c r="S21" s="904"/>
      <c r="T21" s="904"/>
      <c r="U21" s="904"/>
      <c r="V21" s="904"/>
      <c r="W21" s="904"/>
      <c r="X21" s="904"/>
      <c r="Y21" s="904"/>
      <c r="Z21" s="904"/>
    </row>
    <row r="22" spans="1:26" x14ac:dyDescent="0.35">
      <c r="A22" s="458"/>
      <c r="B22" s="821" t="s">
        <v>24</v>
      </c>
      <c r="C22" s="841">
        <f>Assumptions!D34</f>
        <v>600</v>
      </c>
      <c r="D22" s="842">
        <f t="shared" ref="D22:D24" si="3">SUM(E22:G22)</f>
        <v>88.859000000000009</v>
      </c>
      <c r="E22" s="841">
        <f>Assumptions!D33</f>
        <v>72.896000000000001</v>
      </c>
      <c r="F22" s="843">
        <f>Assumptions!E33</f>
        <v>15.963000000000001</v>
      </c>
      <c r="G22" s="768"/>
      <c r="H22" s="225"/>
      <c r="I22" s="225"/>
      <c r="J22" s="225"/>
      <c r="K22" s="226"/>
      <c r="L22" s="907" t="s">
        <v>33</v>
      </c>
      <c r="M22" s="908"/>
      <c r="N22" s="776">
        <f t="shared" si="2"/>
        <v>3.4806491827042989E-3</v>
      </c>
      <c r="O22" s="777">
        <f t="shared" ref="O22:O25" si="4">SUM(P22:Q22)</f>
        <v>2340000</v>
      </c>
      <c r="P22" s="778">
        <f>'Phase I Financial'!B81</f>
        <v>1170000</v>
      </c>
      <c r="Q22" s="797">
        <f>'Phase II Financial'!B90</f>
        <v>1170000</v>
      </c>
      <c r="R22" s="511"/>
      <c r="S22" s="904"/>
      <c r="T22" s="904"/>
      <c r="U22" s="904"/>
      <c r="V22" s="904"/>
      <c r="W22" s="904"/>
      <c r="X22" s="904"/>
      <c r="Y22" s="904"/>
      <c r="Z22" s="904"/>
    </row>
    <row r="23" spans="1:26" x14ac:dyDescent="0.35">
      <c r="A23" s="458"/>
      <c r="B23" s="821" t="s">
        <v>25</v>
      </c>
      <c r="C23" s="841">
        <f>Assumptions!D39</f>
        <v>900</v>
      </c>
      <c r="D23" s="842">
        <f t="shared" si="3"/>
        <v>68.125233333333327</v>
      </c>
      <c r="E23" s="841">
        <f>Assumptions!D38</f>
        <v>55.886933333333332</v>
      </c>
      <c r="F23" s="843">
        <f>Assumptions!E38</f>
        <v>12.238300000000001</v>
      </c>
      <c r="G23" s="768"/>
      <c r="H23" s="225"/>
      <c r="I23" s="225"/>
      <c r="J23" s="225"/>
      <c r="K23" s="226"/>
      <c r="L23" s="907" t="s">
        <v>34</v>
      </c>
      <c r="M23" s="908"/>
      <c r="N23" s="776">
        <f t="shared" si="2"/>
        <v>1.4462543591211068E-2</v>
      </c>
      <c r="O23" s="777">
        <f t="shared" si="4"/>
        <v>9723000</v>
      </c>
      <c r="P23" s="779">
        <v>0</v>
      </c>
      <c r="Q23" s="797">
        <f>'Phase II Financial'!B91</f>
        <v>9723000</v>
      </c>
      <c r="R23" s="511"/>
      <c r="S23" s="904"/>
      <c r="T23" s="904"/>
      <c r="U23" s="904"/>
      <c r="V23" s="904"/>
      <c r="W23" s="904"/>
      <c r="X23" s="904"/>
      <c r="Y23" s="904"/>
      <c r="Z23" s="904"/>
    </row>
    <row r="24" spans="1:26" x14ac:dyDescent="0.35">
      <c r="A24" s="458"/>
      <c r="B24" s="821" t="s">
        <v>27</v>
      </c>
      <c r="C24" s="841">
        <f>Assumptions!D44</f>
        <v>1300</v>
      </c>
      <c r="D24" s="842">
        <f t="shared" si="3"/>
        <v>21.189453846153846</v>
      </c>
      <c r="E24" s="841">
        <f>Assumptions!D43</f>
        <v>17.382892307692309</v>
      </c>
      <c r="F24" s="843">
        <f>Assumptions!E43</f>
        <v>3.8065615384615388</v>
      </c>
      <c r="G24" s="768"/>
      <c r="H24" s="225"/>
      <c r="I24" s="225"/>
      <c r="J24" s="225"/>
      <c r="K24" s="226"/>
      <c r="L24" s="907" t="s">
        <v>35</v>
      </c>
      <c r="M24" s="908"/>
      <c r="N24" s="776">
        <f t="shared" si="2"/>
        <v>6.4425477660632457E-3</v>
      </c>
      <c r="O24" s="777">
        <f t="shared" si="4"/>
        <v>4331250</v>
      </c>
      <c r="P24" s="779">
        <v>0</v>
      </c>
      <c r="Q24" s="797">
        <f>'Phase II Financial'!B92</f>
        <v>4331250</v>
      </c>
      <c r="R24" s="511"/>
      <c r="S24" s="904"/>
      <c r="T24" s="904"/>
      <c r="U24" s="904"/>
      <c r="V24" s="904"/>
      <c r="W24" s="904"/>
      <c r="X24" s="904"/>
      <c r="Y24" s="904"/>
      <c r="Z24" s="904"/>
    </row>
    <row r="25" spans="1:26" x14ac:dyDescent="0.35">
      <c r="A25" s="458"/>
      <c r="B25" s="837" t="s">
        <v>28</v>
      </c>
      <c r="C25" s="342"/>
      <c r="D25" s="848">
        <f>SUM(D21:D24)</f>
        <v>267.0326871794872</v>
      </c>
      <c r="E25" s="849">
        <f>SUM(E21:E24)</f>
        <v>219.06182564102565</v>
      </c>
      <c r="F25" s="850">
        <f t="shared" ref="F25" si="5">SUM(F21:F24)</f>
        <v>47.970861538461541</v>
      </c>
      <c r="G25" s="768"/>
      <c r="H25" s="225"/>
      <c r="I25" s="225"/>
      <c r="J25" s="225"/>
      <c r="K25" s="226"/>
      <c r="L25" s="909" t="s">
        <v>36</v>
      </c>
      <c r="M25" s="910"/>
      <c r="N25" s="781">
        <f t="shared" si="2"/>
        <v>0.30774061018210996</v>
      </c>
      <c r="O25" s="782">
        <f t="shared" si="4"/>
        <v>206890436.24518451</v>
      </c>
      <c r="P25" s="783">
        <f>'Phase I Financial'!B82</f>
        <v>150970436.24518451</v>
      </c>
      <c r="Q25" s="784">
        <f>'Phase II Financial'!B93</f>
        <v>55920000</v>
      </c>
      <c r="R25" s="511"/>
      <c r="S25" s="904"/>
      <c r="T25" s="904"/>
      <c r="U25" s="904"/>
      <c r="V25" s="904"/>
      <c r="W25" s="904"/>
      <c r="X25" s="904"/>
      <c r="Y25" s="904"/>
      <c r="Z25" s="904"/>
    </row>
    <row r="26" spans="1:26" x14ac:dyDescent="0.35">
      <c r="A26" s="745"/>
      <c r="B26" s="226"/>
      <c r="C26" s="226"/>
      <c r="D26" s="226"/>
      <c r="E26" s="226"/>
      <c r="F26" s="226"/>
      <c r="G26" s="745"/>
      <c r="H26" s="225"/>
      <c r="I26" s="225"/>
      <c r="J26" s="225"/>
      <c r="K26" s="226"/>
      <c r="L26" s="911" t="s">
        <v>28</v>
      </c>
      <c r="M26" s="912"/>
      <c r="N26" s="732"/>
      <c r="O26" s="733">
        <f>SUM(O20:O25)</f>
        <v>672288379.88835502</v>
      </c>
      <c r="P26" s="734">
        <f>SUM(P20:P25)</f>
        <v>462852052.56865907</v>
      </c>
      <c r="Q26" s="735">
        <f>SUM(Q20:Q25)</f>
        <v>209436327.31969595</v>
      </c>
      <c r="R26" s="511"/>
      <c r="S26" s="904"/>
      <c r="T26" s="904"/>
      <c r="U26" s="904"/>
      <c r="V26" s="904"/>
      <c r="W26" s="904"/>
      <c r="X26" s="904"/>
      <c r="Y26" s="904"/>
      <c r="Z26" s="904"/>
    </row>
    <row r="27" spans="1:26" x14ac:dyDescent="0.35">
      <c r="A27" s="458"/>
      <c r="B27" s="582" t="s">
        <v>37</v>
      </c>
      <c r="C27" s="604"/>
      <c r="D27" s="604"/>
      <c r="E27" s="905" t="s">
        <v>2</v>
      </c>
      <c r="F27" s="906"/>
      <c r="G27" s="746"/>
      <c r="H27" s="225"/>
      <c r="I27" s="225"/>
      <c r="J27" s="225"/>
      <c r="K27" s="226"/>
      <c r="L27" s="585"/>
      <c r="M27" s="226"/>
      <c r="N27" s="226"/>
      <c r="O27" s="226"/>
      <c r="P27" s="226"/>
      <c r="Q27" s="730"/>
      <c r="R27" s="511"/>
      <c r="S27" s="904"/>
      <c r="T27" s="904"/>
      <c r="U27" s="904"/>
      <c r="V27" s="904"/>
      <c r="W27" s="904"/>
      <c r="X27" s="904"/>
      <c r="Y27" s="904"/>
      <c r="Z27" s="904"/>
    </row>
    <row r="28" spans="1:26" x14ac:dyDescent="0.35">
      <c r="A28" s="458"/>
      <c r="B28" s="726"/>
      <c r="C28" s="727"/>
      <c r="D28" s="727" t="s">
        <v>6</v>
      </c>
      <c r="E28" s="728" t="s">
        <v>4</v>
      </c>
      <c r="F28" s="729" t="s">
        <v>5</v>
      </c>
      <c r="G28" s="746"/>
      <c r="H28" s="225"/>
      <c r="I28" s="225"/>
      <c r="J28" s="225"/>
      <c r="K28" s="226"/>
      <c r="L28" s="582" t="s">
        <v>38</v>
      </c>
      <c r="M28" s="739"/>
      <c r="N28" s="739"/>
      <c r="O28" s="739"/>
      <c r="P28" s="583" t="s">
        <v>4</v>
      </c>
      <c r="Q28" s="584" t="s">
        <v>5</v>
      </c>
      <c r="R28" s="511"/>
      <c r="S28" s="904"/>
      <c r="T28" s="904"/>
      <c r="U28" s="904"/>
      <c r="V28" s="904"/>
      <c r="W28" s="904"/>
      <c r="X28" s="904"/>
      <c r="Y28" s="904"/>
      <c r="Z28" s="904"/>
    </row>
    <row r="29" spans="1:26" x14ac:dyDescent="0.35">
      <c r="A29" s="458"/>
      <c r="B29" s="802" t="s">
        <v>39</v>
      </c>
      <c r="C29" s="803"/>
      <c r="D29" s="803"/>
      <c r="E29" s="803"/>
      <c r="F29" s="804"/>
      <c r="G29" s="458"/>
      <c r="H29" s="225"/>
      <c r="I29" s="225"/>
      <c r="J29" s="225"/>
      <c r="K29" s="226"/>
      <c r="L29" s="907" t="s">
        <v>40</v>
      </c>
      <c r="M29" s="908"/>
      <c r="N29" s="776">
        <f>O29/$O$35</f>
        <v>5.8606809507318343E-2</v>
      </c>
      <c r="O29" s="777">
        <f>SUM(P29:Q29)</f>
        <v>39400656.79859788</v>
      </c>
      <c r="P29" s="785">
        <f>'Phase I Financial'!C52+'Phase I Financial'!C56</f>
        <v>17987590.514874034</v>
      </c>
      <c r="Q29" s="798">
        <f>'Phase II Financial'!C61+'Phase II Financial'!C65</f>
        <v>21413066.283723846</v>
      </c>
      <c r="R29" s="511"/>
      <c r="S29" s="904"/>
      <c r="T29" s="904"/>
      <c r="U29" s="904"/>
      <c r="V29" s="904"/>
      <c r="W29" s="904"/>
      <c r="X29" s="904"/>
      <c r="Y29" s="904"/>
      <c r="Z29" s="904"/>
    </row>
    <row r="30" spans="1:26" x14ac:dyDescent="0.35">
      <c r="A30" s="458"/>
      <c r="B30" s="810" t="s">
        <v>39</v>
      </c>
      <c r="C30" s="811"/>
      <c r="D30" s="812">
        <f>SUM(E30:G30)</f>
        <v>294800</v>
      </c>
      <c r="E30" s="813">
        <f>Assumptions!D50</f>
        <v>187950</v>
      </c>
      <c r="F30" s="814">
        <f>Assumptions!E50</f>
        <v>106850</v>
      </c>
      <c r="G30" s="768"/>
      <c r="H30" s="225"/>
      <c r="I30" s="225"/>
      <c r="J30" s="225"/>
      <c r="K30" s="226"/>
      <c r="L30" s="907" t="s">
        <v>41</v>
      </c>
      <c r="M30" s="908"/>
      <c r="N30" s="776">
        <f t="shared" ref="N30:N34" si="6">O30/$O$35</f>
        <v>0.72336426309248014</v>
      </c>
      <c r="O30" s="777">
        <f t="shared" ref="O30:O35" si="7">SUM(P30:Q30)</f>
        <v>486309138.99038464</v>
      </c>
      <c r="P30" s="785">
        <f>'Phase I Financial'!C48+'Phase I Financial'!C49+'Phase I Financial'!C51+'Phase I Financial'!C54</f>
        <v>342150780.76923078</v>
      </c>
      <c r="Q30" s="798">
        <f>'Phase II Financial'!C57+'Phase II Financial'!C58+'Phase II Financial'!C60+'Phase II Financial'!C63</f>
        <v>144158358.22115386</v>
      </c>
      <c r="R30" s="511"/>
      <c r="S30" s="904"/>
      <c r="T30" s="904"/>
      <c r="U30" s="904"/>
      <c r="V30" s="904"/>
      <c r="W30" s="904"/>
      <c r="X30" s="904"/>
      <c r="Y30" s="904"/>
      <c r="Z30" s="904"/>
    </row>
    <row r="31" spans="1:26" x14ac:dyDescent="0.35">
      <c r="A31" s="458"/>
      <c r="B31" s="805" t="s">
        <v>28</v>
      </c>
      <c r="C31" s="806"/>
      <c r="D31" s="807">
        <f>D30</f>
        <v>294800</v>
      </c>
      <c r="E31" s="808">
        <f t="shared" ref="E31:F31" si="8">E30</f>
        <v>187950</v>
      </c>
      <c r="F31" s="809">
        <f t="shared" si="8"/>
        <v>106850</v>
      </c>
      <c r="G31" s="768"/>
      <c r="H31" s="225"/>
      <c r="I31" s="225"/>
      <c r="J31" s="225"/>
      <c r="K31" s="226"/>
      <c r="L31" s="907" t="s">
        <v>42</v>
      </c>
      <c r="M31" s="908"/>
      <c r="N31" s="776">
        <f t="shared" si="6"/>
        <v>0.10444327263385686</v>
      </c>
      <c r="O31" s="777">
        <f t="shared" si="7"/>
        <v>70215962.523179486</v>
      </c>
      <c r="P31" s="785">
        <f>'Phase I Financial'!C53+'Phase I Financial'!C55+'Phase I Financial'!C57+'Phase I Financial'!C59+'Phase I Financial'!C60+'Phase I Financial'!C61+'Phase I Financial'!C62+'Phase I Financial'!C64+'Phase I Financial'!C65</f>
        <v>53015439.625641026</v>
      </c>
      <c r="Q31" s="798">
        <f>'Phase II Financial'!C62+'Phase II Financial'!C64+'Phase II Financial'!C66+'Phase II Financial'!C68+'Phase II Financial'!C69+'Phase II Financial'!C70+'Phase II Financial'!C71+'Phase II Financial'!C73+'Phase II Financial'!C74</f>
        <v>17200522.897538465</v>
      </c>
      <c r="R31" s="511"/>
      <c r="S31" s="904"/>
      <c r="T31" s="904"/>
      <c r="U31" s="904"/>
      <c r="V31" s="904"/>
      <c r="W31" s="904"/>
      <c r="X31" s="904"/>
      <c r="Y31" s="904"/>
      <c r="Z31" s="904"/>
    </row>
    <row r="32" spans="1:26" x14ac:dyDescent="0.35">
      <c r="A32" s="458"/>
      <c r="B32" s="802" t="s">
        <v>43</v>
      </c>
      <c r="C32" s="803"/>
      <c r="D32" s="803"/>
      <c r="E32" s="803"/>
      <c r="F32" s="804"/>
      <c r="G32" s="458"/>
      <c r="H32" s="225"/>
      <c r="I32" s="225"/>
      <c r="J32" s="225"/>
      <c r="K32" s="226"/>
      <c r="L32" s="907" t="s">
        <v>44</v>
      </c>
      <c r="M32" s="908"/>
      <c r="N32" s="776">
        <f t="shared" si="6"/>
        <v>3.8090845989476152E-2</v>
      </c>
      <c r="O32" s="777">
        <f t="shared" si="7"/>
        <v>25608020</v>
      </c>
      <c r="P32" s="785">
        <f>'Phase I Financial'!C67+'Phase I Financial'!C66</f>
        <v>17613445</v>
      </c>
      <c r="Q32" s="798">
        <f>'Phase II Financial'!C75+'Phase II Financial'!C76</f>
        <v>7994575</v>
      </c>
      <c r="R32" s="511"/>
      <c r="S32" s="904"/>
      <c r="T32" s="904"/>
      <c r="U32" s="904"/>
      <c r="V32" s="904"/>
      <c r="W32" s="904"/>
      <c r="X32" s="904"/>
      <c r="Y32" s="904"/>
      <c r="Z32" s="904"/>
    </row>
    <row r="33" spans="1:26" x14ac:dyDescent="0.35">
      <c r="A33" s="458"/>
      <c r="B33" s="810" t="s">
        <v>43</v>
      </c>
      <c r="C33" s="811"/>
      <c r="D33" s="812">
        <f>SUM(E33:G33)</f>
        <v>93650</v>
      </c>
      <c r="E33" s="813">
        <f>Assumptions!D56</f>
        <v>93650</v>
      </c>
      <c r="F33" s="814">
        <f>Assumptions!E56</f>
        <v>0</v>
      </c>
      <c r="G33" s="768"/>
      <c r="H33" s="225"/>
      <c r="I33" s="225"/>
      <c r="J33" s="225"/>
      <c r="K33" s="226"/>
      <c r="L33" s="907" t="s">
        <v>45</v>
      </c>
      <c r="M33" s="908"/>
      <c r="N33" s="776">
        <f t="shared" si="6"/>
        <v>5.0101069228577377E-2</v>
      </c>
      <c r="O33" s="777">
        <f t="shared" si="7"/>
        <v>33682349.380774111</v>
      </c>
      <c r="P33" s="785">
        <f>'Phase I Financial'!C68+'Phase I Financial'!C63+'Phase I Financial'!C50</f>
        <v>20421081.895159382</v>
      </c>
      <c r="Q33" s="798">
        <f>'Phase II Financial'!C77+'Phase II Financial'!C72+'Phase II Financial'!C59</f>
        <v>13261267.485614724</v>
      </c>
      <c r="R33" s="511"/>
      <c r="S33" s="904"/>
      <c r="T33" s="904"/>
      <c r="U33" s="904"/>
      <c r="V33" s="904"/>
      <c r="W33" s="904"/>
      <c r="X33" s="904"/>
      <c r="Y33" s="904"/>
      <c r="Z33" s="904"/>
    </row>
    <row r="34" spans="1:26" x14ac:dyDescent="0.35">
      <c r="A34" s="458"/>
      <c r="B34" s="794" t="s">
        <v>28</v>
      </c>
      <c r="C34" s="795"/>
      <c r="D34" s="799">
        <f>D33</f>
        <v>93650</v>
      </c>
      <c r="E34" s="800">
        <f>E33</f>
        <v>93650</v>
      </c>
      <c r="F34" s="801">
        <f t="shared" ref="F34" si="9">F33</f>
        <v>0</v>
      </c>
      <c r="G34" s="768"/>
      <c r="H34" s="225"/>
      <c r="I34" s="225"/>
      <c r="J34" s="225"/>
      <c r="K34" s="226"/>
      <c r="L34" s="909" t="s">
        <v>46</v>
      </c>
      <c r="M34" s="910"/>
      <c r="N34" s="781">
        <f t="shared" si="6"/>
        <v>2.5393739548291161E-2</v>
      </c>
      <c r="O34" s="782">
        <f t="shared" si="7"/>
        <v>17071907.261054091</v>
      </c>
      <c r="P34" s="786">
        <f>'Phase I Financial'!C58</f>
        <v>11663714.763753913</v>
      </c>
      <c r="Q34" s="787">
        <f>'Phase II Financial'!C67</f>
        <v>5408192.4973001759</v>
      </c>
      <c r="R34" s="511"/>
      <c r="S34" s="904"/>
      <c r="T34" s="904"/>
      <c r="U34" s="904"/>
      <c r="V34" s="904"/>
      <c r="W34" s="904"/>
      <c r="X34" s="904"/>
      <c r="Y34" s="904"/>
      <c r="Z34" s="904"/>
    </row>
    <row r="35" spans="1:26" x14ac:dyDescent="0.35">
      <c r="A35" s="745"/>
      <c r="B35" s="226"/>
      <c r="C35" s="226"/>
      <c r="D35" s="226"/>
      <c r="E35" s="226"/>
      <c r="F35" s="226"/>
      <c r="G35" s="745"/>
      <c r="H35" s="225"/>
      <c r="I35" s="225"/>
      <c r="J35" s="225"/>
      <c r="K35" s="226"/>
      <c r="L35" s="913" t="s">
        <v>28</v>
      </c>
      <c r="M35" s="914"/>
      <c r="N35" s="731"/>
      <c r="O35" s="736">
        <f t="shared" si="7"/>
        <v>672288034.95399022</v>
      </c>
      <c r="P35" s="737">
        <f>SUM(P29:P34)</f>
        <v>462852052.56865913</v>
      </c>
      <c r="Q35" s="738">
        <f>SUM(Q29:Q34)</f>
        <v>209435982.38533103</v>
      </c>
      <c r="R35" s="511"/>
      <c r="S35" s="904"/>
      <c r="T35" s="904"/>
      <c r="U35" s="904"/>
      <c r="V35" s="904"/>
      <c r="W35" s="904"/>
      <c r="X35" s="904"/>
      <c r="Y35" s="904"/>
      <c r="Z35" s="904"/>
    </row>
    <row r="36" spans="1:26" x14ac:dyDescent="0.35">
      <c r="A36" s="458"/>
      <c r="B36" s="582" t="s">
        <v>47</v>
      </c>
      <c r="C36" s="739"/>
      <c r="D36" s="604"/>
      <c r="E36" s="905" t="s">
        <v>2</v>
      </c>
      <c r="F36" s="906"/>
      <c r="G36" s="746"/>
      <c r="H36" s="745"/>
      <c r="I36" s="745"/>
      <c r="J36" s="745"/>
      <c r="K36" s="745"/>
      <c r="L36" s="458"/>
      <c r="M36" s="458"/>
      <c r="N36" s="458"/>
      <c r="O36" s="458"/>
      <c r="P36" s="458"/>
      <c r="Q36" s="458"/>
      <c r="R36" s="747"/>
      <c r="S36" s="904"/>
      <c r="T36" s="904"/>
      <c r="U36" s="904"/>
      <c r="V36" s="904"/>
      <c r="W36" s="904"/>
      <c r="X36" s="904"/>
      <c r="Y36" s="904"/>
      <c r="Z36" s="904"/>
    </row>
    <row r="37" spans="1:26" x14ac:dyDescent="0.35">
      <c r="A37" s="458"/>
      <c r="B37" s="740"/>
      <c r="C37" s="741"/>
      <c r="D37" s="727" t="s">
        <v>6</v>
      </c>
      <c r="E37" s="728" t="s">
        <v>4</v>
      </c>
      <c r="F37" s="729" t="s">
        <v>5</v>
      </c>
      <c r="G37" s="746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7"/>
      <c r="S37" s="904"/>
      <c r="T37" s="904"/>
      <c r="U37" s="904"/>
      <c r="V37" s="904"/>
      <c r="W37" s="904"/>
      <c r="X37" s="904"/>
      <c r="Y37" s="904"/>
      <c r="Z37" s="904"/>
    </row>
    <row r="38" spans="1:26" x14ac:dyDescent="0.35">
      <c r="A38" s="458"/>
      <c r="B38" s="802" t="s">
        <v>48</v>
      </c>
      <c r="C38" s="803"/>
      <c r="D38" s="815"/>
      <c r="E38" s="815"/>
      <c r="F38" s="816"/>
      <c r="G38" s="458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7"/>
      <c r="S38" s="904"/>
      <c r="T38" s="904"/>
      <c r="U38" s="904"/>
      <c r="V38" s="904"/>
      <c r="W38" s="904"/>
      <c r="X38" s="904"/>
      <c r="Y38" s="904"/>
      <c r="Z38" s="904"/>
    </row>
    <row r="39" spans="1:26" x14ac:dyDescent="0.35">
      <c r="A39" s="458"/>
      <c r="B39" s="819" t="s">
        <v>49</v>
      </c>
      <c r="C39" s="318"/>
      <c r="D39" s="817">
        <f>SUM(E39:F39)</f>
        <v>1892.8106217948718</v>
      </c>
      <c r="E39" s="818">
        <f>'Phase I Financial'!B22</f>
        <v>1552.7782564102565</v>
      </c>
      <c r="F39" s="820">
        <f>'Phase II Financial'!B30</f>
        <v>340.03236538461539</v>
      </c>
      <c r="G39" s="458"/>
      <c r="H39" s="745"/>
      <c r="I39" s="745"/>
      <c r="J39" s="745"/>
      <c r="K39" s="745"/>
      <c r="L39" s="745"/>
      <c r="M39" s="745"/>
      <c r="N39" s="745"/>
      <c r="O39" s="745"/>
      <c r="P39" s="745"/>
      <c r="Q39" s="745"/>
      <c r="R39" s="747"/>
      <c r="S39" s="904"/>
      <c r="T39" s="904"/>
      <c r="U39" s="904"/>
      <c r="V39" s="904"/>
      <c r="W39" s="904"/>
      <c r="X39" s="904"/>
      <c r="Y39" s="904"/>
      <c r="Z39" s="904"/>
    </row>
    <row r="40" spans="1:26" x14ac:dyDescent="0.35">
      <c r="A40" s="458"/>
      <c r="B40" s="821" t="s">
        <v>50</v>
      </c>
      <c r="C40" s="324"/>
      <c r="D40" s="788">
        <f>SUM(E40:F40)</f>
        <v>2552.1333333333337</v>
      </c>
      <c r="E40" s="789">
        <f>'Phase I Financial'!B23</f>
        <v>1911.0333333333335</v>
      </c>
      <c r="F40" s="822">
        <f>'Phase II Financial'!B31</f>
        <v>641.1</v>
      </c>
      <c r="G40" s="458"/>
      <c r="H40" s="745"/>
      <c r="I40" s="745"/>
      <c r="J40" s="745"/>
      <c r="K40" s="745"/>
      <c r="L40" s="745"/>
      <c r="M40" s="745"/>
      <c r="N40" s="745"/>
      <c r="O40" s="745"/>
      <c r="P40" s="745"/>
      <c r="Q40" s="745"/>
      <c r="R40" s="747"/>
      <c r="S40" s="904"/>
      <c r="T40" s="904"/>
      <c r="U40" s="904"/>
      <c r="V40" s="904"/>
      <c r="W40" s="904"/>
      <c r="X40" s="904"/>
      <c r="Y40" s="904"/>
      <c r="Z40" s="904"/>
    </row>
    <row r="41" spans="1:26" x14ac:dyDescent="0.35">
      <c r="A41" s="458"/>
      <c r="B41" s="588" t="s">
        <v>6</v>
      </c>
      <c r="C41" s="832"/>
      <c r="D41" s="833">
        <f>SUM(D39:D40)</f>
        <v>4444.9439551282057</v>
      </c>
      <c r="E41" s="833"/>
      <c r="F41" s="742"/>
      <c r="G41" s="458"/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7"/>
      <c r="S41" s="904"/>
      <c r="T41" s="904"/>
      <c r="U41" s="904"/>
      <c r="V41" s="904"/>
      <c r="W41" s="904"/>
      <c r="X41" s="904"/>
      <c r="Y41" s="904"/>
      <c r="Z41" s="904"/>
    </row>
    <row r="42" spans="1:26" x14ac:dyDescent="0.35">
      <c r="A42" s="745"/>
      <c r="B42" s="226"/>
      <c r="C42" s="226"/>
      <c r="D42" s="226"/>
      <c r="E42" s="226"/>
      <c r="F42" s="226"/>
      <c r="G42" s="745"/>
      <c r="H42" s="745"/>
      <c r="I42" s="745"/>
      <c r="J42" s="745"/>
      <c r="K42" s="745"/>
      <c r="L42" s="745"/>
      <c r="M42" s="745"/>
      <c r="N42" s="745"/>
      <c r="O42" s="745"/>
      <c r="P42" s="745"/>
      <c r="Q42" s="745"/>
      <c r="R42" s="747"/>
      <c r="S42" s="904"/>
      <c r="T42" s="904"/>
      <c r="U42" s="904"/>
      <c r="V42" s="904"/>
      <c r="W42" s="904"/>
      <c r="X42" s="904"/>
      <c r="Y42" s="904"/>
      <c r="Z42" s="904"/>
    </row>
    <row r="43" spans="1:26" x14ac:dyDescent="0.35">
      <c r="A43" s="458"/>
      <c r="B43" s="582" t="s">
        <v>51</v>
      </c>
      <c r="C43" s="604"/>
      <c r="D43" s="604"/>
      <c r="E43" s="905" t="s">
        <v>52</v>
      </c>
      <c r="F43" s="906"/>
      <c r="G43" s="458"/>
      <c r="H43" s="745"/>
      <c r="I43" s="745"/>
      <c r="J43" s="745"/>
      <c r="K43" s="745"/>
      <c r="L43" s="745"/>
      <c r="M43" s="745"/>
      <c r="N43" s="745"/>
      <c r="O43" s="745"/>
      <c r="P43" s="745"/>
      <c r="Q43" s="745"/>
      <c r="R43" s="747"/>
      <c r="S43" s="904"/>
      <c r="T43" s="904"/>
      <c r="U43" s="904"/>
      <c r="V43" s="904"/>
      <c r="W43" s="904"/>
      <c r="X43" s="904"/>
      <c r="Y43" s="904"/>
      <c r="Z43" s="904"/>
    </row>
    <row r="44" spans="1:26" x14ac:dyDescent="0.35">
      <c r="A44" s="458"/>
      <c r="B44" s="726"/>
      <c r="C44" s="727"/>
      <c r="D44" s="727"/>
      <c r="E44" s="728" t="s">
        <v>4</v>
      </c>
      <c r="F44" s="729" t="s">
        <v>5</v>
      </c>
      <c r="G44" s="458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7"/>
      <c r="S44" s="904"/>
      <c r="T44" s="904"/>
      <c r="U44" s="904"/>
      <c r="V44" s="904"/>
      <c r="W44" s="904"/>
      <c r="X44" s="904"/>
      <c r="Y44" s="904"/>
      <c r="Z44" s="904"/>
    </row>
    <row r="45" spans="1:26" x14ac:dyDescent="0.35">
      <c r="A45" s="458"/>
      <c r="B45" s="802" t="s">
        <v>53</v>
      </c>
      <c r="C45" s="803"/>
      <c r="D45" s="803"/>
      <c r="E45" s="803"/>
      <c r="F45" s="804"/>
      <c r="G45" s="458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7"/>
      <c r="S45" s="904"/>
      <c r="T45" s="904"/>
      <c r="U45" s="904"/>
      <c r="V45" s="904"/>
      <c r="W45" s="904"/>
      <c r="X45" s="904"/>
      <c r="Y45" s="904"/>
      <c r="Z45" s="904"/>
    </row>
    <row r="46" spans="1:26" x14ac:dyDescent="0.35">
      <c r="A46" s="458"/>
      <c r="B46" s="810" t="s">
        <v>54</v>
      </c>
      <c r="C46" s="811"/>
      <c r="D46" s="811"/>
      <c r="E46" s="793">
        <f>Assumptions!D9</f>
        <v>1160</v>
      </c>
      <c r="F46" s="825">
        <f>Assumptions!E9</f>
        <v>1230.6439999999998</v>
      </c>
      <c r="G46" s="458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7"/>
      <c r="S46" s="904"/>
      <c r="T46" s="904"/>
      <c r="U46" s="904"/>
      <c r="V46" s="904"/>
      <c r="W46" s="904"/>
      <c r="X46" s="904"/>
      <c r="Y46" s="904"/>
      <c r="Z46" s="904"/>
    </row>
    <row r="47" spans="1:26" x14ac:dyDescent="0.35">
      <c r="A47" s="458"/>
      <c r="B47" s="796" t="s">
        <v>55</v>
      </c>
      <c r="C47" s="775"/>
      <c r="D47" s="775"/>
      <c r="E47" s="791">
        <f>Assumptions!D14</f>
        <v>1680</v>
      </c>
      <c r="F47" s="790">
        <f>Assumptions!E14</f>
        <v>1782.3119999999997</v>
      </c>
      <c r="G47" s="458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7"/>
      <c r="S47" s="904"/>
      <c r="T47" s="904"/>
      <c r="U47" s="904"/>
      <c r="V47" s="904"/>
      <c r="W47" s="904"/>
      <c r="X47" s="904"/>
      <c r="Y47" s="904"/>
      <c r="Z47" s="904"/>
    </row>
    <row r="48" spans="1:26" x14ac:dyDescent="0.35">
      <c r="A48" s="458"/>
      <c r="B48" s="796" t="s">
        <v>56</v>
      </c>
      <c r="C48" s="775"/>
      <c r="D48" s="775"/>
      <c r="E48" s="778">
        <f>Assumptions!D19</f>
        <v>2385</v>
      </c>
      <c r="F48" s="826">
        <f>Assumptions!E19</f>
        <v>2530.2464999999997</v>
      </c>
      <c r="G48" s="458"/>
      <c r="H48" s="745"/>
      <c r="I48" s="745"/>
      <c r="J48" s="745"/>
      <c r="K48" s="745"/>
      <c r="L48" s="745"/>
      <c r="M48" s="745"/>
      <c r="N48" s="745"/>
      <c r="O48" s="745"/>
      <c r="P48" s="745"/>
      <c r="Q48" s="745"/>
      <c r="R48" s="747"/>
      <c r="S48" s="904"/>
      <c r="T48" s="904"/>
      <c r="U48" s="904"/>
      <c r="V48" s="904"/>
      <c r="W48" s="904"/>
      <c r="X48" s="904"/>
      <c r="Y48" s="904"/>
      <c r="Z48" s="904"/>
    </row>
    <row r="49" spans="1:26" x14ac:dyDescent="0.35">
      <c r="A49" s="458"/>
      <c r="B49" s="827" t="s">
        <v>57</v>
      </c>
      <c r="C49" s="806"/>
      <c r="D49" s="806"/>
      <c r="E49" s="792">
        <f>Assumptions!D24</f>
        <v>3120</v>
      </c>
      <c r="F49" s="828">
        <f>Assumptions!E24</f>
        <v>3246.0479999999998</v>
      </c>
      <c r="G49" s="458"/>
      <c r="H49" s="745"/>
      <c r="I49" s="745"/>
      <c r="J49" s="745"/>
      <c r="K49" s="745"/>
      <c r="L49" s="745"/>
      <c r="M49" s="745"/>
      <c r="N49" s="745"/>
      <c r="O49" s="745"/>
      <c r="P49" s="745"/>
      <c r="Q49" s="745"/>
      <c r="R49" s="747"/>
      <c r="S49" s="904"/>
      <c r="T49" s="904"/>
      <c r="U49" s="904"/>
      <c r="V49" s="904"/>
      <c r="W49" s="904"/>
      <c r="X49" s="904"/>
      <c r="Y49" s="904"/>
      <c r="Z49" s="904"/>
    </row>
    <row r="50" spans="1:26" x14ac:dyDescent="0.35">
      <c r="A50" s="458"/>
      <c r="B50" s="802" t="s">
        <v>58</v>
      </c>
      <c r="C50" s="803"/>
      <c r="D50" s="803"/>
      <c r="E50" s="823"/>
      <c r="F50" s="824"/>
      <c r="G50" s="458"/>
      <c r="H50" s="745"/>
      <c r="I50" s="745"/>
      <c r="J50" s="745"/>
      <c r="K50" s="745"/>
      <c r="L50" s="745"/>
      <c r="M50" s="745"/>
      <c r="N50" s="745"/>
      <c r="O50" s="745"/>
      <c r="P50" s="745"/>
      <c r="Q50" s="745"/>
      <c r="R50" s="747"/>
      <c r="S50" s="904"/>
      <c r="T50" s="904"/>
      <c r="U50" s="904"/>
      <c r="V50" s="904"/>
      <c r="W50" s="904"/>
      <c r="X50" s="904"/>
      <c r="Y50" s="904"/>
      <c r="Z50" s="904"/>
    </row>
    <row r="51" spans="1:26" x14ac:dyDescent="0.35">
      <c r="A51" s="458"/>
      <c r="B51" s="810" t="s">
        <v>54</v>
      </c>
      <c r="C51" s="811"/>
      <c r="D51" s="811"/>
      <c r="E51" s="793">
        <f>Assumptions!D31</f>
        <v>373.21250000000003</v>
      </c>
      <c r="F51" s="826">
        <f>Assumptions!E31</f>
        <v>388.29028500000004</v>
      </c>
      <c r="G51" s="458"/>
      <c r="H51" s="745"/>
      <c r="I51" s="745"/>
      <c r="J51" s="745"/>
      <c r="K51" s="745"/>
      <c r="L51" s="745"/>
      <c r="M51" s="745"/>
      <c r="N51" s="745"/>
      <c r="O51" s="745"/>
      <c r="P51" s="745"/>
      <c r="Q51" s="745"/>
      <c r="R51" s="747"/>
      <c r="S51" s="904"/>
      <c r="T51" s="904"/>
      <c r="U51" s="904"/>
      <c r="V51" s="904"/>
      <c r="W51" s="904"/>
      <c r="X51" s="904"/>
      <c r="Y51" s="904"/>
      <c r="Z51" s="904"/>
    </row>
    <row r="52" spans="1:26" x14ac:dyDescent="0.35">
      <c r="A52" s="458"/>
      <c r="B52" s="796" t="s">
        <v>55</v>
      </c>
      <c r="C52" s="775"/>
      <c r="D52" s="775"/>
      <c r="E52" s="778">
        <f>Assumptions!D36</f>
        <v>513.25625000000002</v>
      </c>
      <c r="F52" s="797">
        <f>Assumptions!E36</f>
        <v>533.99180250000006</v>
      </c>
      <c r="G52" s="458"/>
      <c r="H52" s="745"/>
      <c r="I52" s="745"/>
      <c r="J52" s="745"/>
      <c r="K52" s="745"/>
      <c r="L52" s="745"/>
      <c r="M52" s="745"/>
      <c r="N52" s="745"/>
      <c r="O52" s="745"/>
      <c r="P52" s="745"/>
      <c r="Q52" s="745"/>
      <c r="R52" s="747"/>
      <c r="S52" s="904"/>
      <c r="T52" s="904"/>
      <c r="U52" s="904"/>
      <c r="V52" s="904"/>
      <c r="W52" s="904"/>
      <c r="X52" s="904"/>
      <c r="Y52" s="904"/>
      <c r="Z52" s="904"/>
    </row>
    <row r="53" spans="1:26" x14ac:dyDescent="0.35">
      <c r="A53" s="458"/>
      <c r="B53" s="796" t="s">
        <v>56</v>
      </c>
      <c r="C53" s="775"/>
      <c r="D53" s="775"/>
      <c r="E53" s="778">
        <f>Assumptions!D41</f>
        <v>653.29999999999995</v>
      </c>
      <c r="F53" s="797">
        <f>Assumptions!E41</f>
        <v>679.69331999999997</v>
      </c>
      <c r="G53" s="458"/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7"/>
      <c r="S53" s="904"/>
      <c r="T53" s="904"/>
      <c r="U53" s="904"/>
      <c r="V53" s="904"/>
      <c r="W53" s="904"/>
      <c r="X53" s="904"/>
      <c r="Y53" s="904"/>
      <c r="Z53" s="904"/>
    </row>
    <row r="54" spans="1:26" x14ac:dyDescent="0.35">
      <c r="A54" s="458"/>
      <c r="B54" s="829" t="s">
        <v>57</v>
      </c>
      <c r="C54" s="795"/>
      <c r="D54" s="795"/>
      <c r="E54" s="830">
        <f>Assumptions!D46</f>
        <v>816.625</v>
      </c>
      <c r="F54" s="831">
        <f>Assumptions!E46</f>
        <v>849.61665000000005</v>
      </c>
      <c r="G54" s="458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7"/>
      <c r="S54" s="904"/>
      <c r="T54" s="904"/>
      <c r="U54" s="904"/>
      <c r="V54" s="904"/>
      <c r="W54" s="904"/>
      <c r="X54" s="904"/>
      <c r="Y54" s="904"/>
      <c r="Z54" s="904"/>
    </row>
    <row r="55" spans="1:26" x14ac:dyDescent="0.35">
      <c r="A55" s="747"/>
      <c r="B55" s="511"/>
      <c r="C55" s="511"/>
      <c r="D55" s="511"/>
      <c r="E55" s="511"/>
      <c r="F55" s="511"/>
      <c r="G55" s="747"/>
      <c r="H55" s="747"/>
      <c r="I55" s="747"/>
      <c r="J55" s="747"/>
      <c r="K55" s="747"/>
      <c r="L55" s="747"/>
      <c r="M55" s="747"/>
      <c r="N55" s="747"/>
      <c r="O55" s="747"/>
      <c r="P55" s="747"/>
      <c r="Q55" s="747"/>
      <c r="R55" s="747"/>
      <c r="S55" s="904"/>
      <c r="T55" s="904"/>
      <c r="U55" s="904"/>
      <c r="V55" s="904"/>
      <c r="W55" s="904"/>
      <c r="X55" s="904"/>
      <c r="Y55" s="904"/>
      <c r="Z55" s="904"/>
    </row>
    <row r="56" spans="1:26" x14ac:dyDescent="0.35">
      <c r="A56" s="747"/>
      <c r="B56" s="747"/>
      <c r="C56" s="747"/>
      <c r="D56" s="747"/>
      <c r="E56" s="747"/>
      <c r="F56" s="747"/>
      <c r="G56" s="747"/>
      <c r="H56" s="747"/>
      <c r="I56" s="747"/>
      <c r="J56" s="747"/>
      <c r="K56" s="747"/>
      <c r="L56" s="747"/>
      <c r="M56" s="747"/>
      <c r="N56" s="747"/>
      <c r="O56" s="747"/>
      <c r="P56" s="747"/>
      <c r="Q56" s="747"/>
      <c r="R56" s="747"/>
      <c r="S56" s="904"/>
      <c r="T56" s="904"/>
      <c r="U56" s="904"/>
      <c r="V56" s="904"/>
      <c r="W56" s="904"/>
      <c r="X56" s="904"/>
      <c r="Y56" s="904"/>
      <c r="Z56" s="904"/>
    </row>
    <row r="57" spans="1:26" x14ac:dyDescent="0.35">
      <c r="A57" s="747"/>
      <c r="B57" s="747"/>
      <c r="C57" s="747"/>
      <c r="D57" s="747"/>
      <c r="E57" s="747"/>
      <c r="F57" s="747"/>
      <c r="G57" s="747"/>
      <c r="H57" s="747"/>
      <c r="I57" s="747"/>
      <c r="J57" s="747"/>
      <c r="K57" s="747"/>
      <c r="L57" s="747"/>
      <c r="M57" s="747"/>
      <c r="N57" s="747"/>
      <c r="O57" s="747"/>
      <c r="P57" s="747"/>
      <c r="Q57" s="747"/>
      <c r="R57" s="747"/>
      <c r="S57" s="904"/>
      <c r="T57" s="904"/>
      <c r="U57" s="904"/>
      <c r="V57" s="904"/>
      <c r="W57" s="904"/>
      <c r="X57" s="904"/>
      <c r="Y57" s="904"/>
      <c r="Z57" s="904"/>
    </row>
    <row r="58" spans="1:26" x14ac:dyDescent="0.35">
      <c r="A58" s="747"/>
      <c r="B58" s="747"/>
      <c r="C58" s="747"/>
      <c r="D58" s="747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904"/>
      <c r="T58" s="904"/>
      <c r="U58" s="904"/>
      <c r="V58" s="904"/>
      <c r="W58" s="904"/>
      <c r="X58" s="904"/>
      <c r="Y58" s="904"/>
      <c r="Z58" s="904"/>
    </row>
    <row r="59" spans="1:26" x14ac:dyDescent="0.35">
      <c r="A59" s="747"/>
      <c r="B59" s="747"/>
      <c r="C59" s="747"/>
      <c r="D59" s="747"/>
      <c r="E59" s="747"/>
      <c r="F59" s="747"/>
      <c r="G59" s="747"/>
      <c r="H59" s="747"/>
      <c r="I59" s="747"/>
      <c r="J59" s="747"/>
      <c r="K59" s="747"/>
      <c r="L59" s="747"/>
      <c r="M59" s="747"/>
      <c r="N59" s="747"/>
      <c r="O59" s="747"/>
      <c r="P59" s="747"/>
      <c r="Q59" s="747"/>
      <c r="R59" s="747"/>
      <c r="S59" s="904"/>
      <c r="T59" s="904"/>
      <c r="U59" s="904"/>
      <c r="V59" s="904"/>
      <c r="W59" s="904"/>
      <c r="X59" s="904"/>
      <c r="Y59" s="904"/>
      <c r="Z59" s="904"/>
    </row>
    <row r="60" spans="1:26" x14ac:dyDescent="0.35">
      <c r="A60" s="747"/>
      <c r="B60" s="747"/>
      <c r="C60" s="747"/>
      <c r="D60" s="747"/>
      <c r="E60" s="747"/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7"/>
      <c r="R60" s="747"/>
      <c r="S60" s="904"/>
      <c r="T60" s="904"/>
      <c r="U60" s="904"/>
      <c r="V60" s="904"/>
      <c r="W60" s="904"/>
      <c r="X60" s="904"/>
      <c r="Y60" s="904"/>
      <c r="Z60" s="904"/>
    </row>
    <row r="61" spans="1:26" x14ac:dyDescent="0.35">
      <c r="A61" s="747"/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904"/>
      <c r="T61" s="904"/>
      <c r="U61" s="904"/>
      <c r="V61" s="904"/>
      <c r="W61" s="904"/>
      <c r="X61" s="904"/>
      <c r="Y61" s="904"/>
      <c r="Z61" s="904"/>
    </row>
    <row r="62" spans="1:26" x14ac:dyDescent="0.35">
      <c r="A62" s="747"/>
      <c r="B62" s="747"/>
      <c r="C62" s="747"/>
      <c r="D62" s="747"/>
      <c r="E62" s="747"/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R62" s="747"/>
      <c r="S62" s="904"/>
      <c r="T62" s="904"/>
      <c r="U62" s="904"/>
      <c r="V62" s="904"/>
      <c r="W62" s="904"/>
      <c r="X62" s="904"/>
      <c r="Y62" s="904"/>
      <c r="Z62" s="904"/>
    </row>
    <row r="63" spans="1:26" x14ac:dyDescent="0.35">
      <c r="A63" s="747"/>
      <c r="B63" s="747"/>
      <c r="C63" s="747"/>
      <c r="D63" s="747"/>
      <c r="E63" s="747"/>
      <c r="F63" s="747"/>
      <c r="G63" s="747"/>
      <c r="H63" s="747"/>
      <c r="I63" s="747"/>
      <c r="J63" s="747"/>
      <c r="K63" s="747"/>
      <c r="L63" s="747"/>
      <c r="M63" s="747"/>
      <c r="N63" s="747"/>
      <c r="O63" s="747"/>
      <c r="P63" s="747"/>
      <c r="Q63" s="747"/>
      <c r="R63" s="747"/>
      <c r="S63" s="904"/>
      <c r="T63" s="904"/>
      <c r="U63" s="904"/>
      <c r="V63" s="904"/>
      <c r="W63" s="904"/>
      <c r="X63" s="904"/>
      <c r="Y63" s="904"/>
      <c r="Z63" s="904"/>
    </row>
    <row r="64" spans="1:26" x14ac:dyDescent="0.35">
      <c r="A64" s="747"/>
      <c r="B64" s="747"/>
      <c r="C64" s="747"/>
      <c r="D64" s="747"/>
      <c r="E64" s="747"/>
      <c r="F64" s="747"/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904"/>
      <c r="T64" s="904"/>
      <c r="U64" s="904"/>
      <c r="V64" s="904"/>
      <c r="W64" s="904"/>
      <c r="X64" s="904"/>
      <c r="Y64" s="904"/>
      <c r="Z64" s="904"/>
    </row>
    <row r="65" spans="1:26" x14ac:dyDescent="0.35">
      <c r="A65" s="747"/>
      <c r="B65" s="747"/>
      <c r="C65" s="747"/>
      <c r="D65" s="747"/>
      <c r="E65" s="747"/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7"/>
      <c r="Q65" s="747"/>
      <c r="R65" s="747"/>
      <c r="S65" s="904"/>
      <c r="T65" s="904"/>
      <c r="U65" s="904"/>
      <c r="V65" s="904"/>
      <c r="W65" s="904"/>
      <c r="X65" s="904"/>
      <c r="Y65" s="904"/>
      <c r="Z65" s="904"/>
    </row>
    <row r="66" spans="1:26" x14ac:dyDescent="0.35">
      <c r="A66" s="747"/>
      <c r="B66" s="747"/>
      <c r="C66" s="747"/>
      <c r="D66" s="747"/>
      <c r="E66" s="747"/>
      <c r="F66" s="747"/>
      <c r="G66" s="747"/>
      <c r="H66" s="747"/>
      <c r="I66" s="747"/>
      <c r="J66" s="747"/>
      <c r="K66" s="747"/>
      <c r="L66" s="747"/>
      <c r="M66" s="747"/>
      <c r="N66" s="747"/>
      <c r="O66" s="747"/>
      <c r="P66" s="747"/>
      <c r="Q66" s="747"/>
      <c r="R66" s="747"/>
      <c r="S66" s="904"/>
      <c r="T66" s="904"/>
      <c r="U66" s="904"/>
      <c r="V66" s="904"/>
      <c r="W66" s="904"/>
      <c r="X66" s="904"/>
      <c r="Y66" s="904"/>
      <c r="Z66" s="904"/>
    </row>
    <row r="67" spans="1:26" x14ac:dyDescent="0.35">
      <c r="A67" s="747"/>
      <c r="B67" s="747"/>
      <c r="C67" s="747"/>
      <c r="D67" s="747"/>
      <c r="E67" s="747"/>
      <c r="F67" s="747"/>
      <c r="G67" s="747"/>
      <c r="H67" s="747"/>
      <c r="I67" s="747"/>
      <c r="J67" s="747"/>
      <c r="K67" s="747"/>
      <c r="L67" s="747"/>
      <c r="M67" s="747"/>
      <c r="N67" s="747"/>
      <c r="O67" s="747"/>
      <c r="P67" s="747"/>
      <c r="Q67" s="747"/>
      <c r="R67" s="747"/>
      <c r="S67" s="904"/>
      <c r="T67" s="904"/>
      <c r="U67" s="904"/>
      <c r="V67" s="904"/>
      <c r="W67" s="904"/>
      <c r="X67" s="904"/>
      <c r="Y67" s="904"/>
      <c r="Z67" s="904"/>
    </row>
    <row r="68" spans="1:26" x14ac:dyDescent="0.35">
      <c r="A68" s="747"/>
      <c r="B68" s="747"/>
      <c r="C68" s="747"/>
      <c r="D68" s="747"/>
      <c r="E68" s="747"/>
      <c r="F68" s="747"/>
      <c r="G68" s="747"/>
      <c r="H68" s="747"/>
      <c r="I68" s="747"/>
      <c r="J68" s="747"/>
      <c r="K68" s="747"/>
      <c r="L68" s="747"/>
      <c r="M68" s="747"/>
      <c r="N68" s="747"/>
      <c r="O68" s="747"/>
      <c r="P68" s="747"/>
      <c r="Q68" s="747"/>
      <c r="R68" s="747"/>
      <c r="S68" s="904"/>
      <c r="T68" s="904"/>
      <c r="U68" s="904"/>
      <c r="V68" s="904"/>
      <c r="W68" s="904"/>
      <c r="X68" s="904"/>
      <c r="Y68" s="904"/>
      <c r="Z68" s="904"/>
    </row>
    <row r="69" spans="1:26" x14ac:dyDescent="0.35">
      <c r="A69" s="747"/>
      <c r="B69" s="747"/>
      <c r="C69" s="747"/>
      <c r="D69" s="747"/>
      <c r="E69" s="747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904"/>
      <c r="T69" s="904"/>
      <c r="U69" s="904"/>
      <c r="V69" s="904"/>
      <c r="W69" s="904"/>
      <c r="X69" s="904"/>
      <c r="Y69" s="904"/>
      <c r="Z69" s="904"/>
    </row>
    <row r="70" spans="1:26" x14ac:dyDescent="0.35">
      <c r="A70" s="747"/>
      <c r="B70" s="747"/>
      <c r="C70" s="747"/>
      <c r="D70" s="747"/>
      <c r="E70" s="747"/>
      <c r="F70" s="747"/>
      <c r="G70" s="747"/>
      <c r="H70" s="747"/>
      <c r="I70" s="747"/>
      <c r="J70" s="747"/>
      <c r="K70" s="747"/>
      <c r="L70" s="747"/>
      <c r="M70" s="747"/>
      <c r="N70" s="747"/>
      <c r="O70" s="747"/>
      <c r="P70" s="747"/>
      <c r="Q70" s="747"/>
      <c r="R70" s="747"/>
      <c r="S70" s="904"/>
      <c r="T70" s="904"/>
      <c r="U70" s="904"/>
      <c r="V70" s="904"/>
      <c r="W70" s="904"/>
      <c r="X70" s="904"/>
      <c r="Y70" s="904"/>
      <c r="Z70" s="904"/>
    </row>
    <row r="71" spans="1:26" x14ac:dyDescent="0.35">
      <c r="A71" s="747"/>
      <c r="B71" s="747"/>
      <c r="C71" s="747"/>
      <c r="D71" s="747"/>
      <c r="E71" s="747"/>
      <c r="F71" s="747"/>
      <c r="G71" s="747"/>
      <c r="H71" s="747"/>
      <c r="I71" s="747"/>
      <c r="J71" s="747"/>
      <c r="K71" s="747"/>
      <c r="L71" s="747"/>
      <c r="M71" s="747"/>
      <c r="N71" s="747"/>
      <c r="O71" s="747"/>
      <c r="P71" s="747"/>
      <c r="Q71" s="747"/>
      <c r="R71" s="747"/>
      <c r="S71" s="904"/>
      <c r="T71" s="904"/>
      <c r="U71" s="904"/>
      <c r="V71" s="904"/>
      <c r="W71" s="904"/>
      <c r="X71" s="904"/>
      <c r="Y71" s="904"/>
      <c r="Z71" s="904"/>
    </row>
    <row r="72" spans="1:26" x14ac:dyDescent="0.35">
      <c r="A72" s="747"/>
      <c r="B72" s="747"/>
      <c r="C72" s="747"/>
      <c r="D72" s="747"/>
      <c r="E72" s="747"/>
      <c r="F72" s="747"/>
      <c r="G72" s="747"/>
      <c r="H72" s="747"/>
      <c r="I72" s="747"/>
      <c r="J72" s="747"/>
      <c r="K72" s="747"/>
      <c r="L72" s="747"/>
      <c r="M72" s="747"/>
      <c r="N72" s="747"/>
      <c r="O72" s="747"/>
      <c r="P72" s="747"/>
      <c r="Q72" s="747"/>
      <c r="R72" s="747"/>
      <c r="S72" s="904"/>
      <c r="T72" s="904"/>
      <c r="U72" s="904"/>
      <c r="V72" s="904"/>
      <c r="W72" s="904"/>
      <c r="X72" s="904"/>
      <c r="Y72" s="904"/>
      <c r="Z72" s="904"/>
    </row>
    <row r="73" spans="1:26" x14ac:dyDescent="0.35">
      <c r="A73" s="747"/>
      <c r="B73" s="747"/>
      <c r="C73" s="747"/>
      <c r="D73" s="747"/>
      <c r="E73" s="747"/>
      <c r="F73" s="747"/>
      <c r="G73" s="747"/>
      <c r="H73" s="747"/>
      <c r="I73" s="747"/>
      <c r="J73" s="747"/>
      <c r="K73" s="747"/>
      <c r="L73" s="747"/>
      <c r="M73" s="747"/>
      <c r="N73" s="747"/>
      <c r="O73" s="747"/>
      <c r="P73" s="747"/>
      <c r="Q73" s="747"/>
      <c r="R73" s="747"/>
      <c r="S73" s="904"/>
      <c r="T73" s="904"/>
      <c r="U73" s="904"/>
      <c r="V73" s="904"/>
      <c r="W73" s="904"/>
      <c r="X73" s="904"/>
      <c r="Y73" s="904"/>
      <c r="Z73" s="904"/>
    </row>
    <row r="74" spans="1:26" x14ac:dyDescent="0.35">
      <c r="A74" s="747"/>
      <c r="B74" s="747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7"/>
      <c r="N74" s="747"/>
      <c r="O74" s="747"/>
      <c r="P74" s="747"/>
      <c r="Q74" s="747"/>
      <c r="R74" s="747"/>
      <c r="S74" s="904"/>
      <c r="T74" s="904"/>
      <c r="U74" s="904"/>
      <c r="V74" s="904"/>
      <c r="W74" s="904"/>
      <c r="X74" s="904"/>
      <c r="Y74" s="904"/>
      <c r="Z74" s="904"/>
    </row>
    <row r="75" spans="1:26" x14ac:dyDescent="0.35">
      <c r="A75" s="747"/>
      <c r="B75" s="747"/>
      <c r="C75" s="747"/>
      <c r="D75" s="747"/>
      <c r="E75" s="747"/>
      <c r="F75" s="747"/>
      <c r="G75" s="747"/>
      <c r="H75" s="747"/>
      <c r="I75" s="747"/>
      <c r="J75" s="747"/>
      <c r="K75" s="747"/>
      <c r="L75" s="747"/>
      <c r="M75" s="747"/>
      <c r="N75" s="747"/>
      <c r="O75" s="747"/>
      <c r="P75" s="747"/>
      <c r="Q75" s="747"/>
      <c r="R75" s="747"/>
      <c r="S75" s="904"/>
      <c r="T75" s="904"/>
      <c r="U75" s="904"/>
      <c r="V75" s="904"/>
      <c r="W75" s="904"/>
      <c r="X75" s="904"/>
      <c r="Y75" s="904"/>
      <c r="Z75" s="904"/>
    </row>
    <row r="76" spans="1:26" x14ac:dyDescent="0.35">
      <c r="A76" s="747"/>
      <c r="B76" s="747"/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  <c r="N76" s="747"/>
      <c r="O76" s="747"/>
      <c r="P76" s="747"/>
      <c r="Q76" s="747"/>
      <c r="R76" s="747"/>
      <c r="S76" s="904"/>
      <c r="T76" s="904"/>
      <c r="U76" s="904"/>
      <c r="V76" s="904"/>
      <c r="W76" s="904"/>
      <c r="X76" s="904"/>
      <c r="Y76" s="904"/>
      <c r="Z76" s="904"/>
    </row>
    <row r="77" spans="1:26" x14ac:dyDescent="0.35">
      <c r="A77" s="747"/>
      <c r="B77" s="747"/>
      <c r="C77" s="747"/>
      <c r="D77" s="747"/>
      <c r="E77" s="747"/>
      <c r="F77" s="747"/>
      <c r="G77" s="747"/>
      <c r="H77" s="747"/>
      <c r="I77" s="747"/>
      <c r="J77" s="747"/>
      <c r="K77" s="747"/>
      <c r="L77" s="747"/>
      <c r="M77" s="747"/>
      <c r="N77" s="747"/>
      <c r="O77" s="747"/>
      <c r="P77" s="747"/>
      <c r="Q77" s="747"/>
      <c r="R77" s="747"/>
      <c r="S77" s="904"/>
      <c r="T77" s="904"/>
      <c r="U77" s="904"/>
      <c r="V77" s="904"/>
      <c r="W77" s="904"/>
      <c r="X77" s="904"/>
      <c r="Y77" s="904"/>
      <c r="Z77" s="904"/>
    </row>
    <row r="78" spans="1:26" x14ac:dyDescent="0.35">
      <c r="A78" s="747"/>
      <c r="B78" s="747"/>
      <c r="C78" s="747"/>
      <c r="D78" s="747"/>
      <c r="E78" s="747"/>
      <c r="F78" s="747"/>
      <c r="G78" s="747"/>
      <c r="H78" s="747"/>
      <c r="I78" s="747"/>
      <c r="J78" s="747"/>
      <c r="K78" s="747"/>
      <c r="L78" s="747"/>
      <c r="M78" s="747"/>
      <c r="N78" s="747"/>
      <c r="O78" s="747"/>
      <c r="P78" s="747"/>
      <c r="Q78" s="747"/>
      <c r="R78" s="747"/>
      <c r="S78" s="904"/>
      <c r="T78" s="904"/>
      <c r="U78" s="904"/>
      <c r="V78" s="904"/>
      <c r="W78" s="904"/>
      <c r="X78" s="904"/>
      <c r="Y78" s="904"/>
      <c r="Z78" s="904"/>
    </row>
    <row r="79" spans="1:26" x14ac:dyDescent="0.35">
      <c r="A79" s="747"/>
      <c r="B79" s="747"/>
      <c r="C79" s="747"/>
      <c r="D79" s="747"/>
      <c r="E79" s="747"/>
      <c r="F79" s="747"/>
      <c r="G79" s="747"/>
      <c r="H79" s="747"/>
      <c r="I79" s="747"/>
      <c r="J79" s="747"/>
      <c r="K79" s="747"/>
      <c r="L79" s="747"/>
      <c r="M79" s="747"/>
      <c r="N79" s="747"/>
      <c r="O79" s="747"/>
      <c r="P79" s="747"/>
      <c r="Q79" s="747"/>
      <c r="R79" s="747"/>
      <c r="S79" s="904"/>
      <c r="T79" s="904"/>
      <c r="U79" s="904"/>
      <c r="V79" s="904"/>
      <c r="W79" s="904"/>
      <c r="X79" s="904"/>
      <c r="Y79" s="904"/>
      <c r="Z79" s="904"/>
    </row>
    <row r="80" spans="1:26" x14ac:dyDescent="0.35">
      <c r="A80" s="747"/>
      <c r="B80" s="747"/>
      <c r="C80" s="747"/>
      <c r="D80" s="747"/>
      <c r="E80" s="747"/>
      <c r="F80" s="747"/>
      <c r="G80" s="747"/>
      <c r="H80" s="747"/>
      <c r="I80" s="747"/>
      <c r="J80" s="747"/>
      <c r="K80" s="747"/>
      <c r="L80" s="747"/>
      <c r="M80" s="747"/>
      <c r="N80" s="747"/>
      <c r="O80" s="747"/>
      <c r="P80" s="747"/>
      <c r="Q80" s="747"/>
      <c r="R80" s="747"/>
      <c r="S80" s="904"/>
      <c r="T80" s="904"/>
      <c r="U80" s="904"/>
      <c r="V80" s="904"/>
      <c r="W80" s="904"/>
      <c r="X80" s="904"/>
      <c r="Y80" s="904"/>
      <c r="Z80" s="904"/>
    </row>
    <row r="81" spans="1:26" x14ac:dyDescent="0.35">
      <c r="A81" s="747"/>
      <c r="B81" s="747"/>
      <c r="C81" s="747"/>
      <c r="D81" s="747"/>
      <c r="E81" s="747"/>
      <c r="F81" s="747"/>
      <c r="G81" s="747"/>
      <c r="H81" s="747"/>
      <c r="I81" s="747"/>
      <c r="J81" s="747"/>
      <c r="K81" s="747"/>
      <c r="L81" s="747"/>
      <c r="M81" s="747"/>
      <c r="N81" s="747"/>
      <c r="O81" s="747"/>
      <c r="P81" s="747"/>
      <c r="Q81" s="747"/>
      <c r="R81" s="747"/>
      <c r="S81" s="904"/>
      <c r="T81" s="904"/>
      <c r="U81" s="904"/>
      <c r="V81" s="904"/>
      <c r="W81" s="904"/>
      <c r="X81" s="904"/>
      <c r="Y81" s="904"/>
      <c r="Z81" s="904"/>
    </row>
    <row r="82" spans="1:26" x14ac:dyDescent="0.35">
      <c r="A82" s="747"/>
      <c r="B82" s="747"/>
      <c r="C82" s="747"/>
      <c r="D82" s="747"/>
      <c r="E82" s="747"/>
      <c r="F82" s="747"/>
      <c r="G82" s="747"/>
      <c r="H82" s="747"/>
      <c r="I82" s="747"/>
      <c r="J82" s="747"/>
      <c r="K82" s="747"/>
      <c r="L82" s="747"/>
      <c r="M82" s="747"/>
      <c r="N82" s="747"/>
      <c r="O82" s="747"/>
      <c r="P82" s="747"/>
      <c r="Q82" s="747"/>
      <c r="R82" s="747"/>
      <c r="S82" s="904"/>
      <c r="T82" s="904"/>
      <c r="U82" s="904"/>
      <c r="V82" s="904"/>
      <c r="W82" s="904"/>
      <c r="X82" s="904"/>
      <c r="Y82" s="904"/>
      <c r="Z82" s="904"/>
    </row>
    <row r="83" spans="1:26" x14ac:dyDescent="0.35">
      <c r="A83" s="747"/>
      <c r="B83" s="747"/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7"/>
      <c r="Q83" s="747"/>
      <c r="R83" s="747"/>
      <c r="S83" s="904"/>
      <c r="T83" s="904"/>
      <c r="U83" s="904"/>
      <c r="V83" s="904"/>
      <c r="W83" s="904"/>
      <c r="X83" s="904"/>
      <c r="Y83" s="904"/>
      <c r="Z83" s="904"/>
    </row>
    <row r="84" spans="1:26" x14ac:dyDescent="0.35">
      <c r="A84" s="747"/>
      <c r="B84" s="747"/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7"/>
      <c r="Q84" s="747"/>
      <c r="R84" s="747"/>
      <c r="S84" s="904"/>
      <c r="T84" s="904"/>
      <c r="U84" s="904"/>
      <c r="V84" s="904"/>
      <c r="W84" s="904"/>
      <c r="X84" s="904"/>
      <c r="Y84" s="904"/>
      <c r="Z84" s="904"/>
    </row>
    <row r="85" spans="1:26" x14ac:dyDescent="0.35">
      <c r="A85" s="747"/>
      <c r="B85" s="747"/>
      <c r="C85" s="747"/>
      <c r="D85" s="747"/>
      <c r="E85" s="747"/>
      <c r="F85" s="747"/>
      <c r="G85" s="747"/>
      <c r="H85" s="747"/>
      <c r="I85" s="747"/>
      <c r="J85" s="747"/>
      <c r="K85" s="747"/>
      <c r="L85" s="747"/>
      <c r="M85" s="747"/>
      <c r="N85" s="747"/>
      <c r="O85" s="747"/>
      <c r="P85" s="747"/>
      <c r="Q85" s="747"/>
      <c r="R85" s="747"/>
      <c r="S85" s="904"/>
      <c r="T85" s="904"/>
      <c r="U85" s="904"/>
      <c r="V85" s="904"/>
      <c r="W85" s="904"/>
      <c r="X85" s="904"/>
      <c r="Y85" s="904"/>
      <c r="Z85" s="904"/>
    </row>
    <row r="86" spans="1:26" x14ac:dyDescent="0.35">
      <c r="A86" s="747"/>
      <c r="B86" s="747"/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747"/>
      <c r="O86" s="747"/>
      <c r="P86" s="747"/>
      <c r="Q86" s="747"/>
      <c r="R86" s="747"/>
      <c r="S86" s="904"/>
      <c r="T86" s="904"/>
      <c r="U86" s="904"/>
      <c r="V86" s="904"/>
      <c r="W86" s="904"/>
      <c r="X86" s="904"/>
      <c r="Y86" s="904"/>
      <c r="Z86" s="904"/>
    </row>
    <row r="87" spans="1:26" x14ac:dyDescent="0.35">
      <c r="A87" s="747"/>
      <c r="B87" s="747"/>
      <c r="C87" s="747"/>
      <c r="D87" s="747"/>
      <c r="E87" s="747"/>
      <c r="F87" s="747"/>
      <c r="G87" s="747"/>
      <c r="H87" s="747"/>
      <c r="I87" s="747"/>
      <c r="J87" s="747"/>
      <c r="K87" s="747"/>
      <c r="L87" s="747"/>
      <c r="M87" s="747"/>
      <c r="N87" s="747"/>
      <c r="O87" s="747"/>
      <c r="P87" s="747"/>
      <c r="Q87" s="747"/>
      <c r="R87" s="747"/>
      <c r="S87" s="904"/>
      <c r="T87" s="904"/>
      <c r="U87" s="904"/>
      <c r="V87" s="904"/>
      <c r="W87" s="904"/>
      <c r="X87" s="904"/>
      <c r="Y87" s="904"/>
      <c r="Z87" s="904"/>
    </row>
    <row r="88" spans="1:26" x14ac:dyDescent="0.35">
      <c r="A88" s="747"/>
      <c r="B88" s="747"/>
      <c r="C88" s="747"/>
      <c r="D88" s="747"/>
      <c r="E88" s="747"/>
      <c r="F88" s="747"/>
      <c r="G88" s="747"/>
      <c r="H88" s="747"/>
      <c r="I88" s="747"/>
      <c r="J88" s="747"/>
      <c r="K88" s="747"/>
      <c r="L88" s="747"/>
      <c r="M88" s="747"/>
      <c r="N88" s="747"/>
      <c r="O88" s="747"/>
      <c r="P88" s="747"/>
      <c r="Q88" s="747"/>
      <c r="R88" s="747"/>
      <c r="S88" s="904"/>
      <c r="T88" s="904"/>
      <c r="U88" s="904"/>
      <c r="V88" s="904"/>
      <c r="W88" s="904"/>
      <c r="X88" s="904"/>
      <c r="Y88" s="904"/>
      <c r="Z88" s="904"/>
    </row>
    <row r="89" spans="1:26" x14ac:dyDescent="0.35">
      <c r="A89" s="747"/>
      <c r="B89" s="747"/>
      <c r="C89" s="747"/>
      <c r="D89" s="747"/>
      <c r="E89" s="747"/>
      <c r="F89" s="747"/>
      <c r="G89" s="747"/>
      <c r="H89" s="747"/>
      <c r="I89" s="747"/>
      <c r="J89" s="747"/>
      <c r="K89" s="747"/>
      <c r="L89" s="747"/>
      <c r="M89" s="747"/>
      <c r="N89" s="747"/>
      <c r="O89" s="747"/>
      <c r="P89" s="747"/>
      <c r="Q89" s="747"/>
      <c r="R89" s="747"/>
      <c r="S89" s="904"/>
      <c r="T89" s="904"/>
      <c r="U89" s="904"/>
      <c r="V89" s="904"/>
      <c r="W89" s="904"/>
      <c r="X89" s="904"/>
      <c r="Y89" s="904"/>
      <c r="Z89" s="904"/>
    </row>
    <row r="90" spans="1:26" x14ac:dyDescent="0.35">
      <c r="A90" s="747"/>
      <c r="B90" s="747"/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  <c r="O90" s="747"/>
      <c r="P90" s="747"/>
      <c r="Q90" s="747"/>
      <c r="R90" s="747"/>
      <c r="S90" s="904"/>
      <c r="T90" s="904"/>
      <c r="U90" s="904"/>
      <c r="V90" s="904"/>
      <c r="W90" s="904"/>
      <c r="X90" s="904"/>
      <c r="Y90" s="904"/>
      <c r="Z90" s="904"/>
    </row>
    <row r="91" spans="1:26" x14ac:dyDescent="0.35">
      <c r="A91" s="747"/>
      <c r="B91" s="747"/>
      <c r="C91" s="747"/>
      <c r="D91" s="747"/>
      <c r="E91" s="747"/>
      <c r="F91" s="747"/>
      <c r="G91" s="747"/>
      <c r="H91" s="747"/>
      <c r="I91" s="747"/>
      <c r="J91" s="747"/>
      <c r="K91" s="747"/>
      <c r="L91" s="747"/>
      <c r="M91" s="747"/>
      <c r="N91" s="747"/>
      <c r="O91" s="747"/>
      <c r="P91" s="747"/>
      <c r="Q91" s="747"/>
      <c r="R91" s="747"/>
      <c r="S91" s="904"/>
      <c r="T91" s="904"/>
      <c r="U91" s="904"/>
      <c r="V91" s="904"/>
      <c r="W91" s="904"/>
      <c r="X91" s="904"/>
      <c r="Y91" s="904"/>
      <c r="Z91" s="904"/>
    </row>
    <row r="92" spans="1:26" x14ac:dyDescent="0.35">
      <c r="A92" s="747"/>
      <c r="B92" s="747"/>
      <c r="C92" s="747"/>
      <c r="D92" s="747"/>
      <c r="E92" s="747"/>
      <c r="F92" s="747"/>
      <c r="G92" s="747"/>
      <c r="H92" s="747"/>
      <c r="I92" s="747"/>
      <c r="J92" s="747"/>
      <c r="K92" s="747"/>
      <c r="L92" s="747"/>
      <c r="M92" s="747"/>
      <c r="N92" s="747"/>
      <c r="O92" s="747"/>
      <c r="P92" s="747"/>
      <c r="Q92" s="747"/>
      <c r="R92" s="747"/>
      <c r="S92" s="904"/>
      <c r="T92" s="904"/>
      <c r="U92" s="904"/>
      <c r="V92" s="904"/>
      <c r="W92" s="904"/>
      <c r="X92" s="904"/>
      <c r="Y92" s="904"/>
      <c r="Z92" s="904"/>
    </row>
    <row r="93" spans="1:26" x14ac:dyDescent="0.35">
      <c r="A93" s="747"/>
      <c r="B93" s="747"/>
      <c r="C93" s="747"/>
      <c r="D93" s="747"/>
      <c r="E93" s="747"/>
      <c r="F93" s="747"/>
      <c r="G93" s="747"/>
      <c r="H93" s="747"/>
      <c r="I93" s="747"/>
      <c r="J93" s="747"/>
      <c r="K93" s="747"/>
      <c r="L93" s="747"/>
      <c r="M93" s="747"/>
      <c r="N93" s="747"/>
      <c r="O93" s="747"/>
      <c r="P93" s="747"/>
      <c r="Q93" s="747"/>
      <c r="R93" s="747"/>
      <c r="S93" s="904"/>
      <c r="T93" s="904"/>
      <c r="U93" s="904"/>
      <c r="V93" s="904"/>
      <c r="W93" s="904"/>
      <c r="X93" s="904"/>
      <c r="Y93" s="904"/>
      <c r="Z93" s="904"/>
    </row>
    <row r="94" spans="1:26" x14ac:dyDescent="0.35">
      <c r="A94" s="747"/>
      <c r="B94" s="747"/>
      <c r="C94" s="747"/>
      <c r="D94" s="747"/>
      <c r="E94" s="747"/>
      <c r="F94" s="747"/>
      <c r="G94" s="747"/>
      <c r="H94" s="747"/>
      <c r="I94" s="747"/>
      <c r="J94" s="747"/>
      <c r="K94" s="747"/>
      <c r="L94" s="747"/>
      <c r="M94" s="747"/>
      <c r="N94" s="747"/>
      <c r="O94" s="747"/>
      <c r="P94" s="747"/>
      <c r="Q94" s="747"/>
      <c r="R94" s="747"/>
      <c r="S94" s="904"/>
      <c r="T94" s="904"/>
      <c r="U94" s="904"/>
      <c r="V94" s="904"/>
      <c r="W94" s="904"/>
      <c r="X94" s="904"/>
      <c r="Y94" s="904"/>
      <c r="Z94" s="904"/>
    </row>
    <row r="95" spans="1:26" x14ac:dyDescent="0.35">
      <c r="A95" s="747"/>
      <c r="B95" s="747"/>
      <c r="C95" s="747"/>
      <c r="D95" s="747"/>
      <c r="E95" s="747"/>
      <c r="F95" s="747"/>
      <c r="G95" s="747"/>
      <c r="H95" s="747"/>
      <c r="I95" s="747"/>
      <c r="J95" s="747"/>
      <c r="K95" s="747"/>
      <c r="L95" s="747"/>
      <c r="M95" s="747"/>
      <c r="N95" s="747"/>
      <c r="O95" s="747"/>
      <c r="P95" s="747"/>
      <c r="Q95" s="747"/>
      <c r="R95" s="747"/>
      <c r="S95" s="904"/>
      <c r="T95" s="904"/>
      <c r="U95" s="904"/>
      <c r="V95" s="904"/>
      <c r="W95" s="904"/>
      <c r="X95" s="904"/>
      <c r="Y95" s="904"/>
      <c r="Z95" s="904"/>
    </row>
    <row r="96" spans="1:26" x14ac:dyDescent="0.35">
      <c r="A96" s="747"/>
      <c r="B96" s="747"/>
      <c r="C96" s="747"/>
      <c r="D96" s="747"/>
      <c r="E96" s="747"/>
      <c r="F96" s="747"/>
      <c r="G96" s="747"/>
      <c r="H96" s="747"/>
      <c r="I96" s="747"/>
      <c r="J96" s="747"/>
      <c r="K96" s="747"/>
      <c r="L96" s="747"/>
      <c r="M96" s="747"/>
      <c r="N96" s="747"/>
      <c r="O96" s="747"/>
      <c r="P96" s="747"/>
      <c r="Q96" s="747"/>
      <c r="R96" s="747"/>
      <c r="S96" s="904"/>
      <c r="T96" s="904"/>
      <c r="U96" s="904"/>
      <c r="V96" s="904"/>
      <c r="W96" s="904"/>
      <c r="X96" s="904"/>
      <c r="Y96" s="904"/>
      <c r="Z96" s="904"/>
    </row>
    <row r="97" spans="1:26" x14ac:dyDescent="0.35">
      <c r="A97" s="747"/>
      <c r="B97" s="747"/>
      <c r="C97" s="747"/>
      <c r="D97" s="747"/>
      <c r="E97" s="747"/>
      <c r="F97" s="747"/>
      <c r="G97" s="747"/>
      <c r="H97" s="747"/>
      <c r="I97" s="747"/>
      <c r="J97" s="747"/>
      <c r="K97" s="747"/>
      <c r="L97" s="747"/>
      <c r="M97" s="747"/>
      <c r="N97" s="747"/>
      <c r="O97" s="747"/>
      <c r="P97" s="747"/>
      <c r="Q97" s="747"/>
      <c r="R97" s="747"/>
      <c r="S97" s="904"/>
      <c r="T97" s="904"/>
      <c r="U97" s="904"/>
      <c r="V97" s="904"/>
      <c r="W97" s="904"/>
      <c r="X97" s="904"/>
      <c r="Y97" s="904"/>
      <c r="Z97" s="904"/>
    </row>
    <row r="98" spans="1:26" x14ac:dyDescent="0.35">
      <c r="A98" s="747"/>
      <c r="B98" s="747"/>
      <c r="C98" s="747"/>
      <c r="D98" s="747"/>
      <c r="E98" s="747"/>
      <c r="F98" s="747"/>
      <c r="G98" s="747"/>
      <c r="H98" s="747"/>
      <c r="I98" s="747"/>
      <c r="J98" s="747"/>
      <c r="K98" s="747"/>
      <c r="L98" s="747"/>
      <c r="M98" s="747"/>
      <c r="N98" s="747"/>
      <c r="O98" s="747"/>
      <c r="P98" s="747"/>
      <c r="Q98" s="747"/>
      <c r="R98" s="747"/>
      <c r="S98" s="904"/>
      <c r="T98" s="904"/>
      <c r="U98" s="904"/>
      <c r="V98" s="904"/>
      <c r="W98" s="904"/>
      <c r="X98" s="904"/>
      <c r="Y98" s="904"/>
      <c r="Z98" s="904"/>
    </row>
    <row r="99" spans="1:26" x14ac:dyDescent="0.35">
      <c r="A99" s="747"/>
      <c r="B99" s="747"/>
      <c r="C99" s="747"/>
      <c r="D99" s="747"/>
      <c r="E99" s="747"/>
      <c r="F99" s="747"/>
      <c r="G99" s="747"/>
      <c r="H99" s="747"/>
      <c r="I99" s="747"/>
      <c r="J99" s="747"/>
      <c r="K99" s="747"/>
      <c r="L99" s="747"/>
      <c r="M99" s="747"/>
      <c r="N99" s="747"/>
      <c r="O99" s="747"/>
      <c r="P99" s="747"/>
      <c r="Q99" s="747"/>
      <c r="R99" s="747"/>
      <c r="S99" s="904"/>
      <c r="T99" s="904"/>
      <c r="U99" s="904"/>
      <c r="V99" s="904"/>
      <c r="W99" s="904"/>
      <c r="X99" s="904"/>
      <c r="Y99" s="904"/>
      <c r="Z99" s="904"/>
    </row>
    <row r="100" spans="1:26" x14ac:dyDescent="0.35">
      <c r="A100" s="747"/>
      <c r="B100" s="747"/>
      <c r="C100" s="747"/>
      <c r="D100" s="747"/>
      <c r="E100" s="747"/>
      <c r="F100" s="747"/>
      <c r="G100" s="747"/>
      <c r="H100" s="747"/>
      <c r="I100" s="747"/>
      <c r="J100" s="747"/>
      <c r="K100" s="747"/>
      <c r="L100" s="747"/>
      <c r="M100" s="747"/>
      <c r="N100" s="747"/>
      <c r="O100" s="747"/>
      <c r="P100" s="747"/>
      <c r="Q100" s="747"/>
      <c r="R100" s="747"/>
      <c r="S100" s="904"/>
      <c r="T100" s="904"/>
      <c r="U100" s="904"/>
      <c r="V100" s="904"/>
      <c r="W100" s="904"/>
      <c r="X100" s="904"/>
      <c r="Y100" s="904"/>
      <c r="Z100" s="904"/>
    </row>
  </sheetData>
  <mergeCells count="27">
    <mergeCell ref="L7:N7"/>
    <mergeCell ref="L8:N8"/>
    <mergeCell ref="L9:N9"/>
    <mergeCell ref="L10:N10"/>
    <mergeCell ref="L33:M33"/>
    <mergeCell ref="L34:M34"/>
    <mergeCell ref="L26:M26"/>
    <mergeCell ref="L35:M35"/>
    <mergeCell ref="L12:N12"/>
    <mergeCell ref="L13:N13"/>
    <mergeCell ref="L14:N14"/>
    <mergeCell ref="P4:Q4"/>
    <mergeCell ref="E12:F12"/>
    <mergeCell ref="E27:F27"/>
    <mergeCell ref="E36:F36"/>
    <mergeCell ref="E43:F43"/>
    <mergeCell ref="P17:Q17"/>
    <mergeCell ref="L20:M20"/>
    <mergeCell ref="L21:M21"/>
    <mergeCell ref="L22:M22"/>
    <mergeCell ref="L23:M23"/>
    <mergeCell ref="L24:M24"/>
    <mergeCell ref="L25:M25"/>
    <mergeCell ref="L29:M29"/>
    <mergeCell ref="L30:M30"/>
    <mergeCell ref="L31:M31"/>
    <mergeCell ref="L32:M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A9DB"/>
  </sheetPr>
  <dimension ref="A1:AH932"/>
  <sheetViews>
    <sheetView topLeftCell="A71" workbookViewId="0">
      <selection activeCell="A87" sqref="A87"/>
    </sheetView>
  </sheetViews>
  <sheetFormatPr defaultColWidth="14.453125" defaultRowHeight="15" customHeight="1" x14ac:dyDescent="0.35"/>
  <cols>
    <col min="1" max="1" width="37.7265625" customWidth="1"/>
    <col min="2" max="2" width="12.26953125" customWidth="1"/>
    <col min="3" max="3" width="20.7265625" customWidth="1"/>
    <col min="4" max="4" width="18.7265625" customWidth="1"/>
    <col min="5" max="5" width="25.1796875" customWidth="1"/>
    <col min="6" max="6" width="22.7265625" customWidth="1"/>
    <col min="7" max="7" width="36.26953125" customWidth="1"/>
    <col min="8" max="10" width="20.7265625" customWidth="1"/>
    <col min="11" max="12" width="18.1796875" bestFit="1" customWidth="1"/>
    <col min="13" max="26" width="12.1796875" customWidth="1"/>
  </cols>
  <sheetData>
    <row r="1" spans="1:30" ht="15" customHeight="1" x14ac:dyDescent="0.35">
      <c r="A1" s="747"/>
      <c r="B1" s="408"/>
      <c r="C1" s="747"/>
      <c r="D1" s="408"/>
      <c r="E1" s="408"/>
      <c r="F1" s="408"/>
      <c r="G1" s="408"/>
      <c r="H1" s="408"/>
      <c r="I1" s="408"/>
      <c r="J1" s="408"/>
      <c r="K1" s="408"/>
      <c r="L1" s="408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2"/>
      <c r="AB1" s="222"/>
      <c r="AC1" s="222"/>
      <c r="AD1" s="222"/>
    </row>
    <row r="2" spans="1:30" ht="15" customHeight="1" x14ac:dyDescent="0.35">
      <c r="A2" s="767" t="s">
        <v>0</v>
      </c>
      <c r="B2" s="408"/>
      <c r="C2" s="927"/>
      <c r="D2" s="928"/>
      <c r="E2" s="408"/>
      <c r="F2" s="408"/>
      <c r="G2" s="408"/>
      <c r="H2" s="408"/>
      <c r="I2" s="408"/>
      <c r="J2" s="408"/>
      <c r="K2" s="408"/>
      <c r="L2" s="408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2"/>
      <c r="AB2" s="222"/>
      <c r="AC2" s="222"/>
      <c r="AD2" s="222"/>
    </row>
    <row r="3" spans="1:30" ht="15" customHeight="1" x14ac:dyDescent="0.35">
      <c r="A3" s="747"/>
      <c r="B3" s="748"/>
      <c r="C3" s="749"/>
      <c r="D3" s="749"/>
      <c r="E3" s="749"/>
      <c r="F3" s="749"/>
      <c r="G3" s="408"/>
      <c r="H3" s="408"/>
      <c r="I3" s="408"/>
      <c r="J3" s="408"/>
      <c r="K3" s="747"/>
      <c r="L3" s="408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2"/>
      <c r="AB3" s="222"/>
      <c r="AC3" s="222"/>
      <c r="AD3" s="222"/>
    </row>
    <row r="4" spans="1:30" ht="15" customHeight="1" x14ac:dyDescent="0.35">
      <c r="A4" s="536" t="s">
        <v>59</v>
      </c>
      <c r="B4" s="537"/>
      <c r="C4" s="537"/>
      <c r="D4" s="538" t="s">
        <v>60</v>
      </c>
      <c r="E4" s="539" t="s">
        <v>61</v>
      </c>
      <c r="F4" s="352"/>
      <c r="G4" s="656" t="s">
        <v>62</v>
      </c>
      <c r="H4" s="659"/>
      <c r="I4" s="659"/>
      <c r="J4" s="660"/>
      <c r="K4" s="511"/>
      <c r="L4" s="408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2"/>
      <c r="AB4" s="222"/>
      <c r="AC4" s="222"/>
      <c r="AD4" s="222"/>
    </row>
    <row r="5" spans="1:30" ht="15" customHeight="1" x14ac:dyDescent="0.35">
      <c r="A5" s="376" t="s">
        <v>54</v>
      </c>
      <c r="B5" s="377"/>
      <c r="C5" s="377"/>
      <c r="D5" s="378"/>
      <c r="E5" s="379"/>
      <c r="F5" s="754"/>
      <c r="G5" s="657" t="s">
        <v>2</v>
      </c>
      <c r="H5" s="680" t="s">
        <v>63</v>
      </c>
      <c r="I5" s="681" t="s">
        <v>64</v>
      </c>
      <c r="J5" s="682" t="s">
        <v>65</v>
      </c>
      <c r="K5" s="511"/>
      <c r="L5" s="408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2"/>
      <c r="AB5" s="222"/>
      <c r="AC5" s="222"/>
      <c r="AD5" s="222"/>
    </row>
    <row r="6" spans="1:30" ht="15" customHeight="1" x14ac:dyDescent="0.35">
      <c r="A6" s="368" t="s">
        <v>66</v>
      </c>
      <c r="B6" s="365"/>
      <c r="C6" s="365"/>
      <c r="D6" s="482">
        <f>I14*H28</f>
        <v>291.584</v>
      </c>
      <c r="E6" s="486">
        <f>I15*H28</f>
        <v>63.852000000000004</v>
      </c>
      <c r="F6" s="755"/>
      <c r="G6" s="526" t="s">
        <v>60</v>
      </c>
      <c r="H6" s="664">
        <v>857600</v>
      </c>
      <c r="I6" s="666">
        <v>0.15</v>
      </c>
      <c r="J6" s="675">
        <f>H6-(H6*I6)</f>
        <v>728960</v>
      </c>
      <c r="K6" s="511"/>
      <c r="L6" s="458"/>
      <c r="M6" s="225"/>
      <c r="N6" s="225"/>
      <c r="O6" s="225"/>
      <c r="P6" s="225"/>
      <c r="Q6" s="225"/>
      <c r="R6" s="225"/>
      <c r="S6" s="223"/>
      <c r="T6" s="223"/>
      <c r="U6" s="223"/>
      <c r="V6" s="223"/>
      <c r="W6" s="223"/>
      <c r="X6" s="223"/>
      <c r="Y6" s="223"/>
      <c r="Z6" s="223"/>
      <c r="AA6" s="222"/>
      <c r="AB6" s="222"/>
      <c r="AC6" s="222"/>
      <c r="AD6" s="222"/>
    </row>
    <row r="7" spans="1:30" ht="15" customHeight="1" x14ac:dyDescent="0.35">
      <c r="A7" s="351" t="s">
        <v>67</v>
      </c>
      <c r="B7" s="352"/>
      <c r="C7" s="352"/>
      <c r="D7" s="387">
        <v>400</v>
      </c>
      <c r="E7" s="388">
        <v>400</v>
      </c>
      <c r="F7" s="755"/>
      <c r="G7" s="676" t="s">
        <v>61</v>
      </c>
      <c r="H7" s="677">
        <v>187800</v>
      </c>
      <c r="I7" s="678">
        <v>0.15</v>
      </c>
      <c r="J7" s="679">
        <f>H7-(H7*I7)</f>
        <v>159630</v>
      </c>
      <c r="K7" s="511"/>
      <c r="L7" s="458"/>
      <c r="M7" s="225"/>
      <c r="N7" s="225"/>
      <c r="O7" s="225"/>
      <c r="P7" s="225"/>
      <c r="Q7" s="225"/>
      <c r="R7" s="225"/>
      <c r="S7" s="223"/>
      <c r="T7" s="223"/>
      <c r="U7" s="223"/>
      <c r="V7" s="223"/>
      <c r="W7" s="223"/>
      <c r="X7" s="223"/>
      <c r="Y7" s="223"/>
      <c r="Z7" s="223"/>
      <c r="AA7" s="222"/>
      <c r="AB7" s="222"/>
      <c r="AC7" s="222"/>
      <c r="AD7" s="222"/>
    </row>
    <row r="8" spans="1:30" ht="15" customHeight="1" x14ac:dyDescent="0.35">
      <c r="A8" s="362" t="s">
        <v>68</v>
      </c>
      <c r="B8" s="369"/>
      <c r="C8" s="369"/>
      <c r="D8" s="363">
        <v>2.9</v>
      </c>
      <c r="E8" s="360">
        <f>D8*(1+0.03)^2</f>
        <v>3.0766099999999996</v>
      </c>
      <c r="F8" s="756"/>
      <c r="G8" s="226"/>
      <c r="H8" s="226"/>
      <c r="I8" s="226"/>
      <c r="J8" s="458"/>
      <c r="K8" s="747"/>
      <c r="L8" s="458"/>
      <c r="M8" s="225"/>
      <c r="N8" s="225"/>
      <c r="O8" s="225"/>
      <c r="P8" s="225"/>
      <c r="Q8" s="225"/>
      <c r="R8" s="225"/>
      <c r="S8" s="223"/>
      <c r="T8" s="223"/>
      <c r="U8" s="223"/>
      <c r="V8" s="223"/>
      <c r="W8" s="223"/>
      <c r="X8" s="223"/>
      <c r="Y8" s="223"/>
      <c r="Z8" s="223"/>
      <c r="AA8" s="222"/>
      <c r="AB8" s="222"/>
      <c r="AC8" s="222"/>
      <c r="AD8" s="222"/>
    </row>
    <row r="9" spans="1:30" ht="15" customHeight="1" x14ac:dyDescent="0.35">
      <c r="A9" s="351" t="s">
        <v>69</v>
      </c>
      <c r="B9" s="352"/>
      <c r="C9" s="352"/>
      <c r="D9" s="390">
        <f>D7*D8</f>
        <v>1160</v>
      </c>
      <c r="E9" s="391">
        <f>E7*E8</f>
        <v>1230.6439999999998</v>
      </c>
      <c r="F9" s="757"/>
      <c r="G9" s="656" t="s">
        <v>70</v>
      </c>
      <c r="H9" s="659"/>
      <c r="I9" s="660"/>
      <c r="J9" s="458"/>
      <c r="K9" s="747"/>
      <c r="L9" s="458"/>
      <c r="M9" s="225"/>
      <c r="N9" s="225"/>
      <c r="O9" s="225"/>
      <c r="P9" s="225"/>
      <c r="Q9" s="225"/>
      <c r="R9" s="225"/>
      <c r="S9" s="223"/>
      <c r="T9" s="223"/>
      <c r="U9" s="223"/>
      <c r="V9" s="223"/>
      <c r="W9" s="223"/>
      <c r="X9" s="223"/>
      <c r="Y9" s="223"/>
      <c r="Z9" s="223"/>
      <c r="AA9" s="222"/>
      <c r="AB9" s="222"/>
      <c r="AC9" s="222"/>
      <c r="AD9" s="222"/>
    </row>
    <row r="10" spans="1:30" ht="15" customHeight="1" x14ac:dyDescent="0.35">
      <c r="A10" s="376" t="s">
        <v>71</v>
      </c>
      <c r="B10" s="377"/>
      <c r="C10" s="382"/>
      <c r="D10" s="383"/>
      <c r="E10" s="379"/>
      <c r="F10" s="754"/>
      <c r="G10" s="657" t="s">
        <v>2</v>
      </c>
      <c r="H10" s="658" t="s">
        <v>65</v>
      </c>
      <c r="I10" s="647"/>
      <c r="J10" s="511"/>
      <c r="K10" s="747"/>
      <c r="L10" s="745"/>
      <c r="M10" s="225"/>
      <c r="N10" s="225"/>
      <c r="O10" s="225"/>
      <c r="P10" s="225"/>
      <c r="Q10" s="225"/>
      <c r="R10" s="225"/>
      <c r="S10" s="223"/>
      <c r="T10" s="223"/>
      <c r="U10" s="223"/>
      <c r="V10" s="223"/>
      <c r="W10" s="223"/>
      <c r="X10" s="223"/>
      <c r="Y10" s="223"/>
      <c r="Z10" s="223"/>
      <c r="AA10" s="222"/>
      <c r="AB10" s="222"/>
      <c r="AC10" s="222"/>
      <c r="AD10" s="222"/>
    </row>
    <row r="11" spans="1:30" ht="15" customHeight="1" x14ac:dyDescent="0.35">
      <c r="A11" s="351" t="s">
        <v>66</v>
      </c>
      <c r="B11" s="350"/>
      <c r="C11" s="373"/>
      <c r="D11" s="483">
        <f>I17*H28</f>
        <v>291.584</v>
      </c>
      <c r="E11" s="486">
        <f>I18*H28</f>
        <v>63.852000000000004</v>
      </c>
      <c r="F11" s="755"/>
      <c r="G11" s="526" t="s">
        <v>60</v>
      </c>
      <c r="H11" s="665">
        <f>J6</f>
        <v>728960</v>
      </c>
      <c r="I11" s="520"/>
      <c r="J11" s="511"/>
      <c r="K11" s="747"/>
      <c r="L11" s="745"/>
      <c r="M11" s="225"/>
      <c r="N11" s="225"/>
      <c r="O11" s="225"/>
      <c r="P11" s="225"/>
      <c r="Q11" s="225"/>
      <c r="R11" s="225"/>
      <c r="S11" s="223"/>
      <c r="T11" s="223"/>
      <c r="U11" s="223"/>
      <c r="V11" s="223"/>
      <c r="W11" s="223"/>
      <c r="X11" s="223"/>
      <c r="Y11" s="223"/>
      <c r="Z11" s="223"/>
      <c r="AA11" s="222"/>
      <c r="AB11" s="222"/>
      <c r="AC11" s="222"/>
      <c r="AD11" s="222"/>
    </row>
    <row r="12" spans="1:30" ht="15" customHeight="1" x14ac:dyDescent="0.35">
      <c r="A12" s="374" t="s">
        <v>67</v>
      </c>
      <c r="B12" s="386"/>
      <c r="C12" s="392"/>
      <c r="D12" s="393">
        <v>600</v>
      </c>
      <c r="E12" s="388">
        <v>600</v>
      </c>
      <c r="F12" s="755"/>
      <c r="G12" s="669" t="s">
        <v>61</v>
      </c>
      <c r="H12" s="340">
        <f>J7</f>
        <v>159630</v>
      </c>
      <c r="I12" s="520"/>
      <c r="J12" s="511"/>
      <c r="K12" s="747"/>
      <c r="L12" s="745"/>
      <c r="M12" s="225"/>
      <c r="N12" s="225"/>
      <c r="O12" s="225"/>
      <c r="P12" s="225"/>
      <c r="Q12" s="225"/>
      <c r="R12" s="225"/>
      <c r="S12" s="223"/>
      <c r="T12" s="223"/>
      <c r="U12" s="223"/>
      <c r="V12" s="223"/>
      <c r="W12" s="223"/>
      <c r="X12" s="223"/>
      <c r="Y12" s="223"/>
      <c r="Z12" s="223"/>
      <c r="AA12" s="222"/>
      <c r="AB12" s="222"/>
      <c r="AC12" s="222"/>
      <c r="AD12" s="222"/>
    </row>
    <row r="13" spans="1:30" ht="15" customHeight="1" x14ac:dyDescent="0.35">
      <c r="A13" s="362" t="s">
        <v>68</v>
      </c>
      <c r="B13" s="369"/>
      <c r="C13" s="369"/>
      <c r="D13" s="363">
        <v>2.8</v>
      </c>
      <c r="E13" s="360">
        <f>D13*(1+0.03)^2</f>
        <v>2.9705199999999996</v>
      </c>
      <c r="F13" s="758"/>
      <c r="G13" s="460"/>
      <c r="H13" s="683" t="s">
        <v>72</v>
      </c>
      <c r="I13" s="684" t="s">
        <v>73</v>
      </c>
      <c r="J13" s="763"/>
      <c r="K13" s="747"/>
      <c r="L13" s="747"/>
      <c r="S13" s="223"/>
      <c r="T13" s="223"/>
      <c r="U13" s="223"/>
      <c r="V13" s="223"/>
      <c r="W13" s="223"/>
      <c r="X13" s="223"/>
      <c r="Y13" s="223"/>
      <c r="Z13" s="223"/>
      <c r="AA13" s="222"/>
      <c r="AB13" s="222"/>
      <c r="AC13" s="222"/>
      <c r="AD13" s="222"/>
    </row>
    <row r="14" spans="1:30" ht="15" customHeight="1" x14ac:dyDescent="0.35">
      <c r="A14" s="351" t="s">
        <v>69</v>
      </c>
      <c r="B14" s="352"/>
      <c r="C14" s="352"/>
      <c r="D14" s="390">
        <f>D12*D13</f>
        <v>1680</v>
      </c>
      <c r="E14" s="391">
        <f>E12*E13</f>
        <v>1782.3119999999997</v>
      </c>
      <c r="F14" s="757"/>
      <c r="G14" s="670" t="s">
        <v>60</v>
      </c>
      <c r="H14" s="668">
        <v>0.2</v>
      </c>
      <c r="I14" s="529">
        <f>(H11*H14)/D7</f>
        <v>364.48</v>
      </c>
      <c r="J14" s="764"/>
      <c r="K14" s="747"/>
      <c r="L14" s="747"/>
      <c r="S14" s="223"/>
      <c r="T14" s="223"/>
      <c r="U14" s="223"/>
      <c r="V14" s="223"/>
      <c r="W14" s="223"/>
      <c r="X14" s="223"/>
      <c r="Y14" s="223"/>
      <c r="Z14" s="223"/>
      <c r="AA14" s="222"/>
      <c r="AB14" s="222"/>
      <c r="AC14" s="222"/>
      <c r="AD14" s="222"/>
    </row>
    <row r="15" spans="1:30" ht="15" customHeight="1" x14ac:dyDescent="0.35">
      <c r="A15" s="376" t="s">
        <v>74</v>
      </c>
      <c r="B15" s="384"/>
      <c r="C15" s="385"/>
      <c r="D15" s="383"/>
      <c r="E15" s="379"/>
      <c r="F15" s="754"/>
      <c r="G15" s="669" t="s">
        <v>61</v>
      </c>
      <c r="H15" s="667">
        <v>0.2</v>
      </c>
      <c r="I15" s="672">
        <f>(H12*H15)/E7</f>
        <v>79.814999999999998</v>
      </c>
      <c r="J15" s="764"/>
      <c r="K15" s="747"/>
      <c r="L15" s="747"/>
      <c r="S15" s="223"/>
      <c r="T15" s="223"/>
      <c r="U15" s="223"/>
      <c r="V15" s="223"/>
      <c r="W15" s="223"/>
      <c r="X15" s="223"/>
      <c r="Y15" s="223"/>
      <c r="Z15" s="223"/>
      <c r="AA15" s="222"/>
      <c r="AB15" s="222"/>
      <c r="AC15" s="222"/>
      <c r="AD15" s="222"/>
    </row>
    <row r="16" spans="1:30" ht="15" customHeight="1" x14ac:dyDescent="0.35">
      <c r="A16" s="351" t="s">
        <v>66</v>
      </c>
      <c r="B16" s="353"/>
      <c r="C16" s="372"/>
      <c r="D16" s="484">
        <f>I20*H28</f>
        <v>223.54773333333333</v>
      </c>
      <c r="E16" s="487">
        <f>I21*H28</f>
        <v>48.953200000000002</v>
      </c>
      <c r="F16" s="755"/>
      <c r="G16" s="460"/>
      <c r="H16" s="648" t="s">
        <v>75</v>
      </c>
      <c r="I16" s="528" t="s">
        <v>76</v>
      </c>
      <c r="J16" s="763"/>
      <c r="K16" s="747"/>
      <c r="L16" s="747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2"/>
      <c r="AB16" s="222"/>
      <c r="AC16" s="222"/>
      <c r="AD16" s="222"/>
    </row>
    <row r="17" spans="1:30" ht="15" customHeight="1" x14ac:dyDescent="0.35">
      <c r="A17" s="362" t="s">
        <v>67</v>
      </c>
      <c r="B17" s="370"/>
      <c r="C17" s="371"/>
      <c r="D17" s="357">
        <v>900</v>
      </c>
      <c r="E17" s="358">
        <v>900</v>
      </c>
      <c r="F17" s="755"/>
      <c r="G17" s="670" t="s">
        <v>60</v>
      </c>
      <c r="H17" s="668">
        <v>0.3</v>
      </c>
      <c r="I17" s="671">
        <f>(H11*H17)/D12</f>
        <v>364.48</v>
      </c>
      <c r="J17" s="764"/>
      <c r="K17" s="747"/>
      <c r="L17" s="747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2"/>
      <c r="AB17" s="222"/>
      <c r="AC17" s="222"/>
      <c r="AD17" s="222"/>
    </row>
    <row r="18" spans="1:30" ht="15" customHeight="1" x14ac:dyDescent="0.35">
      <c r="A18" s="368" t="s">
        <v>68</v>
      </c>
      <c r="B18" s="364"/>
      <c r="C18" s="364"/>
      <c r="D18" s="363">
        <v>2.65</v>
      </c>
      <c r="E18" s="361">
        <f>D18*(1+0.03)^2</f>
        <v>2.8113849999999996</v>
      </c>
      <c r="F18" s="756"/>
      <c r="G18" s="669" t="s">
        <v>61</v>
      </c>
      <c r="H18" s="667">
        <v>0.3</v>
      </c>
      <c r="I18" s="672">
        <f>(H12*H18)/E12</f>
        <v>79.814999999999998</v>
      </c>
      <c r="J18" s="764"/>
      <c r="K18" s="747"/>
      <c r="L18" s="747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2"/>
      <c r="AB18" s="222"/>
      <c r="AC18" s="222"/>
      <c r="AD18" s="222"/>
    </row>
    <row r="19" spans="1:30" ht="15" customHeight="1" x14ac:dyDescent="0.35">
      <c r="A19" s="351" t="s">
        <v>69</v>
      </c>
      <c r="B19" s="354"/>
      <c r="C19" s="354"/>
      <c r="D19" s="390">
        <f>D17*D18</f>
        <v>2385</v>
      </c>
      <c r="E19" s="391">
        <f>E17*E18</f>
        <v>2530.2464999999997</v>
      </c>
      <c r="F19" s="757"/>
      <c r="G19" s="460"/>
      <c r="H19" s="648" t="s">
        <v>77</v>
      </c>
      <c r="I19" s="528" t="s">
        <v>78</v>
      </c>
      <c r="J19" s="763"/>
      <c r="K19" s="747"/>
      <c r="L19" s="747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2"/>
      <c r="AB19" s="222"/>
      <c r="AC19" s="222"/>
      <c r="AD19" s="222"/>
    </row>
    <row r="20" spans="1:30" ht="15" customHeight="1" x14ac:dyDescent="0.35">
      <c r="A20" s="376" t="s">
        <v>79</v>
      </c>
      <c r="B20" s="384"/>
      <c r="C20" s="385"/>
      <c r="D20" s="383"/>
      <c r="E20" s="379"/>
      <c r="F20" s="754"/>
      <c r="G20" s="670" t="s">
        <v>60</v>
      </c>
      <c r="H20" s="668">
        <v>0.34499999999999997</v>
      </c>
      <c r="I20" s="671">
        <f>(H11*H20)/D17</f>
        <v>279.43466666666666</v>
      </c>
      <c r="J20" s="764"/>
      <c r="K20" s="747"/>
      <c r="L20" s="747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2"/>
      <c r="AB20" s="222"/>
      <c r="AC20" s="222"/>
      <c r="AD20" s="222"/>
    </row>
    <row r="21" spans="1:30" ht="15" customHeight="1" x14ac:dyDescent="0.35">
      <c r="A21" s="351" t="s">
        <v>66</v>
      </c>
      <c r="B21" s="353"/>
      <c r="C21" s="372"/>
      <c r="D21" s="483">
        <f>I23*H28</f>
        <v>69.531569230769236</v>
      </c>
      <c r="E21" s="486">
        <f>I24*H28</f>
        <v>15.226246153846155</v>
      </c>
      <c r="F21" s="755"/>
      <c r="G21" s="669" t="s">
        <v>61</v>
      </c>
      <c r="H21" s="667">
        <v>0.34499999999999997</v>
      </c>
      <c r="I21" s="672">
        <f>(H12*H21)/E17</f>
        <v>61.191499999999998</v>
      </c>
      <c r="J21" s="764"/>
      <c r="K21" s="747"/>
      <c r="L21" s="747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2"/>
      <c r="AB21" s="222"/>
      <c r="AC21" s="222"/>
      <c r="AD21" s="222"/>
    </row>
    <row r="22" spans="1:30" ht="15" customHeight="1" x14ac:dyDescent="0.35">
      <c r="A22" s="374" t="s">
        <v>67</v>
      </c>
      <c r="B22" s="396"/>
      <c r="C22" s="397"/>
      <c r="D22" s="393">
        <v>1300</v>
      </c>
      <c r="E22" s="388">
        <v>1300</v>
      </c>
      <c r="F22" s="755"/>
      <c r="G22" s="460"/>
      <c r="H22" s="648" t="s">
        <v>80</v>
      </c>
      <c r="I22" s="528" t="s">
        <v>81</v>
      </c>
      <c r="J22" s="511"/>
      <c r="K22" s="747"/>
      <c r="L22" s="747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2"/>
      <c r="AB22" s="222"/>
      <c r="AC22" s="222"/>
      <c r="AD22" s="222"/>
    </row>
    <row r="23" spans="1:30" ht="15" customHeight="1" x14ac:dyDescent="0.35">
      <c r="A23" s="362" t="s">
        <v>68</v>
      </c>
      <c r="B23" s="370"/>
      <c r="C23" s="371"/>
      <c r="D23" s="359">
        <v>2.4</v>
      </c>
      <c r="E23" s="360">
        <f>D23*(1+0.03)^2</f>
        <v>2.54616</v>
      </c>
      <c r="F23" s="756"/>
      <c r="G23" s="669" t="s">
        <v>60</v>
      </c>
      <c r="H23" s="667">
        <v>0.155</v>
      </c>
      <c r="I23" s="673">
        <f>(H11*H23)/D22</f>
        <v>86.914461538461538</v>
      </c>
      <c r="J23" s="511"/>
      <c r="K23" s="747"/>
      <c r="L23" s="747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2"/>
      <c r="AB23" s="222"/>
      <c r="AC23" s="222"/>
      <c r="AD23" s="222"/>
    </row>
    <row r="24" spans="1:30" ht="15" customHeight="1" x14ac:dyDescent="0.35">
      <c r="A24" s="355" t="s">
        <v>69</v>
      </c>
      <c r="B24" s="356"/>
      <c r="C24" s="356"/>
      <c r="D24" s="398">
        <f>D22*D23</f>
        <v>3120</v>
      </c>
      <c r="E24" s="399">
        <f>+D24*(1+0.02)^2</f>
        <v>3246.0479999999998</v>
      </c>
      <c r="F24" s="757"/>
      <c r="G24" s="527" t="s">
        <v>61</v>
      </c>
      <c r="H24" s="674">
        <v>0.155</v>
      </c>
      <c r="I24" s="530">
        <f>(H12*H24)/E22</f>
        <v>19.032807692307692</v>
      </c>
      <c r="J24" s="511"/>
      <c r="K24" s="747"/>
      <c r="L24" s="747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2"/>
      <c r="AB24" s="222"/>
      <c r="AC24" s="222"/>
      <c r="AD24" s="222"/>
    </row>
    <row r="25" spans="1:30" ht="15" customHeight="1" x14ac:dyDescent="0.35">
      <c r="A25" s="460"/>
      <c r="B25" s="511"/>
      <c r="C25" s="511"/>
      <c r="D25" s="511"/>
      <c r="E25" s="511"/>
      <c r="F25" s="511"/>
      <c r="G25" s="511"/>
      <c r="H25" s="511"/>
      <c r="I25" s="511"/>
      <c r="J25" s="747"/>
      <c r="K25" s="747"/>
      <c r="L25" s="408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2"/>
      <c r="AB25" s="222"/>
      <c r="AC25" s="222"/>
      <c r="AD25" s="222"/>
    </row>
    <row r="26" spans="1:30" ht="15" customHeight="1" x14ac:dyDescent="0.35">
      <c r="A26" s="552" t="s">
        <v>82</v>
      </c>
      <c r="B26" s="553"/>
      <c r="C26" s="554"/>
      <c r="D26" s="555" t="s">
        <v>60</v>
      </c>
      <c r="E26" s="556" t="s">
        <v>61</v>
      </c>
      <c r="F26" s="352"/>
      <c r="G26" s="557" t="s">
        <v>83</v>
      </c>
      <c r="H26" s="560"/>
      <c r="I26" s="511"/>
      <c r="J26" s="747"/>
      <c r="K26" s="747"/>
      <c r="L26" s="408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2"/>
      <c r="AB26" s="222"/>
      <c r="AC26" s="222"/>
      <c r="AD26" s="222"/>
    </row>
    <row r="27" spans="1:30" ht="15" customHeight="1" x14ac:dyDescent="0.35">
      <c r="A27" s="389" t="s">
        <v>54</v>
      </c>
      <c r="B27" s="375"/>
      <c r="C27" s="375"/>
      <c r="D27" s="383"/>
      <c r="E27" s="379"/>
      <c r="F27" s="754"/>
      <c r="G27" s="521" t="s">
        <v>84</v>
      </c>
      <c r="H27" s="687" t="s">
        <v>85</v>
      </c>
      <c r="I27" s="511"/>
      <c r="J27" s="747"/>
      <c r="K27" s="747"/>
      <c r="L27" s="408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2"/>
      <c r="AB27" s="222"/>
      <c r="AC27" s="222"/>
      <c r="AD27" s="222"/>
    </row>
    <row r="28" spans="1:30" ht="15" customHeight="1" x14ac:dyDescent="0.35">
      <c r="A28" s="351" t="s">
        <v>66</v>
      </c>
      <c r="B28" s="352"/>
      <c r="C28" s="352"/>
      <c r="D28" s="485">
        <f>I14*H29</f>
        <v>72.896000000000001</v>
      </c>
      <c r="E28" s="488">
        <f>I15*H29</f>
        <v>15.963000000000001</v>
      </c>
      <c r="F28" s="755"/>
      <c r="G28" s="685" t="s">
        <v>86</v>
      </c>
      <c r="H28" s="686">
        <v>0.8</v>
      </c>
      <c r="I28" s="511"/>
      <c r="J28" s="747"/>
      <c r="K28" s="747"/>
      <c r="L28" s="747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2"/>
      <c r="AB28" s="222"/>
      <c r="AC28" s="222"/>
      <c r="AD28" s="222"/>
    </row>
    <row r="29" spans="1:30" ht="15" customHeight="1" x14ac:dyDescent="0.35">
      <c r="A29" s="374" t="s">
        <v>67</v>
      </c>
      <c r="B29" s="386"/>
      <c r="C29" s="386"/>
      <c r="D29" s="387">
        <v>400</v>
      </c>
      <c r="E29" s="425">
        <v>400</v>
      </c>
      <c r="F29" s="755"/>
      <c r="G29" s="462" t="s">
        <v>87</v>
      </c>
      <c r="H29" s="661">
        <v>0.2</v>
      </c>
      <c r="I29" s="511"/>
      <c r="J29" s="511"/>
      <c r="K29" s="747"/>
      <c r="L29" s="747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2"/>
      <c r="AB29" s="222"/>
      <c r="AC29" s="222"/>
      <c r="AD29" s="222"/>
    </row>
    <row r="30" spans="1:30" ht="15" customHeight="1" x14ac:dyDescent="0.35">
      <c r="A30" s="362" t="s">
        <v>68</v>
      </c>
      <c r="B30" s="369"/>
      <c r="C30" s="369"/>
      <c r="D30" s="402">
        <f>D31/D29</f>
        <v>0.93303125000000009</v>
      </c>
      <c r="E30" s="426">
        <f>E31/E29</f>
        <v>0.97072571250000006</v>
      </c>
      <c r="F30" s="759"/>
      <c r="G30" s="511"/>
      <c r="H30" s="511"/>
      <c r="I30" s="511"/>
      <c r="J30" s="511"/>
      <c r="K30" s="747"/>
      <c r="L30" s="747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2"/>
      <c r="AB30" s="222"/>
      <c r="AC30" s="222"/>
      <c r="AD30" s="222"/>
    </row>
    <row r="31" spans="1:30" ht="15" customHeight="1" x14ac:dyDescent="0.35">
      <c r="A31" s="351" t="s">
        <v>69</v>
      </c>
      <c r="B31" s="352"/>
      <c r="C31" s="352"/>
      <c r="D31" s="390">
        <f>H38</f>
        <v>373.21250000000003</v>
      </c>
      <c r="E31" s="427">
        <f>+D31*(1+0.02)^2</f>
        <v>388.29028500000004</v>
      </c>
      <c r="F31" s="757"/>
      <c r="G31" s="557" t="s">
        <v>88</v>
      </c>
      <c r="H31" s="558"/>
      <c r="I31" s="559"/>
      <c r="J31" s="408"/>
      <c r="K31" s="747"/>
      <c r="L31" s="747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2"/>
      <c r="AB31" s="222"/>
      <c r="AC31" s="222"/>
      <c r="AD31" s="222"/>
    </row>
    <row r="32" spans="1:30" ht="15" customHeight="1" x14ac:dyDescent="0.35">
      <c r="A32" s="376" t="s">
        <v>71</v>
      </c>
      <c r="B32" s="377"/>
      <c r="C32" s="377"/>
      <c r="D32" s="383"/>
      <c r="E32" s="379"/>
      <c r="F32" s="754"/>
      <c r="G32" s="457" t="s">
        <v>89</v>
      </c>
      <c r="H32" s="511"/>
      <c r="I32" s="520"/>
      <c r="J32" s="511"/>
      <c r="K32" s="747"/>
      <c r="L32" s="511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2"/>
      <c r="AB32" s="222"/>
      <c r="AC32" s="222"/>
      <c r="AD32" s="222"/>
    </row>
    <row r="33" spans="1:30" ht="15" customHeight="1" x14ac:dyDescent="0.35">
      <c r="A33" s="368" t="s">
        <v>66</v>
      </c>
      <c r="B33" s="365"/>
      <c r="C33" s="365"/>
      <c r="D33" s="482">
        <f>I17*H29</f>
        <v>72.896000000000001</v>
      </c>
      <c r="E33" s="489">
        <f>I18*H29</f>
        <v>15.963000000000001</v>
      </c>
      <c r="F33" s="755"/>
      <c r="G33" s="457" t="s">
        <v>90</v>
      </c>
      <c r="H33" s="511"/>
      <c r="I33" s="520"/>
      <c r="J33" s="511"/>
      <c r="K33" s="747"/>
      <c r="L33" s="511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2"/>
      <c r="AB33" s="222"/>
      <c r="AC33" s="222"/>
      <c r="AD33" s="222"/>
    </row>
    <row r="34" spans="1:30" ht="15" customHeight="1" x14ac:dyDescent="0.35">
      <c r="A34" s="351" t="s">
        <v>67</v>
      </c>
      <c r="B34" s="352"/>
      <c r="C34" s="352"/>
      <c r="D34" s="394">
        <v>600</v>
      </c>
      <c r="E34" s="424">
        <v>600</v>
      </c>
      <c r="F34" s="755"/>
      <c r="G34" s="521" t="s">
        <v>91</v>
      </c>
      <c r="H34" s="522">
        <v>52264</v>
      </c>
      <c r="I34" s="520"/>
      <c r="J34" s="511"/>
      <c r="K34" s="747"/>
      <c r="L34" s="511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2"/>
      <c r="AB34" s="222"/>
      <c r="AC34" s="222"/>
      <c r="AD34" s="222"/>
    </row>
    <row r="35" spans="1:30" ht="15" customHeight="1" x14ac:dyDescent="0.35">
      <c r="A35" s="362" t="s">
        <v>68</v>
      </c>
      <c r="B35" s="369"/>
      <c r="C35" s="369"/>
      <c r="D35" s="402">
        <f>D36/D34</f>
        <v>0.85542708333333339</v>
      </c>
      <c r="E35" s="426">
        <f>E36/E34</f>
        <v>0.88998633750000011</v>
      </c>
      <c r="F35" s="759"/>
      <c r="G35" s="521" t="s">
        <v>92</v>
      </c>
      <c r="H35" s="522">
        <v>29857</v>
      </c>
      <c r="I35" s="520"/>
      <c r="J35" s="511"/>
      <c r="K35" s="747"/>
      <c r="L35" s="511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2"/>
      <c r="AB35" s="222"/>
      <c r="AC35" s="222"/>
      <c r="AD35" s="222"/>
    </row>
    <row r="36" spans="1:30" ht="15" customHeight="1" x14ac:dyDescent="0.35">
      <c r="A36" s="351" t="s">
        <v>69</v>
      </c>
      <c r="B36" s="352"/>
      <c r="C36" s="352"/>
      <c r="D36" s="390">
        <f>H39</f>
        <v>513.25625000000002</v>
      </c>
      <c r="E36" s="427">
        <f>+D36*(1+0.02)^2</f>
        <v>533.99180250000006</v>
      </c>
      <c r="F36" s="757"/>
      <c r="G36" s="457"/>
      <c r="H36" s="511"/>
      <c r="I36" s="520"/>
      <c r="J36" s="511"/>
      <c r="K36" s="747"/>
      <c r="L36" s="511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2"/>
      <c r="AB36" s="222"/>
      <c r="AC36" s="222"/>
      <c r="AD36" s="222"/>
    </row>
    <row r="37" spans="1:30" ht="15" customHeight="1" x14ac:dyDescent="0.35">
      <c r="A37" s="376" t="s">
        <v>74</v>
      </c>
      <c r="B37" s="384"/>
      <c r="C37" s="384"/>
      <c r="D37" s="383"/>
      <c r="E37" s="379"/>
      <c r="F37" s="754"/>
      <c r="G37" s="694" t="s">
        <v>93</v>
      </c>
      <c r="H37" s="646" t="s">
        <v>94</v>
      </c>
      <c r="I37" s="647"/>
      <c r="J37" s="511"/>
      <c r="K37" s="747"/>
      <c r="L37" s="511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2"/>
      <c r="AB37" s="222"/>
      <c r="AC37" s="222"/>
      <c r="AD37" s="222"/>
    </row>
    <row r="38" spans="1:30" ht="15" customHeight="1" x14ac:dyDescent="0.35">
      <c r="A38" s="351" t="s">
        <v>66</v>
      </c>
      <c r="B38" s="353"/>
      <c r="C38" s="353"/>
      <c r="D38" s="485">
        <f>I20*H29</f>
        <v>55.886933333333332</v>
      </c>
      <c r="E38" s="488">
        <f>I21*H29</f>
        <v>12.238300000000001</v>
      </c>
      <c r="F38" s="755"/>
      <c r="G38" s="523" t="s">
        <v>54</v>
      </c>
      <c r="H38" s="650">
        <f>(H35*50%*30%)/12</f>
        <v>373.21250000000003</v>
      </c>
      <c r="I38" s="520"/>
      <c r="J38" s="511"/>
      <c r="K38" s="747"/>
      <c r="L38" s="511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2"/>
      <c r="AB38" s="222"/>
      <c r="AC38" s="222"/>
      <c r="AD38" s="222"/>
    </row>
    <row r="39" spans="1:30" ht="15" customHeight="1" x14ac:dyDescent="0.35">
      <c r="A39" s="374" t="s">
        <v>67</v>
      </c>
      <c r="B39" s="396"/>
      <c r="C39" s="396"/>
      <c r="D39" s="387">
        <v>900</v>
      </c>
      <c r="E39" s="425">
        <v>900</v>
      </c>
      <c r="F39" s="755"/>
      <c r="G39" s="652" t="s">
        <v>71</v>
      </c>
      <c r="H39" s="649">
        <f>(((H34+H35)/2)*50%*30%)/12</f>
        <v>513.25625000000002</v>
      </c>
      <c r="I39" s="520"/>
      <c r="J39" s="511"/>
      <c r="K39" s="747"/>
      <c r="L39" s="511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2"/>
      <c r="AB39" s="222"/>
      <c r="AC39" s="222"/>
      <c r="AD39" s="222"/>
    </row>
    <row r="40" spans="1:30" ht="15" customHeight="1" x14ac:dyDescent="0.35">
      <c r="A40" s="362" t="s">
        <v>68</v>
      </c>
      <c r="B40" s="370"/>
      <c r="C40" s="370"/>
      <c r="D40" s="402">
        <f>D41/D39</f>
        <v>0.72588888888888881</v>
      </c>
      <c r="E40" s="426">
        <f>E41/E39</f>
        <v>0.75521479999999996</v>
      </c>
      <c r="F40" s="759"/>
      <c r="G40" s="653" t="s">
        <v>74</v>
      </c>
      <c r="H40" s="651">
        <f>(H34*50%*30%)/12</f>
        <v>653.29999999999995</v>
      </c>
      <c r="I40" s="520"/>
      <c r="J40" s="511"/>
      <c r="K40" s="747"/>
      <c r="L40" s="511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2"/>
      <c r="AB40" s="222"/>
      <c r="AC40" s="222"/>
      <c r="AD40" s="222"/>
    </row>
    <row r="41" spans="1:30" ht="15" customHeight="1" x14ac:dyDescent="0.35">
      <c r="A41" s="351" t="s">
        <v>69</v>
      </c>
      <c r="B41" s="354"/>
      <c r="C41" s="354"/>
      <c r="D41" s="390">
        <f>H40</f>
        <v>653.29999999999995</v>
      </c>
      <c r="E41" s="427">
        <f>+D41*(1+0.02)^2</f>
        <v>679.69331999999997</v>
      </c>
      <c r="F41" s="757"/>
      <c r="G41" s="524" t="s">
        <v>79</v>
      </c>
      <c r="H41" s="654">
        <f>((H34*125%)*50%*30%)/12</f>
        <v>816.625</v>
      </c>
      <c r="I41" s="525"/>
      <c r="J41" s="511"/>
      <c r="K41" s="747"/>
      <c r="L41" s="511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2"/>
      <c r="AB41" s="222"/>
      <c r="AC41" s="222"/>
      <c r="AD41" s="222"/>
    </row>
    <row r="42" spans="1:30" ht="15" customHeight="1" x14ac:dyDescent="0.35">
      <c r="A42" s="376" t="s">
        <v>79</v>
      </c>
      <c r="B42" s="384"/>
      <c r="C42" s="384"/>
      <c r="D42" s="383"/>
      <c r="E42" s="379"/>
      <c r="F42" s="754"/>
      <c r="G42" s="511"/>
      <c r="H42" s="511"/>
      <c r="I42" s="511"/>
      <c r="J42" s="511"/>
      <c r="K42" s="747"/>
      <c r="L42" s="408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2"/>
      <c r="AB42" s="222"/>
      <c r="AC42" s="222"/>
      <c r="AD42" s="222"/>
    </row>
    <row r="43" spans="1:30" ht="15" customHeight="1" x14ac:dyDescent="0.35">
      <c r="A43" s="368" t="s">
        <v>66</v>
      </c>
      <c r="B43" s="367"/>
      <c r="C43" s="367"/>
      <c r="D43" s="482">
        <f>I23*H29</f>
        <v>17.382892307692309</v>
      </c>
      <c r="E43" s="489">
        <f>I24*H29</f>
        <v>3.8065615384615388</v>
      </c>
      <c r="F43" s="755"/>
      <c r="G43" s="747"/>
      <c r="H43" s="747"/>
      <c r="I43" s="747"/>
      <c r="J43" s="511"/>
      <c r="K43" s="747"/>
      <c r="L43" s="408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2"/>
      <c r="AB43" s="222"/>
      <c r="AC43" s="222"/>
      <c r="AD43" s="222"/>
    </row>
    <row r="44" spans="1:30" ht="15" customHeight="1" x14ac:dyDescent="0.35">
      <c r="A44" s="351" t="s">
        <v>67</v>
      </c>
      <c r="B44" s="354"/>
      <c r="C44" s="354"/>
      <c r="D44" s="394">
        <v>1300</v>
      </c>
      <c r="E44" s="424">
        <v>1300</v>
      </c>
      <c r="F44" s="755"/>
      <c r="G44" s="747"/>
      <c r="H44" s="747"/>
      <c r="I44" s="747"/>
      <c r="J44" s="747"/>
      <c r="K44" s="747"/>
      <c r="L44" s="408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2"/>
      <c r="AB44" s="222"/>
      <c r="AC44" s="222"/>
      <c r="AD44" s="222"/>
    </row>
    <row r="45" spans="1:30" ht="15" customHeight="1" x14ac:dyDescent="0.35">
      <c r="A45" s="362" t="s">
        <v>68</v>
      </c>
      <c r="B45" s="370"/>
      <c r="C45" s="370"/>
      <c r="D45" s="402">
        <f>D46/D44</f>
        <v>0.62817307692307689</v>
      </c>
      <c r="E45" s="426">
        <f>E46/E44</f>
        <v>0.65355126923076923</v>
      </c>
      <c r="F45" s="759"/>
      <c r="G45" s="747"/>
      <c r="H45" s="747"/>
      <c r="I45" s="747"/>
      <c r="J45" s="747"/>
      <c r="K45" s="747"/>
      <c r="L45" s="408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2"/>
      <c r="AB45" s="222"/>
      <c r="AC45" s="222"/>
      <c r="AD45" s="222"/>
    </row>
    <row r="46" spans="1:30" ht="15" customHeight="1" x14ac:dyDescent="0.35">
      <c r="A46" s="355" t="s">
        <v>69</v>
      </c>
      <c r="B46" s="356"/>
      <c r="C46" s="356"/>
      <c r="D46" s="398">
        <f>H41</f>
        <v>816.625</v>
      </c>
      <c r="E46" s="428">
        <f>+D46*(1+0.02)^2</f>
        <v>849.61665000000005</v>
      </c>
      <c r="F46" s="757"/>
      <c r="G46" s="747"/>
      <c r="H46" s="747"/>
      <c r="I46" s="747"/>
      <c r="J46" s="747"/>
      <c r="K46" s="747"/>
      <c r="L46" s="408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2"/>
      <c r="AB46" s="222"/>
      <c r="AC46" s="222"/>
      <c r="AD46" s="222"/>
    </row>
    <row r="47" spans="1:30" ht="15" customHeight="1" x14ac:dyDescent="0.35">
      <c r="A47" s="460"/>
      <c r="B47" s="511"/>
      <c r="C47" s="511"/>
      <c r="D47" s="511"/>
      <c r="E47" s="511"/>
      <c r="F47" s="511"/>
      <c r="G47" s="511"/>
      <c r="H47" s="511"/>
      <c r="I47" s="511"/>
      <c r="J47" s="408"/>
      <c r="K47" s="747"/>
      <c r="L47" s="408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2"/>
      <c r="AB47" s="222"/>
      <c r="AC47" s="222"/>
      <c r="AD47" s="222"/>
    </row>
    <row r="48" spans="1:30" ht="15" customHeight="1" x14ac:dyDescent="0.35">
      <c r="A48" s="536" t="s">
        <v>95</v>
      </c>
      <c r="B48" s="537"/>
      <c r="C48" s="537"/>
      <c r="D48" s="555" t="s">
        <v>60</v>
      </c>
      <c r="E48" s="556" t="s">
        <v>61</v>
      </c>
      <c r="F48" s="352"/>
      <c r="G48" s="656" t="s">
        <v>96</v>
      </c>
      <c r="H48" s="660"/>
      <c r="I48" s="511"/>
      <c r="J48" s="408"/>
      <c r="K48" s="747"/>
      <c r="L48" s="408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2"/>
      <c r="AB48" s="222"/>
      <c r="AC48" s="222"/>
      <c r="AD48" s="222"/>
    </row>
    <row r="49" spans="1:30" ht="15" customHeight="1" x14ac:dyDescent="0.35">
      <c r="A49" s="376" t="s">
        <v>97</v>
      </c>
      <c r="B49" s="349"/>
      <c r="C49" s="349"/>
      <c r="D49" s="400"/>
      <c r="E49" s="401"/>
      <c r="F49" s="754"/>
      <c r="G49" s="655" t="s">
        <v>84</v>
      </c>
      <c r="H49" s="662" t="s">
        <v>85</v>
      </c>
      <c r="I49" s="511"/>
      <c r="J49" s="408"/>
      <c r="K49" s="747"/>
      <c r="L49" s="408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2"/>
      <c r="AB49" s="222"/>
      <c r="AC49" s="222"/>
      <c r="AD49" s="222"/>
    </row>
    <row r="50" spans="1:30" ht="15" customHeight="1" x14ac:dyDescent="0.35">
      <c r="A50" s="368" t="s">
        <v>98</v>
      </c>
      <c r="B50" s="366"/>
      <c r="C50" s="366"/>
      <c r="D50" s="403">
        <v>187950</v>
      </c>
      <c r="E50" s="395">
        <v>106850</v>
      </c>
      <c r="F50" s="755"/>
      <c r="G50" s="457" t="s">
        <v>99</v>
      </c>
      <c r="H50" s="663">
        <v>0.4</v>
      </c>
      <c r="I50" s="511"/>
      <c r="J50" s="408"/>
      <c r="K50" s="747"/>
      <c r="L50" s="408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2"/>
      <c r="AB50" s="222"/>
      <c r="AC50" s="222"/>
      <c r="AD50" s="222"/>
    </row>
    <row r="51" spans="1:30" ht="15" customHeight="1" x14ac:dyDescent="0.35">
      <c r="A51" s="355" t="s">
        <v>100</v>
      </c>
      <c r="B51" s="375"/>
      <c r="C51" s="375"/>
      <c r="D51" s="404">
        <v>38</v>
      </c>
      <c r="E51" s="429">
        <f>D51*(1+0.02)^2</f>
        <v>39.535200000000003</v>
      </c>
      <c r="F51" s="759"/>
      <c r="G51" s="516" t="s">
        <v>101</v>
      </c>
      <c r="H51" s="661">
        <v>0.6</v>
      </c>
      <c r="I51" s="511"/>
      <c r="J51" s="408"/>
      <c r="K51" s="747"/>
      <c r="L51" s="408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2"/>
      <c r="AB51" s="222"/>
      <c r="AC51" s="222"/>
      <c r="AD51" s="222"/>
    </row>
    <row r="52" spans="1:30" ht="15" customHeight="1" x14ac:dyDescent="0.35">
      <c r="A52" s="351"/>
      <c r="B52" s="352"/>
      <c r="C52" s="352"/>
      <c r="D52" s="757"/>
      <c r="E52" s="757"/>
      <c r="F52" s="757"/>
      <c r="G52" s="511"/>
      <c r="H52" s="511"/>
      <c r="I52" s="511"/>
      <c r="J52" s="511"/>
      <c r="K52" s="747"/>
      <c r="L52" s="408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2"/>
      <c r="AB52" s="222"/>
      <c r="AC52" s="222"/>
      <c r="AD52" s="222"/>
    </row>
    <row r="53" spans="1:30" ht="15" customHeight="1" x14ac:dyDescent="0.35">
      <c r="A53" s="460"/>
      <c r="B53" s="511"/>
      <c r="C53" s="511"/>
      <c r="D53" s="511"/>
      <c r="E53" s="511"/>
      <c r="F53" s="511"/>
      <c r="G53" s="511"/>
      <c r="H53" s="511"/>
      <c r="I53" s="511"/>
      <c r="J53" s="511"/>
      <c r="K53" s="747"/>
      <c r="L53" s="408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2"/>
      <c r="AB53" s="222"/>
      <c r="AC53" s="222"/>
      <c r="AD53" s="222"/>
    </row>
    <row r="54" spans="1:30" ht="15" customHeight="1" x14ac:dyDescent="0.35">
      <c r="A54" s="536" t="s">
        <v>102</v>
      </c>
      <c r="B54" s="537"/>
      <c r="C54" s="537"/>
      <c r="D54" s="555" t="s">
        <v>60</v>
      </c>
      <c r="E54" s="556" t="s">
        <v>61</v>
      </c>
      <c r="F54" s="352"/>
      <c r="G54" s="582" t="s">
        <v>103</v>
      </c>
      <c r="H54" s="583" t="s">
        <v>60</v>
      </c>
      <c r="I54" s="584" t="s">
        <v>61</v>
      </c>
      <c r="J54" s="511"/>
      <c r="K54" s="408"/>
      <c r="L54" s="408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2"/>
      <c r="AB54" s="222"/>
      <c r="AC54" s="222"/>
      <c r="AD54" s="222"/>
    </row>
    <row r="55" spans="1:30" ht="15" customHeight="1" x14ac:dyDescent="0.35">
      <c r="A55" s="376" t="s">
        <v>104</v>
      </c>
      <c r="B55" s="349"/>
      <c r="C55" s="349"/>
      <c r="D55" s="400"/>
      <c r="E55" s="401"/>
      <c r="F55" s="754"/>
      <c r="G55" s="655" t="s">
        <v>105</v>
      </c>
      <c r="H55" s="695"/>
      <c r="I55" s="696"/>
      <c r="J55" s="511"/>
      <c r="K55" s="408"/>
      <c r="L55" s="408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2"/>
      <c r="AB55" s="222"/>
      <c r="AC55" s="222"/>
      <c r="AD55" s="222"/>
    </row>
    <row r="56" spans="1:30" ht="15" customHeight="1" x14ac:dyDescent="0.35">
      <c r="A56" s="368" t="s">
        <v>106</v>
      </c>
      <c r="B56" s="366"/>
      <c r="C56" s="366"/>
      <c r="D56" s="380">
        <v>93650</v>
      </c>
      <c r="E56" s="381">
        <v>0</v>
      </c>
      <c r="F56" s="755"/>
      <c r="G56" s="697" t="s">
        <v>107</v>
      </c>
      <c r="H56" s="698">
        <v>0.65</v>
      </c>
      <c r="I56" s="699">
        <v>0.65</v>
      </c>
      <c r="J56" s="511"/>
      <c r="K56" s="408"/>
      <c r="L56" s="408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2"/>
      <c r="AB56" s="222"/>
      <c r="AC56" s="222"/>
      <c r="AD56" s="222"/>
    </row>
    <row r="57" spans="1:30" ht="15" customHeight="1" x14ac:dyDescent="0.35">
      <c r="A57" s="355" t="s">
        <v>100</v>
      </c>
      <c r="B57" s="375"/>
      <c r="C57" s="375"/>
      <c r="D57" s="406">
        <v>28</v>
      </c>
      <c r="E57" s="407">
        <f>D57*(1+0.02)^2</f>
        <v>29.1312</v>
      </c>
      <c r="F57" s="759"/>
      <c r="G57" s="655" t="s">
        <v>32</v>
      </c>
      <c r="H57" s="695"/>
      <c r="I57" s="696"/>
      <c r="J57" s="511"/>
      <c r="K57" s="408"/>
      <c r="L57" s="408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2"/>
      <c r="AB57" s="222"/>
      <c r="AC57" s="222"/>
      <c r="AD57" s="222"/>
    </row>
    <row r="58" spans="1:30" ht="15" customHeight="1" x14ac:dyDescent="0.35">
      <c r="A58" s="351"/>
      <c r="B58" s="352"/>
      <c r="C58" s="352"/>
      <c r="D58" s="757"/>
      <c r="E58" s="757"/>
      <c r="F58" s="757"/>
      <c r="G58" s="697" t="s">
        <v>108</v>
      </c>
      <c r="H58" s="700">
        <v>45000</v>
      </c>
      <c r="I58" s="701">
        <v>45000</v>
      </c>
      <c r="J58" s="511"/>
      <c r="K58" s="408"/>
      <c r="L58" s="408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2"/>
      <c r="AB58" s="222"/>
      <c r="AC58" s="222"/>
      <c r="AD58" s="222"/>
    </row>
    <row r="59" spans="1:30" ht="15" customHeight="1" x14ac:dyDescent="0.35">
      <c r="A59" s="460"/>
      <c r="B59" s="511"/>
      <c r="C59" s="511"/>
      <c r="D59" s="511"/>
      <c r="E59" s="511"/>
      <c r="F59" s="511"/>
      <c r="G59" s="702" t="s">
        <v>109</v>
      </c>
      <c r="H59" s="703">
        <f>H58*(D28+D33+D38+D43)</f>
        <v>9857782.153846154</v>
      </c>
      <c r="I59" s="704">
        <f>I58*(E28+E33+E38+E43)</f>
        <v>2158688.7692307695</v>
      </c>
      <c r="J59" s="511"/>
      <c r="K59" s="408"/>
      <c r="L59" s="408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2"/>
      <c r="AB59" s="222"/>
      <c r="AC59" s="222"/>
      <c r="AD59" s="222"/>
    </row>
    <row r="60" spans="1:30" ht="15" customHeight="1" x14ac:dyDescent="0.35">
      <c r="A60" s="536" t="s">
        <v>110</v>
      </c>
      <c r="B60" s="537"/>
      <c r="C60" s="537"/>
      <c r="D60" s="555" t="s">
        <v>60</v>
      </c>
      <c r="E60" s="556" t="s">
        <v>61</v>
      </c>
      <c r="F60" s="352"/>
      <c r="G60" s="697" t="s">
        <v>111</v>
      </c>
      <c r="H60" s="705">
        <f>H59/'Phase I Financial'!C69</f>
        <v>2.1297911717446386E-2</v>
      </c>
      <c r="I60" s="706">
        <f>I59/'Phase II Financial'!C78</f>
        <v>1.0307153262991378E-2</v>
      </c>
      <c r="J60" s="511"/>
      <c r="K60" s="408"/>
      <c r="L60" s="408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2"/>
      <c r="AB60" s="222"/>
      <c r="AC60" s="222"/>
      <c r="AD60" s="222"/>
    </row>
    <row r="61" spans="1:30" ht="15" customHeight="1" x14ac:dyDescent="0.35">
      <c r="A61" s="376" t="s">
        <v>112</v>
      </c>
      <c r="B61" s="349"/>
      <c r="C61" s="349"/>
      <c r="D61" s="400"/>
      <c r="E61" s="401"/>
      <c r="F61" s="754"/>
      <c r="G61" s="655" t="s">
        <v>33</v>
      </c>
      <c r="H61" s="695"/>
      <c r="I61" s="696"/>
      <c r="J61" s="511"/>
      <c r="K61" s="408"/>
      <c r="L61" s="408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2"/>
      <c r="AB61" s="222"/>
      <c r="AC61" s="222"/>
      <c r="AD61" s="222"/>
    </row>
    <row r="62" spans="1:30" ht="15" customHeight="1" x14ac:dyDescent="0.35">
      <c r="A62" s="368" t="s">
        <v>113</v>
      </c>
      <c r="B62" s="366"/>
      <c r="C62" s="366"/>
      <c r="D62" s="380">
        <v>141350</v>
      </c>
      <c r="E62" s="381">
        <v>0</v>
      </c>
      <c r="F62" s="755"/>
      <c r="G62" s="697" t="s">
        <v>114</v>
      </c>
      <c r="H62" s="707">
        <v>3000000</v>
      </c>
      <c r="I62" s="708">
        <v>3000000</v>
      </c>
      <c r="J62" s="511"/>
      <c r="K62" s="408"/>
      <c r="L62" s="408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2"/>
      <c r="AB62" s="222"/>
      <c r="AC62" s="222"/>
      <c r="AD62" s="222"/>
    </row>
    <row r="63" spans="1:30" ht="15" customHeight="1" x14ac:dyDescent="0.35">
      <c r="A63" s="355" t="s">
        <v>100</v>
      </c>
      <c r="B63" s="375"/>
      <c r="C63" s="375"/>
      <c r="D63" s="406">
        <v>25</v>
      </c>
      <c r="E63" s="407">
        <f>D63*(1+0.02)^2</f>
        <v>26.009999999999998</v>
      </c>
      <c r="F63" s="759"/>
      <c r="G63" s="702" t="s">
        <v>115</v>
      </c>
      <c r="H63" s="709">
        <f>H62*0.39</f>
        <v>1170000</v>
      </c>
      <c r="I63" s="710">
        <f>I62*0.39</f>
        <v>1170000</v>
      </c>
      <c r="J63" s="511"/>
      <c r="K63" s="408"/>
      <c r="L63" s="408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2"/>
      <c r="AB63" s="222"/>
      <c r="AC63" s="222"/>
      <c r="AD63" s="222"/>
    </row>
    <row r="64" spans="1:30" ht="15" customHeight="1" x14ac:dyDescent="0.35">
      <c r="A64" s="355" t="s">
        <v>116</v>
      </c>
      <c r="B64" s="375"/>
      <c r="C64" s="375"/>
      <c r="D64" s="430">
        <f>D62/150</f>
        <v>942.33333333333337</v>
      </c>
      <c r="E64" s="431">
        <f>E62/150</f>
        <v>0</v>
      </c>
      <c r="F64" s="757"/>
      <c r="G64" s="697" t="s">
        <v>111</v>
      </c>
      <c r="H64" s="711">
        <f>H63/'Phase I Financial'!C69</f>
        <v>2.5278055774127593E-3</v>
      </c>
      <c r="I64" s="712">
        <f>I63/'Phase II Financial'!C78</f>
        <v>5.5864326018600476E-3</v>
      </c>
      <c r="J64" s="511"/>
      <c r="K64" s="408"/>
      <c r="L64" s="408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2"/>
      <c r="AB64" s="222"/>
      <c r="AC64" s="222"/>
      <c r="AD64" s="222"/>
    </row>
    <row r="65" spans="1:30" ht="15" customHeight="1" x14ac:dyDescent="0.35">
      <c r="A65" s="460"/>
      <c r="B65" s="511"/>
      <c r="C65" s="511"/>
      <c r="D65" s="511"/>
      <c r="E65" s="511"/>
      <c r="F65" s="511"/>
      <c r="G65" s="655" t="s">
        <v>34</v>
      </c>
      <c r="H65" s="695"/>
      <c r="I65" s="696"/>
      <c r="J65" s="511"/>
      <c r="K65" s="408"/>
      <c r="L65" s="408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2"/>
      <c r="AB65" s="222"/>
      <c r="AC65" s="222"/>
      <c r="AD65" s="222"/>
    </row>
    <row r="66" spans="1:30" ht="15" customHeight="1" x14ac:dyDescent="0.35">
      <c r="A66" s="460"/>
      <c r="B66" s="511"/>
      <c r="C66" s="511"/>
      <c r="D66" s="511"/>
      <c r="E66" s="511"/>
      <c r="F66" s="511"/>
      <c r="G66" s="713" t="s">
        <v>117</v>
      </c>
      <c r="H66" s="714">
        <v>0</v>
      </c>
      <c r="I66" s="715">
        <f>46300*'Phase II Financial'!B57</f>
        <v>9723000</v>
      </c>
      <c r="J66" s="511"/>
      <c r="K66" s="408"/>
      <c r="L66" s="408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2"/>
      <c r="AB66" s="222"/>
      <c r="AC66" s="222"/>
      <c r="AD66" s="222"/>
    </row>
    <row r="67" spans="1:30" ht="15" customHeight="1" x14ac:dyDescent="0.35">
      <c r="A67" s="536" t="s">
        <v>118</v>
      </c>
      <c r="B67" s="537"/>
      <c r="C67" s="537"/>
      <c r="D67" s="555" t="s">
        <v>60</v>
      </c>
      <c r="E67" s="556" t="s">
        <v>61</v>
      </c>
      <c r="F67" s="760"/>
      <c r="G67" s="697" t="s">
        <v>111</v>
      </c>
      <c r="H67" s="716">
        <v>0</v>
      </c>
      <c r="I67" s="712">
        <f>I66/'Phase II Financial'!C78</f>
        <v>4.6424687340072858E-2</v>
      </c>
      <c r="J67" s="511"/>
      <c r="K67" s="408"/>
      <c r="L67" s="408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2"/>
      <c r="AB67" s="222"/>
      <c r="AC67" s="222"/>
      <c r="AD67" s="222"/>
    </row>
    <row r="68" spans="1:30" ht="15" customHeight="1" x14ac:dyDescent="0.35">
      <c r="A68" s="376" t="s">
        <v>119</v>
      </c>
      <c r="B68" s="349"/>
      <c r="C68" s="349"/>
      <c r="D68" s="400"/>
      <c r="E68" s="401"/>
      <c r="F68" s="760"/>
      <c r="G68" s="655" t="s">
        <v>120</v>
      </c>
      <c r="H68" s="717"/>
      <c r="I68" s="718"/>
      <c r="J68" s="511"/>
      <c r="K68" s="408"/>
      <c r="L68" s="408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2"/>
      <c r="AB68" s="222"/>
      <c r="AC68" s="222"/>
      <c r="AD68" s="222"/>
    </row>
    <row r="69" spans="1:30" ht="15" customHeight="1" x14ac:dyDescent="0.35">
      <c r="A69" s="351" t="s">
        <v>121</v>
      </c>
      <c r="B69" s="352"/>
      <c r="C69" s="352"/>
      <c r="D69" s="394">
        <v>0</v>
      </c>
      <c r="E69" s="395">
        <v>47750</v>
      </c>
      <c r="F69" s="760"/>
      <c r="G69" s="713" t="s">
        <v>122</v>
      </c>
      <c r="H69" s="714">
        <v>0</v>
      </c>
      <c r="I69" s="715">
        <f>E77*'Phase II Financial'!B57*50%</f>
        <v>4331250</v>
      </c>
      <c r="J69" s="511"/>
      <c r="K69" s="408"/>
      <c r="L69" s="408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2"/>
      <c r="AB69" s="222"/>
      <c r="AC69" s="222"/>
      <c r="AD69" s="222"/>
    </row>
    <row r="70" spans="1:30" ht="15" customHeight="1" x14ac:dyDescent="0.35">
      <c r="A70" s="374" t="s">
        <v>123</v>
      </c>
      <c r="B70" s="386"/>
      <c r="C70" s="386"/>
      <c r="D70" s="387">
        <v>425</v>
      </c>
      <c r="E70" s="388">
        <v>425</v>
      </c>
      <c r="F70" s="760"/>
      <c r="G70" s="697" t="s">
        <v>111</v>
      </c>
      <c r="H70" s="719">
        <v>0</v>
      </c>
      <c r="I70" s="706">
        <f>I69/'Phase II Financial'!C78</f>
        <v>2.0680543766501139E-2</v>
      </c>
      <c r="J70" s="511"/>
      <c r="K70" s="408"/>
      <c r="L70" s="408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2"/>
      <c r="AB70" s="222"/>
      <c r="AC70" s="222"/>
      <c r="AD70" s="222"/>
    </row>
    <row r="71" spans="1:30" ht="15" customHeight="1" x14ac:dyDescent="0.35">
      <c r="A71" s="374" t="s">
        <v>124</v>
      </c>
      <c r="B71" s="386"/>
      <c r="C71" s="386"/>
      <c r="D71" s="505">
        <f>D69/D70</f>
        <v>0</v>
      </c>
      <c r="E71" s="506">
        <f>E69/E70</f>
        <v>112.35294117647059</v>
      </c>
      <c r="F71" s="754"/>
      <c r="G71" s="655" t="s">
        <v>36</v>
      </c>
      <c r="H71" s="695"/>
      <c r="I71" s="696"/>
      <c r="J71" s="511"/>
      <c r="K71" s="408"/>
      <c r="L71" s="408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2"/>
      <c r="AB71" s="222"/>
      <c r="AC71" s="222"/>
      <c r="AD71" s="222"/>
    </row>
    <row r="72" spans="1:30" ht="15" customHeight="1" x14ac:dyDescent="0.35">
      <c r="A72" s="374" t="s">
        <v>125</v>
      </c>
      <c r="B72" s="386"/>
      <c r="C72" s="386"/>
      <c r="D72" s="432">
        <v>200</v>
      </c>
      <c r="E72" s="433">
        <v>200</v>
      </c>
      <c r="F72" s="755"/>
      <c r="G72" s="720" t="s">
        <v>126</v>
      </c>
      <c r="H72" s="721">
        <f>1-H56-H60-H64</f>
        <v>0.32617428270514082</v>
      </c>
      <c r="I72" s="722">
        <f>1-I56-I60-I64-I67-I70</f>
        <v>0.26700118302857456</v>
      </c>
      <c r="J72" s="511"/>
      <c r="K72" s="408"/>
      <c r="L72" s="408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2"/>
      <c r="AB72" s="222"/>
      <c r="AC72" s="222"/>
      <c r="AD72" s="222"/>
    </row>
    <row r="73" spans="1:30" ht="15" customHeight="1" x14ac:dyDescent="0.35">
      <c r="A73" s="374" t="s">
        <v>127</v>
      </c>
      <c r="B73" s="386"/>
      <c r="C73" s="386"/>
      <c r="D73" s="434">
        <v>0.67700000000000005</v>
      </c>
      <c r="E73" s="435">
        <v>0.67700000000000005</v>
      </c>
      <c r="F73" s="755"/>
      <c r="G73" s="511"/>
      <c r="H73" s="511"/>
      <c r="I73" s="511"/>
      <c r="J73" s="511"/>
      <c r="K73" s="408"/>
      <c r="L73" s="408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2"/>
      <c r="AB73" s="222"/>
      <c r="AC73" s="222"/>
      <c r="AD73" s="222"/>
    </row>
    <row r="74" spans="1:30" ht="15" customHeight="1" x14ac:dyDescent="0.35">
      <c r="A74" s="436" t="s">
        <v>128</v>
      </c>
      <c r="B74" s="437"/>
      <c r="C74" s="437"/>
      <c r="D74" s="405">
        <f>D72*D73</f>
        <v>135.4</v>
      </c>
      <c r="E74" s="429">
        <f>E72*E73</f>
        <v>135.4</v>
      </c>
      <c r="F74" s="755"/>
      <c r="G74" s="511"/>
      <c r="H74" s="511"/>
      <c r="I74" s="511"/>
      <c r="J74" s="511"/>
      <c r="K74" s="408"/>
      <c r="L74" s="408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2"/>
      <c r="AB74" s="222"/>
      <c r="AC74" s="222"/>
      <c r="AD74" s="222"/>
    </row>
    <row r="75" spans="1:30" ht="15" customHeight="1" x14ac:dyDescent="0.35">
      <c r="A75" s="351" t="s">
        <v>129</v>
      </c>
      <c r="B75" s="352"/>
      <c r="C75" s="352"/>
      <c r="D75" s="390">
        <f>D71*D74</f>
        <v>0</v>
      </c>
      <c r="E75" s="391">
        <f>E71*E74</f>
        <v>15212.588235294119</v>
      </c>
      <c r="F75" s="761"/>
      <c r="G75" s="747"/>
      <c r="H75" s="747"/>
      <c r="I75" s="747"/>
      <c r="J75" s="511"/>
      <c r="K75" s="408"/>
      <c r="L75" s="408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2"/>
      <c r="AB75" s="222"/>
      <c r="AC75" s="222"/>
      <c r="AD75" s="222"/>
    </row>
    <row r="76" spans="1:30" ht="15" customHeight="1" x14ac:dyDescent="0.35">
      <c r="A76" s="376" t="s">
        <v>130</v>
      </c>
      <c r="B76" s="638"/>
      <c r="C76" s="638"/>
      <c r="D76" s="639"/>
      <c r="E76" s="640"/>
      <c r="F76" s="762"/>
      <c r="G76" s="747"/>
      <c r="H76" s="747"/>
      <c r="I76" s="747"/>
      <c r="J76" s="511"/>
      <c r="K76" s="408"/>
      <c r="L76" s="408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2"/>
      <c r="AB76" s="222"/>
      <c r="AC76" s="222"/>
      <c r="AD76" s="222"/>
    </row>
    <row r="77" spans="1:30" ht="15" customHeight="1" x14ac:dyDescent="0.35">
      <c r="A77" s="641" t="s">
        <v>131</v>
      </c>
      <c r="B77" s="349"/>
      <c r="C77" s="349"/>
      <c r="D77" s="642">
        <v>0</v>
      </c>
      <c r="E77" s="643">
        <v>41250</v>
      </c>
      <c r="F77" s="759"/>
      <c r="G77" s="511"/>
      <c r="H77" s="511"/>
      <c r="I77" s="511"/>
      <c r="J77" s="511"/>
      <c r="K77" s="408"/>
      <c r="L77" s="408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2"/>
      <c r="AB77" s="222"/>
      <c r="AC77" s="222"/>
      <c r="AD77" s="222"/>
    </row>
    <row r="78" spans="1:30" ht="15" customHeight="1" x14ac:dyDescent="0.35">
      <c r="A78" s="511"/>
      <c r="B78" s="511"/>
      <c r="C78" s="511"/>
      <c r="D78" s="511"/>
      <c r="E78" s="511"/>
      <c r="F78" s="757"/>
      <c r="G78" s="582" t="s">
        <v>1</v>
      </c>
      <c r="H78" s="905" t="s">
        <v>52</v>
      </c>
      <c r="I78" s="906"/>
      <c r="J78" s="511"/>
      <c r="K78" s="408"/>
      <c r="L78" s="408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2"/>
      <c r="AB78" s="222"/>
      <c r="AC78" s="222"/>
      <c r="AD78" s="222"/>
    </row>
    <row r="79" spans="1:30" ht="15" customHeight="1" x14ac:dyDescent="0.35">
      <c r="A79" s="557" t="s">
        <v>132</v>
      </c>
      <c r="B79" s="558"/>
      <c r="C79" s="559"/>
      <c r="D79" s="765"/>
      <c r="E79" s="766"/>
      <c r="F79" s="757"/>
      <c r="G79" s="600"/>
      <c r="H79" s="602" t="s">
        <v>4</v>
      </c>
      <c r="I79" s="603" t="s">
        <v>5</v>
      </c>
      <c r="J79" s="511"/>
      <c r="K79" s="408"/>
      <c r="L79" s="408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2"/>
      <c r="AB79" s="222"/>
      <c r="AC79" s="222"/>
      <c r="AD79" s="222"/>
    </row>
    <row r="80" spans="1:30" ht="15" customHeight="1" x14ac:dyDescent="0.35">
      <c r="A80" s="444" t="s">
        <v>133</v>
      </c>
      <c r="B80" s="438"/>
      <c r="C80" s="445"/>
      <c r="D80" s="511"/>
      <c r="E80" s="511"/>
      <c r="F80" s="757"/>
      <c r="G80" s="585" t="s">
        <v>7</v>
      </c>
      <c r="H80" s="586" t="s">
        <v>134</v>
      </c>
      <c r="I80" s="587" t="s">
        <v>135</v>
      </c>
      <c r="J80" s="511"/>
      <c r="K80" s="408"/>
      <c r="L80" s="408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2"/>
      <c r="AB80" s="222"/>
      <c r="AC80" s="222"/>
      <c r="AD80" s="222"/>
    </row>
    <row r="81" spans="1:34" ht="15" customHeight="1" x14ac:dyDescent="0.35">
      <c r="A81" s="446" t="s">
        <v>136</v>
      </c>
      <c r="B81" s="439">
        <v>1</v>
      </c>
      <c r="C81" s="447" t="s">
        <v>137</v>
      </c>
      <c r="D81" s="511"/>
      <c r="E81" s="511"/>
      <c r="F81" s="511"/>
      <c r="G81" s="690" t="s">
        <v>9</v>
      </c>
      <c r="H81" s="688" t="s">
        <v>138</v>
      </c>
      <c r="I81" s="691" t="s">
        <v>139</v>
      </c>
      <c r="J81" s="511"/>
      <c r="K81" s="408"/>
      <c r="L81" s="408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2"/>
      <c r="AB81" s="222"/>
      <c r="AC81" s="222"/>
      <c r="AD81" s="222"/>
    </row>
    <row r="82" spans="1:34" ht="15" customHeight="1" x14ac:dyDescent="0.35">
      <c r="A82" s="446" t="s">
        <v>140</v>
      </c>
      <c r="B82" s="440">
        <v>1.25</v>
      </c>
      <c r="C82" s="447" t="s">
        <v>137</v>
      </c>
      <c r="D82" s="511"/>
      <c r="E82" s="511"/>
      <c r="F82" s="511"/>
      <c r="G82" s="692" t="s">
        <v>11</v>
      </c>
      <c r="H82" s="689" t="s">
        <v>141</v>
      </c>
      <c r="I82" s="693" t="s">
        <v>142</v>
      </c>
      <c r="J82" s="511"/>
      <c r="K82" s="408"/>
      <c r="L82" s="408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2"/>
      <c r="AB82" s="222"/>
      <c r="AC82" s="222"/>
      <c r="AD82" s="222"/>
    </row>
    <row r="83" spans="1:34" ht="15" customHeight="1" x14ac:dyDescent="0.35">
      <c r="A83" s="446" t="s">
        <v>143</v>
      </c>
      <c r="B83" s="439">
        <v>2</v>
      </c>
      <c r="C83" s="447" t="s">
        <v>137</v>
      </c>
      <c r="D83" s="511"/>
      <c r="E83" s="511"/>
      <c r="F83" s="511"/>
      <c r="G83" s="588" t="s">
        <v>13</v>
      </c>
      <c r="H83" s="589" t="s">
        <v>144</v>
      </c>
      <c r="I83" s="590" t="s">
        <v>145</v>
      </c>
      <c r="J83" s="511"/>
      <c r="K83" s="408"/>
      <c r="L83" s="408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2"/>
      <c r="AB83" s="222"/>
      <c r="AC83" s="222"/>
      <c r="AD83" s="222"/>
    </row>
    <row r="84" spans="1:34" ht="15" customHeight="1" x14ac:dyDescent="0.35">
      <c r="A84" s="446" t="s">
        <v>146</v>
      </c>
      <c r="B84" s="440">
        <f>1/100</f>
        <v>0.01</v>
      </c>
      <c r="C84" s="447" t="s">
        <v>147</v>
      </c>
      <c r="D84" s="511"/>
      <c r="E84" s="511"/>
      <c r="F84" s="511"/>
      <c r="G84" s="511"/>
      <c r="H84" s="511"/>
      <c r="I84" s="511"/>
      <c r="J84" s="511"/>
      <c r="K84" s="408"/>
      <c r="L84" s="408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2"/>
      <c r="AB84" s="222"/>
      <c r="AC84" s="222"/>
      <c r="AD84" s="222"/>
    </row>
    <row r="85" spans="1:34" ht="15" customHeight="1" x14ac:dyDescent="0.35">
      <c r="A85" s="446" t="s">
        <v>148</v>
      </c>
      <c r="B85" s="441">
        <f>1/300</f>
        <v>3.3333333333333335E-3</v>
      </c>
      <c r="C85" s="447" t="s">
        <v>147</v>
      </c>
      <c r="D85" s="511"/>
      <c r="E85" s="511"/>
      <c r="F85" s="511"/>
      <c r="G85" s="511"/>
      <c r="H85" s="511"/>
      <c r="I85" s="511"/>
      <c r="J85" s="511"/>
      <c r="K85" s="408"/>
      <c r="L85" s="408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2"/>
      <c r="AB85" s="222"/>
      <c r="AC85" s="222"/>
      <c r="AD85" s="222"/>
    </row>
    <row r="86" spans="1:34" ht="15" customHeight="1" x14ac:dyDescent="0.35">
      <c r="A86" s="446" t="s">
        <v>149</v>
      </c>
      <c r="B86" s="442">
        <f>1/3</f>
        <v>0.33333333333333331</v>
      </c>
      <c r="C86" s="448" t="s">
        <v>150</v>
      </c>
      <c r="D86" s="511"/>
      <c r="E86" s="511"/>
      <c r="F86" s="511"/>
      <c r="G86" s="511"/>
      <c r="H86" s="511"/>
      <c r="I86" s="511"/>
      <c r="J86" s="511"/>
      <c r="K86" s="408"/>
      <c r="L86" s="408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2"/>
      <c r="AB86" s="222"/>
      <c r="AC86" s="222"/>
      <c r="AD86" s="222"/>
    </row>
    <row r="87" spans="1:34" ht="15" customHeight="1" x14ac:dyDescent="0.35">
      <c r="A87" s="446" t="s">
        <v>43</v>
      </c>
      <c r="B87" s="441">
        <f>1/300</f>
        <v>3.3333333333333335E-3</v>
      </c>
      <c r="C87" s="447" t="s">
        <v>147</v>
      </c>
      <c r="D87" s="511"/>
      <c r="E87" s="511"/>
      <c r="F87" s="511"/>
      <c r="G87" s="511"/>
      <c r="H87" s="511"/>
      <c r="I87" s="511"/>
      <c r="J87" s="511"/>
      <c r="K87" s="408"/>
      <c r="L87" s="408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2"/>
      <c r="AB87" s="222"/>
      <c r="AC87" s="222"/>
      <c r="AD87" s="222"/>
    </row>
    <row r="88" spans="1:34" ht="15" customHeight="1" x14ac:dyDescent="0.35">
      <c r="A88" s="446" t="s">
        <v>151</v>
      </c>
      <c r="B88" s="439">
        <f>1/2</f>
        <v>0.5</v>
      </c>
      <c r="C88" s="447" t="s">
        <v>152</v>
      </c>
      <c r="D88" s="511"/>
      <c r="E88" s="511"/>
      <c r="F88" s="511"/>
      <c r="G88" s="511"/>
      <c r="H88" s="511"/>
      <c r="I88" s="511"/>
      <c r="J88" s="511"/>
      <c r="K88" s="408"/>
      <c r="L88" s="408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2"/>
      <c r="AB88" s="222"/>
      <c r="AC88" s="222"/>
      <c r="AD88" s="222"/>
    </row>
    <row r="89" spans="1:34" ht="15" customHeight="1" x14ac:dyDescent="0.35">
      <c r="A89" s="449"/>
      <c r="B89" s="443"/>
      <c r="C89" s="450"/>
      <c r="D89" s="511"/>
      <c r="E89" s="511"/>
      <c r="F89" s="511"/>
      <c r="G89" s="511"/>
      <c r="H89" s="511"/>
      <c r="I89" s="511"/>
      <c r="J89" s="511"/>
      <c r="K89" s="408"/>
      <c r="L89" s="408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2"/>
      <c r="AB89" s="222"/>
      <c r="AC89" s="222"/>
      <c r="AD89" s="222"/>
    </row>
    <row r="90" spans="1:34" ht="15" customHeight="1" x14ac:dyDescent="0.35">
      <c r="A90" s="451" t="s">
        <v>153</v>
      </c>
      <c r="B90" s="443"/>
      <c r="C90" s="452">
        <v>325</v>
      </c>
      <c r="D90" s="511"/>
      <c r="E90" s="511"/>
      <c r="F90" s="511"/>
      <c r="G90" s="511"/>
      <c r="H90" s="511"/>
      <c r="I90" s="511"/>
      <c r="J90" s="511"/>
      <c r="K90" s="408"/>
      <c r="L90" s="408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2"/>
      <c r="AB90" s="222"/>
      <c r="AC90" s="222"/>
      <c r="AD90" s="222"/>
    </row>
    <row r="91" spans="1:34" ht="15" customHeight="1" x14ac:dyDescent="0.35">
      <c r="A91" s="451" t="s">
        <v>154</v>
      </c>
      <c r="B91" s="443"/>
      <c r="C91" s="480">
        <v>22500</v>
      </c>
      <c r="D91" s="511"/>
      <c r="E91" s="511"/>
      <c r="F91" s="511"/>
      <c r="G91" s="511"/>
      <c r="H91" s="511"/>
      <c r="I91" s="511"/>
      <c r="J91" s="511"/>
      <c r="K91" s="408"/>
      <c r="L91" s="408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2"/>
      <c r="AB91" s="222"/>
      <c r="AC91" s="222"/>
      <c r="AD91" s="222"/>
    </row>
    <row r="92" spans="1:34" ht="15" customHeight="1" x14ac:dyDescent="0.35">
      <c r="A92" s="453" t="s">
        <v>155</v>
      </c>
      <c r="B92" s="454">
        <v>150</v>
      </c>
      <c r="C92" s="455"/>
      <c r="D92" s="511"/>
      <c r="E92" s="511"/>
      <c r="F92" s="511"/>
      <c r="G92" s="511"/>
      <c r="H92" s="511"/>
      <c r="I92" s="511"/>
      <c r="J92" s="511"/>
      <c r="K92" s="408"/>
      <c r="L92" s="408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2"/>
      <c r="AB92" s="222"/>
      <c r="AC92" s="222"/>
      <c r="AD92" s="222"/>
    </row>
    <row r="93" spans="1:34" ht="15" customHeight="1" x14ac:dyDescent="0.35">
      <c r="A93" s="747"/>
      <c r="B93" s="747"/>
      <c r="C93" s="747"/>
      <c r="D93" s="747"/>
      <c r="E93" s="747"/>
      <c r="F93" s="511"/>
      <c r="G93" s="511"/>
      <c r="H93" s="511"/>
      <c r="I93" s="511"/>
      <c r="J93" s="511"/>
      <c r="K93" s="408"/>
      <c r="L93" s="408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2"/>
      <c r="AB93" s="222"/>
      <c r="AC93" s="222"/>
      <c r="AD93" s="222"/>
    </row>
    <row r="94" spans="1:34" ht="15" customHeight="1" x14ac:dyDescent="0.35">
      <c r="A94" s="747"/>
      <c r="B94" s="747"/>
      <c r="C94" s="747"/>
      <c r="D94" s="747"/>
      <c r="E94" s="747"/>
      <c r="F94" s="511"/>
      <c r="G94" s="511"/>
      <c r="H94" s="511"/>
      <c r="I94" s="511"/>
      <c r="J94" s="511"/>
      <c r="K94" s="408"/>
      <c r="L94" s="408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2"/>
      <c r="AB94" s="222"/>
      <c r="AC94" s="222"/>
      <c r="AD94" s="222"/>
    </row>
    <row r="95" spans="1:34" ht="15" customHeight="1" x14ac:dyDescent="0.35">
      <c r="A95" s="747"/>
      <c r="B95" s="747"/>
      <c r="C95" s="747"/>
      <c r="D95" s="747"/>
      <c r="E95" s="747"/>
      <c r="F95" s="511"/>
      <c r="G95" s="750"/>
      <c r="H95" s="751"/>
      <c r="I95" s="408"/>
      <c r="J95" s="408"/>
      <c r="K95" s="408"/>
      <c r="L95" s="408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2"/>
      <c r="AB95" s="222"/>
      <c r="AC95" s="222"/>
      <c r="AD95" s="222"/>
      <c r="AE95" s="222"/>
      <c r="AF95" s="222"/>
      <c r="AG95" s="222"/>
    </row>
    <row r="96" spans="1:34" ht="15" customHeight="1" x14ac:dyDescent="0.35">
      <c r="A96" s="747"/>
      <c r="B96" s="747"/>
      <c r="C96" s="747"/>
      <c r="D96" s="747"/>
      <c r="E96" s="747"/>
      <c r="F96" s="747"/>
      <c r="G96" s="747"/>
      <c r="H96" s="747"/>
      <c r="I96" s="747"/>
      <c r="J96" s="747"/>
      <c r="K96" s="408"/>
      <c r="L96" s="408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2"/>
      <c r="AB96" s="222"/>
      <c r="AC96" s="222"/>
      <c r="AD96" s="222"/>
      <c r="AE96" s="222"/>
      <c r="AF96" s="222"/>
      <c r="AG96" s="222"/>
      <c r="AH96" s="222"/>
    </row>
    <row r="97" spans="1:34" ht="15" customHeight="1" x14ac:dyDescent="0.35">
      <c r="A97" s="747"/>
      <c r="B97" s="747"/>
      <c r="C97" s="747"/>
      <c r="D97" s="747"/>
      <c r="E97" s="747"/>
      <c r="F97" s="747"/>
      <c r="G97" s="747"/>
      <c r="H97" s="747"/>
      <c r="I97" s="747"/>
      <c r="J97" s="747"/>
      <c r="K97" s="408"/>
      <c r="L97" s="408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2"/>
      <c r="AB97" s="222"/>
      <c r="AC97" s="222"/>
      <c r="AD97" s="222"/>
      <c r="AE97" s="222"/>
      <c r="AF97" s="222"/>
      <c r="AG97" s="222"/>
      <c r="AH97" s="222"/>
    </row>
    <row r="98" spans="1:34" ht="15" customHeight="1" x14ac:dyDescent="0.35">
      <c r="A98" s="750"/>
      <c r="B98" s="443"/>
      <c r="C98" s="752"/>
      <c r="D98" s="408"/>
      <c r="E98" s="408"/>
      <c r="F98" s="408"/>
      <c r="G98" s="408"/>
      <c r="H98" s="408"/>
      <c r="I98" s="408"/>
      <c r="J98" s="408"/>
      <c r="K98" s="408"/>
      <c r="L98" s="408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2"/>
      <c r="AB98" s="222"/>
      <c r="AC98" s="222"/>
      <c r="AD98" s="222"/>
      <c r="AE98" s="222"/>
      <c r="AF98" s="222"/>
      <c r="AG98" s="222"/>
      <c r="AH98" s="222"/>
    </row>
    <row r="99" spans="1:34" ht="15" customHeight="1" x14ac:dyDescent="0.35">
      <c r="A99" s="750"/>
      <c r="B99" s="443"/>
      <c r="C99" s="753"/>
      <c r="D99" s="408"/>
      <c r="E99" s="408"/>
      <c r="F99" s="408"/>
      <c r="G99" s="408"/>
      <c r="H99" s="408"/>
      <c r="I99" s="408"/>
      <c r="J99" s="408"/>
      <c r="K99" s="408"/>
      <c r="L99" s="408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2"/>
      <c r="AB99" s="222"/>
      <c r="AC99" s="222"/>
      <c r="AD99" s="222"/>
      <c r="AE99" s="222"/>
      <c r="AF99" s="222"/>
      <c r="AG99" s="222"/>
      <c r="AH99" s="222"/>
    </row>
    <row r="100" spans="1:34" ht="15" customHeight="1" x14ac:dyDescent="0.35">
      <c r="A100" s="750"/>
      <c r="B100" s="443"/>
      <c r="C100" s="753"/>
      <c r="D100" s="408"/>
      <c r="E100" s="408"/>
      <c r="F100" s="408"/>
      <c r="G100" s="408"/>
      <c r="H100" s="408"/>
      <c r="I100" s="408"/>
      <c r="J100" s="408"/>
      <c r="K100" s="408"/>
      <c r="L100" s="408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2"/>
      <c r="AB100" s="222"/>
      <c r="AC100" s="222"/>
      <c r="AD100" s="222"/>
      <c r="AE100" s="222"/>
      <c r="AF100" s="222"/>
      <c r="AG100" s="222"/>
      <c r="AH100" s="222"/>
    </row>
    <row r="101" spans="1:34" ht="15" customHeight="1" x14ac:dyDescent="0.35">
      <c r="A101" s="223"/>
      <c r="B101" s="295"/>
      <c r="C101" s="297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2"/>
      <c r="AB101" s="222"/>
      <c r="AC101" s="222"/>
      <c r="AD101" s="222"/>
      <c r="AE101" s="222"/>
      <c r="AF101" s="222"/>
      <c r="AG101" s="222"/>
      <c r="AH101" s="222"/>
    </row>
    <row r="102" spans="1:34" ht="15" customHeight="1" x14ac:dyDescent="0.35">
      <c r="A102" s="298"/>
      <c r="B102" s="299"/>
      <c r="C102" s="297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2"/>
      <c r="AB102" s="222"/>
      <c r="AC102" s="222"/>
      <c r="AD102" s="222"/>
      <c r="AE102" s="222"/>
      <c r="AF102" s="222"/>
      <c r="AG102" s="222"/>
      <c r="AH102" s="222"/>
    </row>
    <row r="103" spans="1:34" ht="15" customHeight="1" x14ac:dyDescent="0.35">
      <c r="A103" s="224"/>
      <c r="B103" s="295"/>
      <c r="C103" s="296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2"/>
      <c r="AB103" s="222"/>
      <c r="AC103" s="222"/>
      <c r="AD103" s="222"/>
      <c r="AE103" s="222"/>
      <c r="AF103" s="222"/>
      <c r="AG103" s="222"/>
      <c r="AH103" s="222"/>
    </row>
    <row r="104" spans="1:34" ht="15" customHeight="1" x14ac:dyDescent="0.35">
      <c r="A104" s="224"/>
      <c r="B104" s="295"/>
      <c r="C104" s="296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2"/>
      <c r="AB104" s="222"/>
      <c r="AC104" s="222"/>
      <c r="AD104" s="222"/>
      <c r="AE104" s="222"/>
      <c r="AF104" s="222"/>
      <c r="AG104" s="222"/>
      <c r="AH104" s="222"/>
    </row>
    <row r="105" spans="1:34" ht="15" customHeight="1" x14ac:dyDescent="0.35">
      <c r="A105" s="223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2"/>
      <c r="AB105" s="222"/>
      <c r="AC105" s="222"/>
      <c r="AD105" s="222"/>
      <c r="AE105" s="222"/>
      <c r="AF105" s="222"/>
      <c r="AG105" s="222"/>
      <c r="AH105" s="222"/>
    </row>
    <row r="106" spans="1:34" ht="15" customHeight="1" x14ac:dyDescent="0.35">
      <c r="A106" s="223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2"/>
      <c r="AB106" s="222"/>
      <c r="AC106" s="222"/>
      <c r="AD106" s="222"/>
      <c r="AE106" s="222"/>
      <c r="AF106" s="222"/>
      <c r="AG106" s="222"/>
      <c r="AH106" s="222"/>
    </row>
    <row r="107" spans="1:34" ht="15" customHeight="1" x14ac:dyDescent="0.35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2"/>
      <c r="AB107" s="222"/>
      <c r="AC107" s="222"/>
      <c r="AD107" s="222"/>
      <c r="AE107" s="222"/>
      <c r="AF107" s="222"/>
      <c r="AG107" s="222"/>
      <c r="AH107" s="222"/>
    </row>
    <row r="108" spans="1:34" ht="15" customHeight="1" x14ac:dyDescent="0.35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2"/>
      <c r="AB108" s="222"/>
      <c r="AC108" s="222"/>
      <c r="AD108" s="222"/>
      <c r="AE108" s="222"/>
      <c r="AF108" s="222"/>
      <c r="AG108" s="222"/>
      <c r="AH108" s="222"/>
    </row>
    <row r="109" spans="1:34" ht="15" customHeight="1" x14ac:dyDescent="0.35">
      <c r="A109" s="223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2"/>
      <c r="AB109" s="222"/>
      <c r="AC109" s="222"/>
      <c r="AD109" s="222"/>
      <c r="AE109" s="222"/>
      <c r="AF109" s="222"/>
      <c r="AG109" s="222"/>
      <c r="AH109" s="222"/>
    </row>
    <row r="110" spans="1:34" ht="15" customHeight="1" x14ac:dyDescent="0.35">
      <c r="A110" s="223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2"/>
      <c r="AB110" s="222"/>
      <c r="AC110" s="222"/>
      <c r="AD110" s="222"/>
      <c r="AE110" s="222"/>
      <c r="AF110" s="222"/>
      <c r="AG110" s="222"/>
      <c r="AH110" s="222"/>
    </row>
    <row r="111" spans="1:34" ht="15" customHeight="1" x14ac:dyDescent="0.35">
      <c r="A111" s="223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2"/>
      <c r="AB111" s="222"/>
      <c r="AC111" s="222"/>
      <c r="AD111" s="222"/>
      <c r="AE111" s="222"/>
      <c r="AF111" s="222"/>
      <c r="AG111" s="222"/>
      <c r="AH111" s="222"/>
    </row>
    <row r="112" spans="1:34" ht="15" customHeight="1" x14ac:dyDescent="0.35">
      <c r="A112" s="223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2"/>
      <c r="AB112" s="222"/>
      <c r="AC112" s="222"/>
      <c r="AD112" s="222"/>
      <c r="AE112" s="222"/>
      <c r="AF112" s="222"/>
      <c r="AG112" s="222"/>
      <c r="AH112" s="222"/>
    </row>
    <row r="113" spans="1:34" ht="15" customHeight="1" x14ac:dyDescent="0.35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2"/>
      <c r="AB113" s="222"/>
      <c r="AC113" s="222"/>
      <c r="AD113" s="222"/>
      <c r="AE113" s="222"/>
      <c r="AF113" s="222"/>
      <c r="AG113" s="222"/>
      <c r="AH113" s="222"/>
    </row>
    <row r="114" spans="1:34" ht="15" customHeight="1" x14ac:dyDescent="0.35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2"/>
      <c r="AB114" s="222"/>
      <c r="AC114" s="222"/>
      <c r="AD114" s="222"/>
      <c r="AE114" s="222"/>
      <c r="AF114" s="222"/>
      <c r="AG114" s="222"/>
      <c r="AH114" s="222"/>
    </row>
    <row r="115" spans="1:34" ht="15" customHeight="1" x14ac:dyDescent="0.35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2"/>
      <c r="AB115" s="222"/>
      <c r="AC115" s="222"/>
      <c r="AD115" s="222"/>
      <c r="AE115" s="222"/>
      <c r="AF115" s="222"/>
      <c r="AG115" s="222"/>
      <c r="AH115" s="222"/>
    </row>
    <row r="116" spans="1:34" ht="15" customHeight="1" x14ac:dyDescent="0.35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2"/>
      <c r="AB116" s="222"/>
      <c r="AC116" s="222"/>
      <c r="AD116" s="222"/>
      <c r="AE116" s="222"/>
      <c r="AF116" s="222"/>
      <c r="AG116" s="222"/>
      <c r="AH116" s="222"/>
    </row>
    <row r="117" spans="1:34" ht="15" customHeight="1" x14ac:dyDescent="0.35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2"/>
      <c r="AB117" s="222"/>
      <c r="AC117" s="222"/>
      <c r="AD117" s="222"/>
      <c r="AE117" s="222"/>
      <c r="AF117" s="222"/>
      <c r="AG117" s="222"/>
      <c r="AH117" s="222"/>
    </row>
    <row r="118" spans="1:34" ht="15" customHeight="1" x14ac:dyDescent="0.35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2"/>
      <c r="AB118" s="222"/>
      <c r="AC118" s="222"/>
      <c r="AD118" s="222"/>
      <c r="AE118" s="222"/>
      <c r="AF118" s="222"/>
      <c r="AG118" s="222"/>
      <c r="AH118" s="222"/>
    </row>
    <row r="119" spans="1:34" ht="15" customHeight="1" x14ac:dyDescent="0.35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2"/>
      <c r="AB119" s="222"/>
      <c r="AC119" s="222"/>
      <c r="AD119" s="222"/>
      <c r="AE119" s="222"/>
      <c r="AF119" s="222"/>
      <c r="AG119" s="222"/>
      <c r="AH119" s="222"/>
    </row>
    <row r="120" spans="1:34" ht="15" customHeight="1" x14ac:dyDescent="0.35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2"/>
      <c r="AB120" s="222"/>
      <c r="AC120" s="222"/>
      <c r="AD120" s="222"/>
      <c r="AE120" s="222"/>
      <c r="AF120" s="222"/>
      <c r="AG120" s="222"/>
      <c r="AH120" s="222"/>
    </row>
    <row r="121" spans="1:34" ht="15" customHeight="1" x14ac:dyDescent="0.35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2"/>
      <c r="AB121" s="222"/>
      <c r="AC121" s="222"/>
      <c r="AD121" s="222"/>
      <c r="AE121" s="222"/>
      <c r="AF121" s="222"/>
      <c r="AG121" s="222"/>
      <c r="AH121" s="222"/>
    </row>
    <row r="122" spans="1:34" ht="12" customHeight="1" x14ac:dyDescent="0.35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2"/>
      <c r="AB122" s="222"/>
      <c r="AC122" s="222"/>
      <c r="AD122" s="222"/>
      <c r="AE122" s="222"/>
      <c r="AF122" s="222"/>
      <c r="AG122" s="222"/>
      <c r="AH122" s="222"/>
    </row>
    <row r="123" spans="1:34" ht="12" customHeight="1" x14ac:dyDescent="0.35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2"/>
      <c r="AB123" s="222"/>
      <c r="AC123" s="222"/>
      <c r="AD123" s="222"/>
      <c r="AE123" s="222"/>
      <c r="AF123" s="222"/>
      <c r="AG123" s="222"/>
      <c r="AH123" s="222"/>
    </row>
    <row r="124" spans="1:34" ht="12" customHeight="1" x14ac:dyDescent="0.35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</row>
    <row r="125" spans="1:34" ht="12" customHeight="1" x14ac:dyDescent="0.35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</row>
    <row r="126" spans="1:34" ht="12" customHeight="1" x14ac:dyDescent="0.35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</row>
    <row r="127" spans="1:34" ht="12" customHeight="1" x14ac:dyDescent="0.35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</row>
    <row r="128" spans="1:34" ht="12" customHeight="1" x14ac:dyDescent="0.35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</row>
    <row r="129" spans="1:26" ht="12" customHeight="1" x14ac:dyDescent="0.35">
      <c r="A129" s="223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</row>
    <row r="130" spans="1:26" ht="12" customHeight="1" x14ac:dyDescent="0.35">
      <c r="A130" s="223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</row>
    <row r="131" spans="1:26" ht="12" customHeight="1" x14ac:dyDescent="0.35">
      <c r="A131" s="223"/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</row>
    <row r="132" spans="1:26" ht="12" customHeight="1" x14ac:dyDescent="0.35">
      <c r="A132" s="223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</row>
    <row r="133" spans="1:26" ht="12" customHeight="1" x14ac:dyDescent="0.35">
      <c r="A133" s="223"/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</row>
    <row r="134" spans="1:26" ht="12" customHeight="1" x14ac:dyDescent="0.35">
      <c r="A134" s="223"/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</row>
    <row r="135" spans="1:26" ht="12" customHeight="1" x14ac:dyDescent="0.35">
      <c r="A135" s="223"/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</row>
    <row r="136" spans="1:26" ht="12" customHeight="1" x14ac:dyDescent="0.35">
      <c r="A136" s="223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</row>
    <row r="137" spans="1:26" ht="12" customHeight="1" x14ac:dyDescent="0.35">
      <c r="A137" s="223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</row>
    <row r="138" spans="1:26" ht="12" customHeight="1" x14ac:dyDescent="0.35">
      <c r="A138" s="223"/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</row>
    <row r="139" spans="1:26" ht="12" customHeight="1" x14ac:dyDescent="0.35">
      <c r="A139" s="223"/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</row>
    <row r="140" spans="1:26" ht="12" customHeight="1" x14ac:dyDescent="0.35">
      <c r="A140" s="223"/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</row>
    <row r="141" spans="1:26" ht="12" customHeight="1" x14ac:dyDescent="0.35">
      <c r="A141" s="223"/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</row>
    <row r="142" spans="1:26" ht="12" customHeight="1" x14ac:dyDescent="0.35">
      <c r="A142" s="223"/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</row>
    <row r="143" spans="1:26" ht="12" customHeight="1" x14ac:dyDescent="0.35">
      <c r="A143" s="223"/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</row>
    <row r="144" spans="1:26" ht="12" customHeight="1" x14ac:dyDescent="0.35">
      <c r="A144" s="223"/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</row>
    <row r="145" spans="1:26" ht="12" customHeight="1" x14ac:dyDescent="0.35">
      <c r="A145" s="223"/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</row>
    <row r="146" spans="1:26" ht="12" customHeight="1" x14ac:dyDescent="0.35">
      <c r="A146" s="223"/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</row>
    <row r="147" spans="1:26" ht="12" customHeight="1" x14ac:dyDescent="0.35">
      <c r="A147" s="223"/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</row>
    <row r="148" spans="1:26" ht="12" customHeight="1" x14ac:dyDescent="0.35">
      <c r="A148" s="223"/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</row>
    <row r="149" spans="1:26" ht="12" customHeight="1" x14ac:dyDescent="0.35">
      <c r="A149" s="223"/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</row>
    <row r="150" spans="1:26" ht="12" customHeight="1" x14ac:dyDescent="0.35">
      <c r="A150" s="223"/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</row>
    <row r="151" spans="1:26" ht="12" customHeight="1" x14ac:dyDescent="0.35">
      <c r="A151" s="223"/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</row>
    <row r="152" spans="1:26" ht="12" customHeight="1" x14ac:dyDescent="0.35">
      <c r="A152" s="223"/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</row>
    <row r="153" spans="1:26" ht="12" customHeight="1" x14ac:dyDescent="0.35">
      <c r="A153" s="223"/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</row>
    <row r="154" spans="1:26" ht="12" customHeight="1" x14ac:dyDescent="0.35">
      <c r="A154" s="223"/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</row>
    <row r="155" spans="1:26" ht="12" customHeight="1" x14ac:dyDescent="0.35">
      <c r="A155" s="223"/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</row>
    <row r="156" spans="1:26" ht="12" customHeight="1" x14ac:dyDescent="0.35">
      <c r="A156" s="223"/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</row>
    <row r="157" spans="1:26" ht="12" customHeight="1" x14ac:dyDescent="0.35">
      <c r="A157" s="223"/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</row>
    <row r="158" spans="1:26" ht="12" customHeight="1" x14ac:dyDescent="0.35">
      <c r="A158" s="223"/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</row>
    <row r="159" spans="1:26" ht="12" customHeight="1" x14ac:dyDescent="0.35">
      <c r="A159" s="223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</row>
    <row r="160" spans="1:26" ht="12" customHeight="1" x14ac:dyDescent="0.35">
      <c r="A160" s="223"/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</row>
    <row r="161" spans="1:26" ht="12" customHeight="1" x14ac:dyDescent="0.35">
      <c r="A161" s="223"/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</row>
    <row r="162" spans="1:26" ht="12" customHeight="1" x14ac:dyDescent="0.35">
      <c r="A162" s="223"/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</row>
    <row r="163" spans="1:26" ht="12" customHeight="1" x14ac:dyDescent="0.35">
      <c r="A163" s="223"/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</row>
    <row r="164" spans="1:26" ht="12" customHeight="1" x14ac:dyDescent="0.35">
      <c r="A164" s="223"/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</row>
    <row r="165" spans="1:26" ht="12" customHeight="1" x14ac:dyDescent="0.35">
      <c r="A165" s="223"/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</row>
    <row r="166" spans="1:26" ht="12" customHeight="1" x14ac:dyDescent="0.35">
      <c r="A166" s="223"/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</row>
    <row r="167" spans="1:26" ht="12" customHeight="1" x14ac:dyDescent="0.35">
      <c r="A167" s="223"/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</row>
    <row r="168" spans="1:26" ht="12" customHeight="1" x14ac:dyDescent="0.35">
      <c r="A168" s="223"/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</row>
    <row r="169" spans="1:26" ht="12" customHeight="1" x14ac:dyDescent="0.35">
      <c r="A169" s="223"/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</row>
    <row r="170" spans="1:26" ht="12" customHeight="1" x14ac:dyDescent="0.35">
      <c r="A170" s="223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</row>
    <row r="171" spans="1:26" ht="12" customHeight="1" x14ac:dyDescent="0.35">
      <c r="A171" s="223"/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</row>
    <row r="172" spans="1:26" ht="12" customHeight="1" x14ac:dyDescent="0.35">
      <c r="A172" s="223"/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</row>
    <row r="173" spans="1:26" ht="12" customHeight="1" x14ac:dyDescent="0.35">
      <c r="A173" s="223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</row>
    <row r="174" spans="1:26" ht="12" customHeight="1" x14ac:dyDescent="0.35">
      <c r="A174" s="223"/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</row>
    <row r="175" spans="1:26" ht="12" customHeight="1" x14ac:dyDescent="0.35">
      <c r="A175" s="223"/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</row>
    <row r="176" spans="1:26" ht="12" customHeight="1" x14ac:dyDescent="0.35">
      <c r="A176" s="223"/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</row>
    <row r="177" spans="1:26" ht="12" customHeight="1" x14ac:dyDescent="0.35">
      <c r="A177" s="223"/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</row>
    <row r="178" spans="1:26" ht="12" customHeight="1" x14ac:dyDescent="0.35">
      <c r="A178" s="223"/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</row>
    <row r="179" spans="1:26" ht="12" customHeight="1" x14ac:dyDescent="0.35">
      <c r="A179" s="223"/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</row>
    <row r="180" spans="1:26" ht="12" customHeight="1" x14ac:dyDescent="0.35">
      <c r="A180" s="223"/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</row>
    <row r="181" spans="1:26" ht="12" customHeight="1" x14ac:dyDescent="0.35">
      <c r="A181" s="223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</row>
    <row r="182" spans="1:26" ht="12" customHeight="1" x14ac:dyDescent="0.35">
      <c r="A182" s="223"/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</row>
    <row r="183" spans="1:26" ht="12" customHeight="1" x14ac:dyDescent="0.35">
      <c r="A183" s="223"/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</row>
    <row r="184" spans="1:26" ht="12" customHeight="1" x14ac:dyDescent="0.35">
      <c r="A184" s="223"/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</row>
    <row r="185" spans="1:26" ht="12" customHeight="1" x14ac:dyDescent="0.35">
      <c r="A185" s="223"/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</row>
    <row r="186" spans="1:26" ht="12" customHeight="1" x14ac:dyDescent="0.35">
      <c r="A186" s="223"/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</row>
    <row r="187" spans="1:26" ht="12" customHeight="1" x14ac:dyDescent="0.35">
      <c r="A187" s="223"/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</row>
    <row r="188" spans="1:26" ht="12" customHeight="1" x14ac:dyDescent="0.35">
      <c r="A188" s="223"/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</row>
    <row r="189" spans="1:26" ht="12" customHeight="1" x14ac:dyDescent="0.35">
      <c r="A189" s="223"/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</row>
    <row r="190" spans="1:26" ht="12" customHeight="1" x14ac:dyDescent="0.35">
      <c r="A190" s="223"/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</row>
    <row r="191" spans="1:26" ht="12" customHeight="1" x14ac:dyDescent="0.35">
      <c r="A191" s="223"/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</row>
    <row r="192" spans="1:26" ht="12" customHeight="1" x14ac:dyDescent="0.35">
      <c r="A192" s="223"/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</row>
    <row r="193" spans="1:26" ht="12" customHeight="1" x14ac:dyDescent="0.35">
      <c r="A193" s="223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</row>
    <row r="194" spans="1:26" ht="12" customHeight="1" x14ac:dyDescent="0.35">
      <c r="A194" s="223"/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</row>
    <row r="195" spans="1:26" ht="12" customHeight="1" x14ac:dyDescent="0.35">
      <c r="A195" s="223"/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</row>
    <row r="196" spans="1:26" ht="12" customHeight="1" x14ac:dyDescent="0.35">
      <c r="A196" s="223"/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</row>
    <row r="197" spans="1:26" ht="12" customHeight="1" x14ac:dyDescent="0.35">
      <c r="A197" s="223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</row>
    <row r="198" spans="1:26" ht="12" customHeight="1" x14ac:dyDescent="0.35">
      <c r="A198" s="223"/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</row>
    <row r="199" spans="1:26" ht="12" customHeight="1" x14ac:dyDescent="0.35">
      <c r="A199" s="223"/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</row>
    <row r="200" spans="1:26" ht="12" customHeight="1" x14ac:dyDescent="0.35">
      <c r="A200" s="223"/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</row>
    <row r="201" spans="1:26" ht="12" customHeight="1" x14ac:dyDescent="0.35">
      <c r="A201" s="223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</row>
    <row r="202" spans="1:26" ht="12" customHeight="1" x14ac:dyDescent="0.35">
      <c r="A202" s="223"/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</row>
    <row r="203" spans="1:26" ht="12" customHeight="1" x14ac:dyDescent="0.35">
      <c r="A203" s="223"/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</row>
    <row r="204" spans="1:26" ht="12" customHeight="1" x14ac:dyDescent="0.35">
      <c r="A204" s="223"/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</row>
    <row r="205" spans="1:26" ht="12" customHeight="1" x14ac:dyDescent="0.35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</row>
    <row r="206" spans="1:26" ht="12" customHeight="1" x14ac:dyDescent="0.35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</row>
    <row r="207" spans="1:26" ht="12" customHeight="1" x14ac:dyDescent="0.35">
      <c r="A207" s="223"/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</row>
    <row r="208" spans="1:26" ht="12" customHeight="1" x14ac:dyDescent="0.35">
      <c r="A208" s="223"/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</row>
    <row r="209" spans="1:26" ht="12" customHeight="1" x14ac:dyDescent="0.35">
      <c r="A209" s="223"/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</row>
    <row r="210" spans="1:26" ht="12" customHeight="1" x14ac:dyDescent="0.35">
      <c r="A210" s="223"/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</row>
    <row r="211" spans="1:26" ht="12" customHeight="1" x14ac:dyDescent="0.35">
      <c r="A211" s="223"/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</row>
    <row r="212" spans="1:26" ht="12" customHeight="1" x14ac:dyDescent="0.35">
      <c r="A212" s="223"/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</row>
    <row r="213" spans="1:26" ht="12" customHeight="1" x14ac:dyDescent="0.35">
      <c r="A213" s="223"/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</row>
    <row r="214" spans="1:26" ht="12" customHeight="1" x14ac:dyDescent="0.35">
      <c r="A214" s="223"/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</row>
    <row r="215" spans="1:26" ht="12" customHeight="1" x14ac:dyDescent="0.35">
      <c r="A215" s="223"/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</row>
    <row r="216" spans="1:26" ht="12" customHeight="1" x14ac:dyDescent="0.35">
      <c r="A216" s="223"/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</row>
    <row r="217" spans="1:26" ht="12" customHeight="1" x14ac:dyDescent="0.35">
      <c r="A217" s="223"/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</row>
    <row r="218" spans="1:26" ht="12" customHeight="1" x14ac:dyDescent="0.35">
      <c r="A218" s="223"/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</row>
    <row r="219" spans="1:26" ht="12" customHeight="1" x14ac:dyDescent="0.35">
      <c r="A219" s="223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</row>
    <row r="220" spans="1:26" ht="12" customHeight="1" x14ac:dyDescent="0.35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</row>
    <row r="221" spans="1:26" ht="12" customHeight="1" x14ac:dyDescent="0.35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</row>
    <row r="222" spans="1:26" ht="12" customHeight="1" x14ac:dyDescent="0.35">
      <c r="A222" s="223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</row>
    <row r="223" spans="1:26" ht="12" customHeight="1" x14ac:dyDescent="0.35">
      <c r="A223" s="223"/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</row>
    <row r="224" spans="1:26" ht="12" customHeight="1" x14ac:dyDescent="0.35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</row>
    <row r="225" spans="1:26" ht="12" customHeight="1" x14ac:dyDescent="0.35">
      <c r="A225" s="223"/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</row>
    <row r="226" spans="1:26" ht="12" customHeight="1" x14ac:dyDescent="0.35">
      <c r="A226" s="223"/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</row>
    <row r="227" spans="1:26" ht="12" customHeight="1" x14ac:dyDescent="0.35">
      <c r="A227" s="223"/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</row>
    <row r="228" spans="1:26" ht="12" customHeight="1" x14ac:dyDescent="0.35">
      <c r="A228" s="223"/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</row>
    <row r="229" spans="1:26" ht="12" customHeight="1" x14ac:dyDescent="0.35">
      <c r="A229" s="223"/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</row>
    <row r="230" spans="1:26" ht="12" customHeight="1" x14ac:dyDescent="0.35">
      <c r="A230" s="223"/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</row>
    <row r="231" spans="1:26" ht="12" customHeight="1" x14ac:dyDescent="0.35">
      <c r="A231" s="223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</row>
    <row r="232" spans="1:26" ht="12" customHeight="1" x14ac:dyDescent="0.35">
      <c r="A232" s="223"/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</row>
    <row r="233" spans="1:26" ht="12" customHeight="1" x14ac:dyDescent="0.35">
      <c r="A233" s="223"/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</row>
    <row r="234" spans="1:26" ht="12" customHeight="1" x14ac:dyDescent="0.35">
      <c r="A234" s="223"/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</row>
    <row r="235" spans="1:26" ht="12" customHeight="1" x14ac:dyDescent="0.35">
      <c r="A235" s="223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</row>
    <row r="236" spans="1:26" ht="12" customHeight="1" x14ac:dyDescent="0.35">
      <c r="A236" s="223"/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</row>
    <row r="237" spans="1:26" ht="12" customHeight="1" x14ac:dyDescent="0.35">
      <c r="A237" s="223"/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</row>
    <row r="238" spans="1:26" ht="12" customHeight="1" x14ac:dyDescent="0.35">
      <c r="A238" s="223"/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</row>
    <row r="239" spans="1:26" ht="12" customHeight="1" x14ac:dyDescent="0.35">
      <c r="A239" s="223"/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</row>
    <row r="240" spans="1:26" ht="12" customHeight="1" x14ac:dyDescent="0.35">
      <c r="A240" s="223"/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</row>
    <row r="241" spans="1:26" ht="12" customHeight="1" x14ac:dyDescent="0.35">
      <c r="A241" s="223"/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</row>
    <row r="242" spans="1:26" ht="12" customHeight="1" x14ac:dyDescent="0.35">
      <c r="A242" s="223"/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</row>
    <row r="243" spans="1:26" ht="12" customHeight="1" x14ac:dyDescent="0.35">
      <c r="A243" s="223"/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</row>
    <row r="244" spans="1:26" ht="12" customHeight="1" x14ac:dyDescent="0.35">
      <c r="A244" s="223"/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</row>
    <row r="245" spans="1:26" ht="12" customHeight="1" x14ac:dyDescent="0.35">
      <c r="A245" s="223"/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</row>
    <row r="246" spans="1:26" ht="12" customHeight="1" x14ac:dyDescent="0.35">
      <c r="A246" s="223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</row>
    <row r="247" spans="1:26" ht="12" customHeight="1" x14ac:dyDescent="0.35">
      <c r="A247" s="223"/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</row>
    <row r="248" spans="1:26" ht="12" customHeight="1" x14ac:dyDescent="0.35">
      <c r="A248" s="223"/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</row>
    <row r="249" spans="1:26" ht="12" customHeight="1" x14ac:dyDescent="0.35">
      <c r="A249" s="223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</row>
    <row r="250" spans="1:26" ht="12" customHeight="1" x14ac:dyDescent="0.35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</row>
    <row r="251" spans="1:26" ht="12" customHeight="1" x14ac:dyDescent="0.35">
      <c r="A251" s="223"/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</row>
    <row r="252" spans="1:26" ht="12" customHeight="1" x14ac:dyDescent="0.35">
      <c r="A252" s="223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</row>
    <row r="253" spans="1:26" ht="12" customHeight="1" x14ac:dyDescent="0.35">
      <c r="A253" s="223"/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</row>
    <row r="254" spans="1:26" ht="12" customHeight="1" x14ac:dyDescent="0.35">
      <c r="A254" s="223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</row>
    <row r="255" spans="1:26" ht="12" customHeight="1" x14ac:dyDescent="0.35">
      <c r="A255" s="223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</row>
    <row r="256" spans="1:26" ht="12" customHeight="1" x14ac:dyDescent="0.35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</row>
    <row r="257" spans="1:26" ht="12" customHeight="1" x14ac:dyDescent="0.35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</row>
    <row r="258" spans="1:26" ht="12" customHeight="1" x14ac:dyDescent="0.35">
      <c r="A258" s="223"/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</row>
    <row r="259" spans="1:26" ht="12" customHeight="1" x14ac:dyDescent="0.35">
      <c r="A259" s="223"/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</row>
    <row r="260" spans="1:26" ht="12" customHeight="1" x14ac:dyDescent="0.35">
      <c r="A260" s="223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</row>
    <row r="261" spans="1:26" ht="12" customHeight="1" x14ac:dyDescent="0.35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</row>
    <row r="262" spans="1:26" ht="12" customHeight="1" x14ac:dyDescent="0.35">
      <c r="A262" s="223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</row>
    <row r="263" spans="1:26" ht="12" customHeight="1" x14ac:dyDescent="0.3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</row>
    <row r="264" spans="1:26" ht="12" customHeight="1" x14ac:dyDescent="0.35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</row>
    <row r="265" spans="1:26" ht="12" customHeight="1" x14ac:dyDescent="0.35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</row>
    <row r="266" spans="1:26" ht="12" customHeight="1" x14ac:dyDescent="0.35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</row>
    <row r="267" spans="1:26" ht="12" customHeight="1" x14ac:dyDescent="0.35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</row>
    <row r="268" spans="1:26" ht="12" customHeight="1" x14ac:dyDescent="0.35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</row>
    <row r="269" spans="1:26" ht="12" customHeight="1" x14ac:dyDescent="0.35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</row>
    <row r="270" spans="1:26" ht="12" customHeight="1" x14ac:dyDescent="0.35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</row>
    <row r="271" spans="1:26" ht="12" customHeight="1" x14ac:dyDescent="0.35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</row>
    <row r="272" spans="1:26" ht="12" customHeight="1" x14ac:dyDescent="0.35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</row>
    <row r="273" spans="1:26" ht="12" customHeight="1" x14ac:dyDescent="0.35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</row>
    <row r="274" spans="1:26" ht="12" customHeight="1" x14ac:dyDescent="0.35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</row>
    <row r="275" spans="1:26" ht="12" customHeight="1" x14ac:dyDescent="0.35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</row>
    <row r="276" spans="1:26" ht="12" customHeight="1" x14ac:dyDescent="0.35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</row>
    <row r="277" spans="1:26" ht="12" customHeight="1" x14ac:dyDescent="0.35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</row>
    <row r="278" spans="1:26" ht="12" customHeight="1" x14ac:dyDescent="0.3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</row>
    <row r="279" spans="1:26" ht="12" customHeight="1" x14ac:dyDescent="0.3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</row>
    <row r="280" spans="1:26" ht="12" customHeight="1" x14ac:dyDescent="0.3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</row>
    <row r="281" spans="1:26" ht="12" customHeight="1" x14ac:dyDescent="0.35">
      <c r="A281" s="223"/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</row>
    <row r="282" spans="1:26" ht="12" customHeight="1" x14ac:dyDescent="0.35">
      <c r="A282" s="223"/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</row>
    <row r="283" spans="1:26" ht="12" customHeight="1" x14ac:dyDescent="0.35">
      <c r="A283" s="223"/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</row>
    <row r="284" spans="1:26" ht="12" customHeight="1" x14ac:dyDescent="0.35">
      <c r="A284" s="223"/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23"/>
      <c r="Z284" s="223"/>
    </row>
    <row r="285" spans="1:26" ht="12" customHeight="1" x14ac:dyDescent="0.35">
      <c r="A285" s="223"/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</row>
    <row r="286" spans="1:26" ht="12" customHeight="1" x14ac:dyDescent="0.35">
      <c r="A286" s="223"/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</row>
    <row r="287" spans="1:26" ht="12" customHeight="1" x14ac:dyDescent="0.35">
      <c r="A287" s="223"/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</row>
    <row r="288" spans="1:26" ht="12" customHeight="1" x14ac:dyDescent="0.35">
      <c r="A288" s="223"/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</row>
    <row r="289" spans="1:26" ht="12" customHeight="1" x14ac:dyDescent="0.35">
      <c r="A289" s="223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</row>
    <row r="290" spans="1:26" ht="12" customHeight="1" x14ac:dyDescent="0.35">
      <c r="A290" s="223"/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</row>
    <row r="291" spans="1:26" ht="12" customHeight="1" x14ac:dyDescent="0.35">
      <c r="A291" s="223"/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</row>
    <row r="292" spans="1:26" ht="12" customHeight="1" x14ac:dyDescent="0.35">
      <c r="A292" s="223"/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</row>
    <row r="293" spans="1:26" ht="12" customHeight="1" x14ac:dyDescent="0.35">
      <c r="A293" s="223"/>
      <c r="B293" s="223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</row>
    <row r="294" spans="1:26" ht="12" customHeight="1" x14ac:dyDescent="0.35">
      <c r="A294" s="223"/>
      <c r="B294" s="223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</row>
    <row r="295" spans="1:26" ht="12" customHeight="1" x14ac:dyDescent="0.35">
      <c r="A295" s="223"/>
      <c r="B295" s="223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</row>
    <row r="296" spans="1:26" ht="12" customHeight="1" x14ac:dyDescent="0.35">
      <c r="A296" s="223"/>
      <c r="B296" s="223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</row>
    <row r="297" spans="1:26" ht="12" customHeight="1" x14ac:dyDescent="0.35">
      <c r="A297" s="223"/>
      <c r="B297" s="223"/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</row>
    <row r="298" spans="1:26" ht="12" customHeight="1" x14ac:dyDescent="0.35">
      <c r="A298" s="223"/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</row>
    <row r="299" spans="1:26" ht="12" customHeight="1" x14ac:dyDescent="0.35">
      <c r="A299" s="223"/>
      <c r="B299" s="223"/>
      <c r="C299" s="223"/>
      <c r="D299" s="223"/>
      <c r="E299" s="223"/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</row>
    <row r="300" spans="1:26" ht="12" customHeight="1" x14ac:dyDescent="0.35">
      <c r="A300" s="223"/>
      <c r="B300" s="223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</row>
    <row r="301" spans="1:26" ht="12" customHeight="1" x14ac:dyDescent="0.35">
      <c r="A301" s="223"/>
      <c r="B301" s="223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3"/>
    </row>
    <row r="302" spans="1:26" ht="12" customHeight="1" x14ac:dyDescent="0.35">
      <c r="A302" s="223"/>
      <c r="B302" s="223"/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</row>
    <row r="303" spans="1:26" ht="12" customHeight="1" x14ac:dyDescent="0.35">
      <c r="A303" s="223"/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</row>
    <row r="304" spans="1:26" ht="12" customHeight="1" x14ac:dyDescent="0.35">
      <c r="A304" s="223"/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</row>
    <row r="305" spans="1:26" ht="12" customHeight="1" x14ac:dyDescent="0.35">
      <c r="A305" s="223"/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</row>
    <row r="306" spans="1:26" ht="12" customHeight="1" x14ac:dyDescent="0.35">
      <c r="A306" s="223"/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223"/>
    </row>
    <row r="307" spans="1:26" ht="12" customHeight="1" x14ac:dyDescent="0.35">
      <c r="A307" s="223"/>
      <c r="B307" s="223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</row>
    <row r="308" spans="1:26" ht="12" customHeight="1" x14ac:dyDescent="0.35">
      <c r="A308" s="223"/>
      <c r="B308" s="223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23"/>
      <c r="Z308" s="223"/>
    </row>
    <row r="309" spans="1:26" ht="12" customHeight="1" x14ac:dyDescent="0.35">
      <c r="A309" s="223"/>
      <c r="B309" s="223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23"/>
      <c r="Z309" s="223"/>
    </row>
    <row r="310" spans="1:26" ht="12" customHeight="1" x14ac:dyDescent="0.35">
      <c r="A310" s="223"/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</row>
    <row r="311" spans="1:26" ht="12" customHeight="1" x14ac:dyDescent="0.35">
      <c r="A311" s="223"/>
      <c r="B311" s="223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</row>
    <row r="312" spans="1:26" ht="12" customHeight="1" x14ac:dyDescent="0.35">
      <c r="A312" s="223"/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23"/>
      <c r="Z312" s="223"/>
    </row>
    <row r="313" spans="1:26" ht="12" customHeight="1" x14ac:dyDescent="0.35">
      <c r="A313" s="223"/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</row>
    <row r="314" spans="1:26" ht="12" customHeight="1" x14ac:dyDescent="0.35">
      <c r="A314" s="223"/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</row>
    <row r="315" spans="1:26" ht="12" customHeight="1" x14ac:dyDescent="0.35">
      <c r="A315" s="223"/>
      <c r="B315" s="223"/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</row>
    <row r="316" spans="1:26" ht="12" customHeight="1" x14ac:dyDescent="0.35">
      <c r="A316" s="223"/>
      <c r="B316" s="223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23"/>
      <c r="Z316" s="223"/>
    </row>
    <row r="317" spans="1:26" ht="12" customHeight="1" x14ac:dyDescent="0.35">
      <c r="A317" s="223"/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23"/>
      <c r="Z317" s="223"/>
    </row>
    <row r="318" spans="1:26" ht="12" customHeight="1" x14ac:dyDescent="0.35">
      <c r="A318" s="223"/>
      <c r="B318" s="223"/>
      <c r="C318" s="223"/>
      <c r="D318" s="223"/>
      <c r="E318" s="223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23"/>
      <c r="Z318" s="223"/>
    </row>
    <row r="319" spans="1:26" ht="12" customHeight="1" x14ac:dyDescent="0.35">
      <c r="A319" s="223"/>
      <c r="B319" s="223"/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</row>
    <row r="320" spans="1:26" ht="12" customHeight="1" x14ac:dyDescent="0.35">
      <c r="A320" s="223"/>
      <c r="B320" s="223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</row>
    <row r="321" spans="1:26" ht="12" customHeight="1" x14ac:dyDescent="0.35">
      <c r="A321" s="223"/>
      <c r="B321" s="223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</row>
    <row r="322" spans="1:26" ht="12" customHeight="1" x14ac:dyDescent="0.35">
      <c r="A322" s="223"/>
      <c r="B322" s="223"/>
      <c r="C322" s="223"/>
      <c r="D322" s="223"/>
      <c r="E322" s="223"/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</row>
    <row r="323" spans="1:26" ht="12" customHeight="1" x14ac:dyDescent="0.35">
      <c r="A323" s="223"/>
      <c r="B323" s="223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</row>
    <row r="324" spans="1:26" ht="12" customHeight="1" x14ac:dyDescent="0.35">
      <c r="A324" s="223"/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</row>
    <row r="325" spans="1:26" ht="12" customHeight="1" x14ac:dyDescent="0.35">
      <c r="A325" s="223"/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</row>
    <row r="326" spans="1:26" ht="12" customHeight="1" x14ac:dyDescent="0.35">
      <c r="A326" s="223"/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</row>
    <row r="327" spans="1:26" ht="12" customHeight="1" x14ac:dyDescent="0.35">
      <c r="A327" s="223"/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223"/>
    </row>
    <row r="328" spans="1:26" ht="12" customHeight="1" x14ac:dyDescent="0.35">
      <c r="A328" s="223"/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23"/>
      <c r="Z328" s="223"/>
    </row>
    <row r="329" spans="1:26" ht="12" customHeight="1" x14ac:dyDescent="0.35">
      <c r="A329" s="223"/>
      <c r="B329" s="223"/>
      <c r="C329" s="223"/>
      <c r="D329" s="223"/>
      <c r="E329" s="223"/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</row>
    <row r="330" spans="1:26" ht="12" customHeight="1" x14ac:dyDescent="0.35">
      <c r="A330" s="223"/>
      <c r="B330" s="223"/>
      <c r="C330" s="223"/>
      <c r="D330" s="223"/>
      <c r="E330" s="223"/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</row>
    <row r="331" spans="1:26" ht="12" customHeight="1" x14ac:dyDescent="0.35">
      <c r="A331" s="223"/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</row>
    <row r="332" spans="1:26" ht="12" customHeight="1" x14ac:dyDescent="0.35">
      <c r="A332" s="223"/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</row>
    <row r="333" spans="1:26" ht="12" customHeight="1" x14ac:dyDescent="0.35">
      <c r="A333" s="223"/>
      <c r="B333" s="223"/>
      <c r="C333" s="223"/>
      <c r="D333" s="223"/>
      <c r="E333" s="223"/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</row>
    <row r="334" spans="1:26" ht="12" customHeight="1" x14ac:dyDescent="0.35">
      <c r="A334" s="223"/>
      <c r="B334" s="223"/>
      <c r="C334" s="223"/>
      <c r="D334" s="223"/>
      <c r="E334" s="223"/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</row>
    <row r="335" spans="1:26" ht="12" customHeight="1" x14ac:dyDescent="0.35">
      <c r="A335" s="223"/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</row>
    <row r="336" spans="1:26" ht="12" customHeight="1" x14ac:dyDescent="0.35">
      <c r="A336" s="223"/>
      <c r="B336" s="223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</row>
    <row r="337" spans="1:26" ht="12" customHeight="1" x14ac:dyDescent="0.35">
      <c r="A337" s="223"/>
      <c r="B337" s="223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</row>
    <row r="338" spans="1:26" ht="12" customHeight="1" x14ac:dyDescent="0.35">
      <c r="A338" s="223"/>
      <c r="B338" s="223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</row>
    <row r="339" spans="1:26" ht="12" customHeight="1" x14ac:dyDescent="0.35">
      <c r="A339" s="223"/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</row>
    <row r="340" spans="1:26" ht="12" customHeight="1" x14ac:dyDescent="0.35">
      <c r="A340" s="223"/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</row>
    <row r="341" spans="1:26" ht="12" customHeight="1" x14ac:dyDescent="0.35">
      <c r="A341" s="223"/>
      <c r="B341" s="223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</row>
    <row r="342" spans="1:26" ht="12" customHeight="1" x14ac:dyDescent="0.35">
      <c r="A342" s="223"/>
      <c r="B342" s="223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</row>
    <row r="343" spans="1:26" ht="12" customHeight="1" x14ac:dyDescent="0.35">
      <c r="A343" s="223"/>
      <c r="B343" s="223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</row>
    <row r="344" spans="1:26" ht="12" customHeight="1" x14ac:dyDescent="0.35">
      <c r="A344" s="223"/>
      <c r="B344" s="223"/>
      <c r="C344" s="223"/>
      <c r="D344" s="223"/>
      <c r="E344" s="223"/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</row>
    <row r="345" spans="1:26" ht="12" customHeight="1" x14ac:dyDescent="0.35">
      <c r="A345" s="223"/>
      <c r="B345" s="223"/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</row>
    <row r="346" spans="1:26" ht="12" customHeight="1" x14ac:dyDescent="0.35">
      <c r="A346" s="223"/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</row>
    <row r="347" spans="1:26" ht="12" customHeight="1" x14ac:dyDescent="0.35">
      <c r="A347" s="223"/>
      <c r="B347" s="223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</row>
    <row r="348" spans="1:26" ht="12" customHeight="1" x14ac:dyDescent="0.35">
      <c r="A348" s="223"/>
      <c r="B348" s="223"/>
      <c r="C348" s="223"/>
      <c r="D348" s="223"/>
      <c r="E348" s="223"/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</row>
    <row r="349" spans="1:26" ht="12" customHeight="1" x14ac:dyDescent="0.35">
      <c r="A349" s="223"/>
      <c r="B349" s="223"/>
      <c r="C349" s="223"/>
      <c r="D349" s="223"/>
      <c r="E349" s="223"/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223"/>
    </row>
    <row r="350" spans="1:26" ht="12" customHeight="1" x14ac:dyDescent="0.35">
      <c r="A350" s="223"/>
      <c r="B350" s="223"/>
      <c r="C350" s="223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</row>
    <row r="351" spans="1:26" ht="12" customHeight="1" x14ac:dyDescent="0.35">
      <c r="A351" s="223"/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</row>
    <row r="352" spans="1:26" ht="12" customHeight="1" x14ac:dyDescent="0.35">
      <c r="A352" s="223"/>
      <c r="B352" s="223"/>
      <c r="C352" s="223"/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23"/>
      <c r="Z352" s="223"/>
    </row>
    <row r="353" spans="1:26" ht="12" customHeight="1" x14ac:dyDescent="0.35">
      <c r="A353" s="223"/>
      <c r="B353" s="223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23"/>
      <c r="Z353" s="223"/>
    </row>
    <row r="354" spans="1:26" ht="12" customHeight="1" x14ac:dyDescent="0.35">
      <c r="A354" s="223"/>
      <c r="B354" s="223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23"/>
      <c r="Z354" s="223"/>
    </row>
    <row r="355" spans="1:26" ht="12" customHeight="1" x14ac:dyDescent="0.35">
      <c r="A355" s="223"/>
      <c r="B355" s="223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</row>
    <row r="356" spans="1:26" ht="12" customHeight="1" x14ac:dyDescent="0.35">
      <c r="A356" s="223"/>
      <c r="B356" s="223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</row>
    <row r="357" spans="1:26" ht="12" customHeight="1" x14ac:dyDescent="0.35">
      <c r="A357" s="223"/>
      <c r="B357" s="223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</row>
    <row r="358" spans="1:26" ht="12" customHeight="1" x14ac:dyDescent="0.35">
      <c r="A358" s="223"/>
      <c r="B358" s="223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</row>
    <row r="359" spans="1:26" ht="12" customHeight="1" x14ac:dyDescent="0.35">
      <c r="A359" s="223"/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</row>
    <row r="360" spans="1:26" ht="12" customHeight="1" x14ac:dyDescent="0.35">
      <c r="A360" s="223"/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</row>
    <row r="361" spans="1:26" ht="12" customHeight="1" x14ac:dyDescent="0.35">
      <c r="A361" s="223"/>
      <c r="B361" s="223"/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</row>
    <row r="362" spans="1:26" ht="12" customHeight="1" x14ac:dyDescent="0.35">
      <c r="A362" s="223"/>
      <c r="B362" s="223"/>
      <c r="C362" s="223"/>
      <c r="D362" s="223"/>
      <c r="E362" s="223"/>
      <c r="F362" s="223"/>
      <c r="G362" s="223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23"/>
      <c r="Z362" s="223"/>
    </row>
    <row r="363" spans="1:26" ht="12" customHeight="1" x14ac:dyDescent="0.35">
      <c r="A363" s="223"/>
      <c r="B363" s="223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23"/>
      <c r="Z363" s="223"/>
    </row>
    <row r="364" spans="1:26" ht="12" customHeight="1" x14ac:dyDescent="0.35">
      <c r="A364" s="223"/>
      <c r="B364" s="223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23"/>
      <c r="Z364" s="223"/>
    </row>
    <row r="365" spans="1:26" ht="12" customHeight="1" x14ac:dyDescent="0.35">
      <c r="A365" s="223"/>
      <c r="B365" s="223"/>
      <c r="C365" s="223"/>
      <c r="D365" s="223"/>
      <c r="E365" s="223"/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23"/>
      <c r="Z365" s="223"/>
    </row>
    <row r="366" spans="1:26" ht="12" customHeight="1" x14ac:dyDescent="0.35">
      <c r="A366" s="223"/>
      <c r="B366" s="223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</row>
    <row r="367" spans="1:26" ht="12" customHeight="1" x14ac:dyDescent="0.35">
      <c r="A367" s="223"/>
      <c r="B367" s="223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23"/>
      <c r="Z367" s="223"/>
    </row>
    <row r="368" spans="1:26" ht="12" customHeight="1" x14ac:dyDescent="0.35">
      <c r="A368" s="223"/>
      <c r="B368" s="223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23"/>
      <c r="Z368" s="223"/>
    </row>
    <row r="369" spans="1:26" ht="12" customHeight="1" x14ac:dyDescent="0.35">
      <c r="A369" s="223"/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23"/>
      <c r="Z369" s="223"/>
    </row>
    <row r="370" spans="1:26" ht="12" customHeight="1" x14ac:dyDescent="0.35">
      <c r="A370" s="223"/>
      <c r="B370" s="223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23"/>
      <c r="Z370" s="223"/>
    </row>
    <row r="371" spans="1:26" ht="12" customHeight="1" x14ac:dyDescent="0.35">
      <c r="A371" s="223"/>
      <c r="B371" s="223"/>
      <c r="C371" s="223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23"/>
      <c r="Z371" s="223"/>
    </row>
    <row r="372" spans="1:26" ht="12" customHeight="1" x14ac:dyDescent="0.35">
      <c r="A372" s="223"/>
      <c r="B372" s="223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23"/>
      <c r="Z372" s="223"/>
    </row>
    <row r="373" spans="1:26" ht="12" customHeight="1" x14ac:dyDescent="0.35">
      <c r="A373" s="223"/>
      <c r="B373" s="223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23"/>
      <c r="Z373" s="223"/>
    </row>
    <row r="374" spans="1:26" ht="12" customHeight="1" x14ac:dyDescent="0.35">
      <c r="A374" s="223"/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3"/>
      <c r="M374" s="223"/>
      <c r="N374" s="223"/>
      <c r="O374" s="223"/>
      <c r="P374" s="223"/>
      <c r="Q374" s="223"/>
      <c r="R374" s="223"/>
      <c r="S374" s="223"/>
      <c r="T374" s="223"/>
      <c r="U374" s="223"/>
      <c r="V374" s="223"/>
      <c r="W374" s="223"/>
      <c r="X374" s="223"/>
      <c r="Y374" s="223"/>
      <c r="Z374" s="223"/>
    </row>
    <row r="375" spans="1:26" ht="12" customHeight="1" x14ac:dyDescent="0.35">
      <c r="A375" s="223"/>
      <c r="B375" s="223"/>
      <c r="C375" s="223"/>
      <c r="D375" s="223"/>
      <c r="E375" s="223"/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23"/>
      <c r="Z375" s="223"/>
    </row>
    <row r="376" spans="1:26" ht="12" customHeight="1" x14ac:dyDescent="0.35">
      <c r="A376" s="223"/>
      <c r="B376" s="223"/>
      <c r="C376" s="223"/>
      <c r="D376" s="223"/>
      <c r="E376" s="223"/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23"/>
      <c r="Z376" s="223"/>
    </row>
    <row r="377" spans="1:26" ht="12" customHeight="1" x14ac:dyDescent="0.35">
      <c r="A377" s="223"/>
      <c r="B377" s="223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23"/>
      <c r="Z377" s="223"/>
    </row>
    <row r="378" spans="1:26" ht="12" customHeight="1" x14ac:dyDescent="0.35">
      <c r="A378" s="223"/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23"/>
      <c r="Z378" s="223"/>
    </row>
    <row r="379" spans="1:26" ht="12" customHeight="1" x14ac:dyDescent="0.35">
      <c r="A379" s="223"/>
      <c r="B379" s="223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23"/>
      <c r="Z379" s="223"/>
    </row>
    <row r="380" spans="1:26" ht="12" customHeight="1" x14ac:dyDescent="0.35">
      <c r="A380" s="223"/>
      <c r="B380" s="223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23"/>
      <c r="Z380" s="223"/>
    </row>
    <row r="381" spans="1:26" ht="12" customHeight="1" x14ac:dyDescent="0.35">
      <c r="A381" s="223"/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</row>
    <row r="382" spans="1:26" ht="12" customHeight="1" x14ac:dyDescent="0.35">
      <c r="A382" s="223"/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23"/>
      <c r="Z382" s="223"/>
    </row>
    <row r="383" spans="1:26" ht="12" customHeight="1" x14ac:dyDescent="0.35">
      <c r="A383" s="223"/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23"/>
      <c r="Z383" s="223"/>
    </row>
    <row r="384" spans="1:26" ht="12" customHeight="1" x14ac:dyDescent="0.35">
      <c r="A384" s="223"/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</row>
    <row r="385" spans="1:26" ht="12" customHeight="1" x14ac:dyDescent="0.35">
      <c r="A385" s="223"/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</row>
    <row r="386" spans="1:26" ht="12" customHeight="1" x14ac:dyDescent="0.35">
      <c r="A386" s="223"/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</row>
    <row r="387" spans="1:26" ht="12" customHeight="1" x14ac:dyDescent="0.35">
      <c r="A387" s="223"/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23"/>
      <c r="Z387" s="223"/>
    </row>
    <row r="388" spans="1:26" ht="12" customHeight="1" x14ac:dyDescent="0.35">
      <c r="A388" s="223"/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23"/>
      <c r="Z388" s="223"/>
    </row>
    <row r="389" spans="1:26" ht="12" customHeight="1" x14ac:dyDescent="0.35">
      <c r="A389" s="223"/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23"/>
      <c r="Z389" s="223"/>
    </row>
    <row r="390" spans="1:26" ht="12" customHeight="1" x14ac:dyDescent="0.35">
      <c r="A390" s="223"/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23"/>
      <c r="Z390" s="223"/>
    </row>
    <row r="391" spans="1:26" ht="12" customHeight="1" x14ac:dyDescent="0.35">
      <c r="A391" s="223"/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23"/>
      <c r="Z391" s="223"/>
    </row>
    <row r="392" spans="1:26" ht="12" customHeight="1" x14ac:dyDescent="0.35">
      <c r="A392" s="223"/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23"/>
      <c r="Z392" s="223"/>
    </row>
    <row r="393" spans="1:26" ht="12" customHeight="1" x14ac:dyDescent="0.35">
      <c r="A393" s="223"/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23"/>
      <c r="Z393" s="223"/>
    </row>
    <row r="394" spans="1:26" ht="12" customHeight="1" x14ac:dyDescent="0.35">
      <c r="A394" s="223"/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23"/>
      <c r="Z394" s="223"/>
    </row>
    <row r="395" spans="1:26" ht="12" customHeight="1" x14ac:dyDescent="0.35">
      <c r="A395" s="223"/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23"/>
      <c r="Z395" s="223"/>
    </row>
    <row r="396" spans="1:26" ht="12" customHeight="1" x14ac:dyDescent="0.35">
      <c r="A396" s="223"/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23"/>
      <c r="Z396" s="223"/>
    </row>
    <row r="397" spans="1:26" ht="12" customHeight="1" x14ac:dyDescent="0.35">
      <c r="A397" s="223"/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23"/>
      <c r="Z397" s="223"/>
    </row>
    <row r="398" spans="1:26" ht="12" customHeight="1" x14ac:dyDescent="0.35">
      <c r="A398" s="223"/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223"/>
      <c r="T398" s="223"/>
      <c r="U398" s="223"/>
      <c r="V398" s="223"/>
      <c r="W398" s="223"/>
      <c r="X398" s="223"/>
      <c r="Y398" s="223"/>
      <c r="Z398" s="223"/>
    </row>
    <row r="399" spans="1:26" ht="12" customHeight="1" x14ac:dyDescent="0.35">
      <c r="A399" s="223"/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</row>
    <row r="400" spans="1:26" ht="12" customHeight="1" x14ac:dyDescent="0.35">
      <c r="A400" s="223"/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23"/>
      <c r="Z400" s="223"/>
    </row>
    <row r="401" spans="1:26" ht="12" customHeight="1" x14ac:dyDescent="0.35">
      <c r="A401" s="223"/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  <c r="U401" s="223"/>
      <c r="V401" s="223"/>
      <c r="W401" s="223"/>
      <c r="X401" s="223"/>
      <c r="Y401" s="223"/>
      <c r="Z401" s="223"/>
    </row>
    <row r="402" spans="1:26" ht="12" customHeight="1" x14ac:dyDescent="0.35">
      <c r="A402" s="223"/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223"/>
      <c r="Z402" s="223"/>
    </row>
    <row r="403" spans="1:26" ht="12" customHeight="1" x14ac:dyDescent="0.35">
      <c r="A403" s="223"/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  <c r="U403" s="223"/>
      <c r="V403" s="223"/>
      <c r="W403" s="223"/>
      <c r="X403" s="223"/>
      <c r="Y403" s="223"/>
      <c r="Z403" s="223"/>
    </row>
    <row r="404" spans="1:26" ht="12" customHeight="1" x14ac:dyDescent="0.35">
      <c r="A404" s="223"/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23"/>
      <c r="Z404" s="223"/>
    </row>
    <row r="405" spans="1:26" ht="12" customHeight="1" x14ac:dyDescent="0.35">
      <c r="A405" s="223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23"/>
      <c r="Z405" s="223"/>
    </row>
    <row r="406" spans="1:26" ht="12" customHeight="1" x14ac:dyDescent="0.35">
      <c r="A406" s="223"/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23"/>
      <c r="Z406" s="223"/>
    </row>
    <row r="407" spans="1:26" ht="12" customHeight="1" x14ac:dyDescent="0.35">
      <c r="A407" s="223"/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23"/>
      <c r="Z407" s="223"/>
    </row>
    <row r="408" spans="1:26" ht="12" customHeight="1" x14ac:dyDescent="0.35">
      <c r="A408" s="223"/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23"/>
      <c r="Z408" s="223"/>
    </row>
    <row r="409" spans="1:26" ht="12" customHeight="1" x14ac:dyDescent="0.35">
      <c r="A409" s="223"/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23"/>
      <c r="Z409" s="223"/>
    </row>
    <row r="410" spans="1:26" ht="12" customHeight="1" x14ac:dyDescent="0.35">
      <c r="A410" s="223"/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23"/>
      <c r="Z410" s="223"/>
    </row>
    <row r="411" spans="1:26" ht="12" customHeight="1" x14ac:dyDescent="0.35">
      <c r="A411" s="223"/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23"/>
      <c r="Z411" s="223"/>
    </row>
    <row r="412" spans="1:26" ht="12" customHeight="1" x14ac:dyDescent="0.35">
      <c r="A412" s="223"/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  <c r="U412" s="223"/>
      <c r="V412" s="223"/>
      <c r="W412" s="223"/>
      <c r="X412" s="223"/>
      <c r="Y412" s="223"/>
      <c r="Z412" s="223"/>
    </row>
    <row r="413" spans="1:26" ht="12" customHeight="1" x14ac:dyDescent="0.35">
      <c r="A413" s="223"/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23"/>
      <c r="Z413" s="223"/>
    </row>
    <row r="414" spans="1:26" ht="12" customHeight="1" x14ac:dyDescent="0.35">
      <c r="A414" s="223"/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223"/>
      <c r="T414" s="223"/>
      <c r="U414" s="223"/>
      <c r="V414" s="223"/>
      <c r="W414" s="223"/>
      <c r="X414" s="223"/>
      <c r="Y414" s="223"/>
      <c r="Z414" s="223"/>
    </row>
    <row r="415" spans="1:26" ht="12" customHeight="1" x14ac:dyDescent="0.35">
      <c r="A415" s="223"/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  <c r="U415" s="223"/>
      <c r="V415" s="223"/>
      <c r="W415" s="223"/>
      <c r="X415" s="223"/>
      <c r="Y415" s="223"/>
      <c r="Z415" s="223"/>
    </row>
    <row r="416" spans="1:26" ht="12" customHeight="1" x14ac:dyDescent="0.35">
      <c r="A416" s="223"/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23"/>
      <c r="Z416" s="223"/>
    </row>
    <row r="417" spans="1:26" ht="12" customHeight="1" x14ac:dyDescent="0.35">
      <c r="A417" s="223"/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23"/>
      <c r="Z417" s="223"/>
    </row>
    <row r="418" spans="1:26" ht="12" customHeight="1" x14ac:dyDescent="0.35">
      <c r="A418" s="223"/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  <c r="N418" s="223"/>
      <c r="O418" s="223"/>
      <c r="P418" s="223"/>
      <c r="Q418" s="223"/>
      <c r="R418" s="223"/>
      <c r="S418" s="223"/>
      <c r="T418" s="223"/>
      <c r="U418" s="223"/>
      <c r="V418" s="223"/>
      <c r="W418" s="223"/>
      <c r="X418" s="223"/>
      <c r="Y418" s="223"/>
      <c r="Z418" s="223"/>
    </row>
    <row r="419" spans="1:26" ht="12" customHeight="1" x14ac:dyDescent="0.35">
      <c r="A419" s="223"/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23"/>
      <c r="Z419" s="223"/>
    </row>
    <row r="420" spans="1:26" ht="12" customHeight="1" x14ac:dyDescent="0.35">
      <c r="A420" s="223"/>
      <c r="B420" s="223"/>
      <c r="C420" s="223"/>
      <c r="D420" s="223"/>
      <c r="E420" s="223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23"/>
      <c r="Z420" s="223"/>
    </row>
    <row r="421" spans="1:26" ht="12" customHeight="1" x14ac:dyDescent="0.35">
      <c r="A421" s="223"/>
      <c r="B421" s="223"/>
      <c r="C421" s="223"/>
      <c r="D421" s="223"/>
      <c r="E421" s="223"/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23"/>
      <c r="Z421" s="223"/>
    </row>
    <row r="422" spans="1:26" ht="12" customHeight="1" x14ac:dyDescent="0.35">
      <c r="A422" s="223"/>
      <c r="B422" s="223"/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223"/>
      <c r="Y422" s="223"/>
      <c r="Z422" s="223"/>
    </row>
    <row r="423" spans="1:26" ht="12" customHeight="1" x14ac:dyDescent="0.35">
      <c r="A423" s="223"/>
      <c r="B423" s="223"/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23"/>
      <c r="Z423" s="223"/>
    </row>
    <row r="424" spans="1:26" ht="12" customHeight="1" x14ac:dyDescent="0.35">
      <c r="A424" s="223"/>
      <c r="B424" s="223"/>
      <c r="C424" s="223"/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23"/>
      <c r="Z424" s="223"/>
    </row>
    <row r="425" spans="1:26" ht="12" customHeight="1" x14ac:dyDescent="0.35">
      <c r="A425" s="223"/>
      <c r="B425" s="223"/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223"/>
      <c r="Z425" s="223"/>
    </row>
    <row r="426" spans="1:26" ht="12" customHeight="1" x14ac:dyDescent="0.35">
      <c r="A426" s="223"/>
      <c r="B426" s="223"/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23"/>
      <c r="Z426" s="223"/>
    </row>
    <row r="427" spans="1:26" ht="12" customHeight="1" x14ac:dyDescent="0.35">
      <c r="A427" s="223"/>
      <c r="B427" s="223"/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  <c r="U427" s="223"/>
      <c r="V427" s="223"/>
      <c r="W427" s="223"/>
      <c r="X427" s="223"/>
      <c r="Y427" s="223"/>
      <c r="Z427" s="223"/>
    </row>
    <row r="428" spans="1:26" ht="12" customHeight="1" x14ac:dyDescent="0.35">
      <c r="A428" s="223"/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23"/>
      <c r="Z428" s="223"/>
    </row>
    <row r="429" spans="1:26" ht="12" customHeight="1" x14ac:dyDescent="0.35">
      <c r="A429" s="223"/>
      <c r="B429" s="223"/>
      <c r="C429" s="223"/>
      <c r="D429" s="223"/>
      <c r="E429" s="223"/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  <c r="U429" s="223"/>
      <c r="V429" s="223"/>
      <c r="W429" s="223"/>
      <c r="X429" s="223"/>
      <c r="Y429" s="223"/>
      <c r="Z429" s="223"/>
    </row>
    <row r="430" spans="1:26" ht="12" customHeight="1" x14ac:dyDescent="0.35">
      <c r="A430" s="223"/>
      <c r="B430" s="223"/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  <c r="U430" s="223"/>
      <c r="V430" s="223"/>
      <c r="W430" s="223"/>
      <c r="X430" s="223"/>
      <c r="Y430" s="223"/>
      <c r="Z430" s="223"/>
    </row>
    <row r="431" spans="1:26" ht="12" customHeight="1" x14ac:dyDescent="0.35">
      <c r="A431" s="223"/>
      <c r="B431" s="223"/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23"/>
      <c r="Z431" s="223"/>
    </row>
    <row r="432" spans="1:26" ht="12" customHeight="1" x14ac:dyDescent="0.35">
      <c r="A432" s="223"/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23"/>
      <c r="Z432" s="223"/>
    </row>
    <row r="433" spans="1:26" ht="12" customHeight="1" x14ac:dyDescent="0.35">
      <c r="A433" s="223"/>
      <c r="B433" s="223"/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3"/>
      <c r="W433" s="223"/>
      <c r="X433" s="223"/>
      <c r="Y433" s="223"/>
      <c r="Z433" s="223"/>
    </row>
    <row r="434" spans="1:26" ht="12" customHeight="1" x14ac:dyDescent="0.35">
      <c r="A434" s="223"/>
      <c r="B434" s="223"/>
      <c r="C434" s="223"/>
      <c r="D434" s="223"/>
      <c r="E434" s="223"/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  <c r="U434" s="223"/>
      <c r="V434" s="223"/>
      <c r="W434" s="223"/>
      <c r="X434" s="223"/>
      <c r="Y434" s="223"/>
      <c r="Z434" s="223"/>
    </row>
    <row r="435" spans="1:26" ht="12" customHeight="1" x14ac:dyDescent="0.35">
      <c r="A435" s="223"/>
      <c r="B435" s="223"/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23"/>
      <c r="Z435" s="223"/>
    </row>
    <row r="436" spans="1:26" ht="12" customHeight="1" x14ac:dyDescent="0.35">
      <c r="A436" s="223"/>
      <c r="B436" s="223"/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23"/>
      <c r="Z436" s="223"/>
    </row>
    <row r="437" spans="1:26" ht="12" customHeight="1" x14ac:dyDescent="0.35">
      <c r="A437" s="223"/>
      <c r="B437" s="223"/>
      <c r="C437" s="223"/>
      <c r="D437" s="223"/>
      <c r="E437" s="223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223"/>
      <c r="V437" s="223"/>
      <c r="W437" s="223"/>
      <c r="X437" s="223"/>
      <c r="Y437" s="223"/>
      <c r="Z437" s="223"/>
    </row>
    <row r="438" spans="1:26" ht="12" customHeight="1" x14ac:dyDescent="0.35">
      <c r="A438" s="223"/>
      <c r="B438" s="223"/>
      <c r="C438" s="223"/>
      <c r="D438" s="223"/>
      <c r="E438" s="223"/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23"/>
      <c r="Z438" s="223"/>
    </row>
    <row r="439" spans="1:26" ht="12" customHeight="1" x14ac:dyDescent="0.35">
      <c r="A439" s="223"/>
      <c r="B439" s="223"/>
      <c r="C439" s="223"/>
      <c r="D439" s="223"/>
      <c r="E439" s="223"/>
      <c r="F439" s="223"/>
      <c r="G439" s="223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  <c r="U439" s="223"/>
      <c r="V439" s="223"/>
      <c r="W439" s="223"/>
      <c r="X439" s="223"/>
      <c r="Y439" s="223"/>
      <c r="Z439" s="223"/>
    </row>
    <row r="440" spans="1:26" ht="12" customHeight="1" x14ac:dyDescent="0.35">
      <c r="A440" s="223"/>
      <c r="B440" s="223"/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23"/>
      <c r="Z440" s="223"/>
    </row>
    <row r="441" spans="1:26" ht="12" customHeight="1" x14ac:dyDescent="0.35">
      <c r="A441" s="223"/>
      <c r="B441" s="223"/>
      <c r="C441" s="223"/>
      <c r="D441" s="223"/>
      <c r="E441" s="223"/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  <c r="U441" s="223"/>
      <c r="V441" s="223"/>
      <c r="W441" s="223"/>
      <c r="X441" s="223"/>
      <c r="Y441" s="223"/>
      <c r="Z441" s="223"/>
    </row>
    <row r="442" spans="1:26" ht="12" customHeight="1" x14ac:dyDescent="0.35">
      <c r="A442" s="223"/>
      <c r="B442" s="223"/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  <c r="U442" s="223"/>
      <c r="V442" s="223"/>
      <c r="W442" s="223"/>
      <c r="X442" s="223"/>
      <c r="Y442" s="223"/>
      <c r="Z442" s="223"/>
    </row>
    <row r="443" spans="1:26" ht="12" customHeight="1" x14ac:dyDescent="0.35">
      <c r="A443" s="223"/>
      <c r="B443" s="223"/>
      <c r="C443" s="223"/>
      <c r="D443" s="223"/>
      <c r="E443" s="223"/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23"/>
      <c r="Z443" s="223"/>
    </row>
    <row r="444" spans="1:26" ht="12" customHeight="1" x14ac:dyDescent="0.35">
      <c r="A444" s="223"/>
      <c r="B444" s="223"/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23"/>
      <c r="Z444" s="223"/>
    </row>
    <row r="445" spans="1:26" ht="12" customHeight="1" x14ac:dyDescent="0.35">
      <c r="A445" s="223"/>
      <c r="B445" s="223"/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  <c r="M445" s="223"/>
      <c r="N445" s="223"/>
      <c r="O445" s="223"/>
      <c r="P445" s="223"/>
      <c r="Q445" s="223"/>
      <c r="R445" s="223"/>
      <c r="S445" s="223"/>
      <c r="T445" s="223"/>
      <c r="U445" s="223"/>
      <c r="V445" s="223"/>
      <c r="W445" s="223"/>
      <c r="X445" s="223"/>
      <c r="Y445" s="223"/>
      <c r="Z445" s="223"/>
    </row>
    <row r="446" spans="1:26" ht="12" customHeight="1" x14ac:dyDescent="0.35">
      <c r="A446" s="223"/>
      <c r="B446" s="223"/>
      <c r="C446" s="223"/>
      <c r="D446" s="223"/>
      <c r="E446" s="223"/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23"/>
      <c r="Z446" s="223"/>
    </row>
    <row r="447" spans="1:26" ht="12" customHeight="1" x14ac:dyDescent="0.35">
      <c r="A447" s="223"/>
      <c r="B447" s="223"/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23"/>
      <c r="Z447" s="223"/>
    </row>
    <row r="448" spans="1:26" ht="12" customHeight="1" x14ac:dyDescent="0.35">
      <c r="A448" s="223"/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23"/>
      <c r="Z448" s="223"/>
    </row>
    <row r="449" spans="1:26" ht="12" customHeight="1" x14ac:dyDescent="0.35">
      <c r="A449" s="223"/>
      <c r="B449" s="223"/>
      <c r="C449" s="223"/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223"/>
      <c r="R449" s="223"/>
      <c r="S449" s="223"/>
      <c r="T449" s="223"/>
      <c r="U449" s="223"/>
      <c r="V449" s="223"/>
      <c r="W449" s="223"/>
      <c r="X449" s="223"/>
      <c r="Y449" s="223"/>
      <c r="Z449" s="223"/>
    </row>
    <row r="450" spans="1:26" ht="12" customHeight="1" x14ac:dyDescent="0.35">
      <c r="A450" s="223"/>
      <c r="B450" s="223"/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  <c r="U450" s="223"/>
      <c r="V450" s="223"/>
      <c r="W450" s="223"/>
      <c r="X450" s="223"/>
      <c r="Y450" s="223"/>
      <c r="Z450" s="223"/>
    </row>
    <row r="451" spans="1:26" ht="12" customHeight="1" x14ac:dyDescent="0.35">
      <c r="A451" s="223"/>
      <c r="B451" s="223"/>
      <c r="C451" s="223"/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  <c r="U451" s="223"/>
      <c r="V451" s="223"/>
      <c r="W451" s="223"/>
      <c r="X451" s="223"/>
      <c r="Y451" s="223"/>
      <c r="Z451" s="223"/>
    </row>
    <row r="452" spans="1:26" ht="12" customHeight="1" x14ac:dyDescent="0.35">
      <c r="A452" s="223"/>
      <c r="B452" s="223"/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23"/>
      <c r="Z452" s="223"/>
    </row>
    <row r="453" spans="1:26" ht="12" customHeight="1" x14ac:dyDescent="0.35">
      <c r="A453" s="223"/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  <c r="U453" s="223"/>
      <c r="V453" s="223"/>
      <c r="W453" s="223"/>
      <c r="X453" s="223"/>
      <c r="Y453" s="223"/>
      <c r="Z453" s="223"/>
    </row>
    <row r="454" spans="1:26" ht="12" customHeight="1" x14ac:dyDescent="0.35">
      <c r="A454" s="223"/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  <c r="U454" s="223"/>
      <c r="V454" s="223"/>
      <c r="W454" s="223"/>
      <c r="X454" s="223"/>
      <c r="Y454" s="223"/>
      <c r="Z454" s="223"/>
    </row>
    <row r="455" spans="1:26" ht="12" customHeight="1" x14ac:dyDescent="0.35">
      <c r="A455" s="223"/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  <c r="U455" s="223"/>
      <c r="V455" s="223"/>
      <c r="W455" s="223"/>
      <c r="X455" s="223"/>
      <c r="Y455" s="223"/>
      <c r="Z455" s="223"/>
    </row>
    <row r="456" spans="1:26" ht="12" customHeight="1" x14ac:dyDescent="0.35">
      <c r="A456" s="223"/>
      <c r="B456" s="223"/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  <c r="U456" s="223"/>
      <c r="V456" s="223"/>
      <c r="W456" s="223"/>
      <c r="X456" s="223"/>
      <c r="Y456" s="223"/>
      <c r="Z456" s="223"/>
    </row>
    <row r="457" spans="1:26" ht="12" customHeight="1" x14ac:dyDescent="0.35">
      <c r="A457" s="223"/>
      <c r="B457" s="223"/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3"/>
      <c r="X457" s="223"/>
      <c r="Y457" s="223"/>
      <c r="Z457" s="223"/>
    </row>
    <row r="458" spans="1:26" ht="12" customHeight="1" x14ac:dyDescent="0.35">
      <c r="A458" s="223"/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  <c r="U458" s="223"/>
      <c r="V458" s="223"/>
      <c r="W458" s="223"/>
      <c r="X458" s="223"/>
      <c r="Y458" s="223"/>
      <c r="Z458" s="223"/>
    </row>
    <row r="459" spans="1:26" ht="12" customHeight="1" x14ac:dyDescent="0.35">
      <c r="A459" s="223"/>
      <c r="B459" s="223"/>
      <c r="C459" s="223"/>
      <c r="D459" s="223"/>
      <c r="E459" s="223"/>
      <c r="F459" s="223"/>
      <c r="G459" s="223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  <c r="U459" s="223"/>
      <c r="V459" s="223"/>
      <c r="W459" s="223"/>
      <c r="X459" s="223"/>
      <c r="Y459" s="223"/>
      <c r="Z459" s="223"/>
    </row>
    <row r="460" spans="1:26" ht="12" customHeight="1" x14ac:dyDescent="0.35">
      <c r="A460" s="223"/>
      <c r="B460" s="223"/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  <c r="U460" s="223"/>
      <c r="V460" s="223"/>
      <c r="W460" s="223"/>
      <c r="X460" s="223"/>
      <c r="Y460" s="223"/>
      <c r="Z460" s="223"/>
    </row>
    <row r="461" spans="1:26" ht="12" customHeight="1" x14ac:dyDescent="0.35">
      <c r="A461" s="223"/>
      <c r="B461" s="223"/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  <c r="U461" s="223"/>
      <c r="V461" s="223"/>
      <c r="W461" s="223"/>
      <c r="X461" s="223"/>
      <c r="Y461" s="223"/>
      <c r="Z461" s="223"/>
    </row>
    <row r="462" spans="1:26" ht="12" customHeight="1" x14ac:dyDescent="0.35">
      <c r="A462" s="223"/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23"/>
      <c r="Z462" s="223"/>
    </row>
    <row r="463" spans="1:26" ht="12" customHeight="1" x14ac:dyDescent="0.35">
      <c r="A463" s="223"/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  <c r="R463" s="223"/>
      <c r="S463" s="223"/>
      <c r="T463" s="223"/>
      <c r="U463" s="223"/>
      <c r="V463" s="223"/>
      <c r="W463" s="223"/>
      <c r="X463" s="223"/>
      <c r="Y463" s="223"/>
      <c r="Z463" s="223"/>
    </row>
    <row r="464" spans="1:26" ht="12" customHeight="1" x14ac:dyDescent="0.35">
      <c r="A464" s="223"/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23"/>
      <c r="Z464" s="223"/>
    </row>
    <row r="465" spans="1:26" ht="12" customHeight="1" x14ac:dyDescent="0.35">
      <c r="A465" s="223"/>
      <c r="B465" s="223"/>
      <c r="C465" s="223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  <c r="U465" s="223"/>
      <c r="V465" s="223"/>
      <c r="W465" s="223"/>
      <c r="X465" s="223"/>
      <c r="Y465" s="223"/>
      <c r="Z465" s="223"/>
    </row>
    <row r="466" spans="1:26" ht="12" customHeight="1" x14ac:dyDescent="0.35">
      <c r="A466" s="223"/>
      <c r="B466" s="223"/>
      <c r="C466" s="223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  <c r="U466" s="223"/>
      <c r="V466" s="223"/>
      <c r="W466" s="223"/>
      <c r="X466" s="223"/>
      <c r="Y466" s="223"/>
      <c r="Z466" s="223"/>
    </row>
    <row r="467" spans="1:26" ht="12" customHeight="1" x14ac:dyDescent="0.35">
      <c r="A467" s="223"/>
      <c r="B467" s="223"/>
      <c r="C467" s="223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  <c r="U467" s="223"/>
      <c r="V467" s="223"/>
      <c r="W467" s="223"/>
      <c r="X467" s="223"/>
      <c r="Y467" s="223"/>
      <c r="Z467" s="223"/>
    </row>
    <row r="468" spans="1:26" ht="12" customHeight="1" x14ac:dyDescent="0.35">
      <c r="A468" s="223"/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23"/>
      <c r="Z468" s="223"/>
    </row>
    <row r="469" spans="1:26" ht="12" customHeight="1" x14ac:dyDescent="0.35">
      <c r="A469" s="223"/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23"/>
      <c r="Z469" s="223"/>
    </row>
    <row r="470" spans="1:26" ht="12" customHeight="1" x14ac:dyDescent="0.35">
      <c r="A470" s="223"/>
      <c r="B470" s="223"/>
      <c r="C470" s="223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3"/>
      <c r="X470" s="223"/>
      <c r="Y470" s="223"/>
      <c r="Z470" s="223"/>
    </row>
    <row r="471" spans="1:26" ht="12" customHeight="1" x14ac:dyDescent="0.35">
      <c r="A471" s="223"/>
      <c r="B471" s="223"/>
      <c r="C471" s="223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23"/>
      <c r="Z471" s="223"/>
    </row>
    <row r="472" spans="1:26" ht="12" customHeight="1" x14ac:dyDescent="0.35">
      <c r="A472" s="223"/>
      <c r="B472" s="223"/>
      <c r="C472" s="223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23"/>
      <c r="Z472" s="223"/>
    </row>
    <row r="473" spans="1:26" ht="12" customHeight="1" x14ac:dyDescent="0.35">
      <c r="A473" s="223"/>
      <c r="B473" s="223"/>
      <c r="C473" s="223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223"/>
      <c r="U473" s="223"/>
      <c r="V473" s="223"/>
      <c r="W473" s="223"/>
      <c r="X473" s="223"/>
      <c r="Y473" s="223"/>
      <c r="Z473" s="223"/>
    </row>
    <row r="474" spans="1:26" ht="12" customHeight="1" x14ac:dyDescent="0.35">
      <c r="A474" s="223"/>
      <c r="B474" s="223"/>
      <c r="C474" s="223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  <c r="U474" s="223"/>
      <c r="V474" s="223"/>
      <c r="W474" s="223"/>
      <c r="X474" s="223"/>
      <c r="Y474" s="223"/>
      <c r="Z474" s="223"/>
    </row>
    <row r="475" spans="1:26" ht="12" customHeight="1" x14ac:dyDescent="0.35">
      <c r="A475" s="223"/>
      <c r="B475" s="223"/>
      <c r="C475" s="223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23"/>
      <c r="V475" s="223"/>
      <c r="W475" s="223"/>
      <c r="X475" s="223"/>
      <c r="Y475" s="223"/>
      <c r="Z475" s="223"/>
    </row>
    <row r="476" spans="1:26" ht="12" customHeight="1" x14ac:dyDescent="0.35">
      <c r="A476" s="223"/>
      <c r="B476" s="223"/>
      <c r="C476" s="223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  <c r="U476" s="223"/>
      <c r="V476" s="223"/>
      <c r="W476" s="223"/>
      <c r="X476" s="223"/>
      <c r="Y476" s="223"/>
      <c r="Z476" s="223"/>
    </row>
    <row r="477" spans="1:26" ht="12" customHeight="1" x14ac:dyDescent="0.35">
      <c r="A477" s="223"/>
      <c r="B477" s="223"/>
      <c r="C477" s="223"/>
      <c r="D477" s="223"/>
      <c r="E477" s="223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  <c r="U477" s="223"/>
      <c r="V477" s="223"/>
      <c r="W477" s="223"/>
      <c r="X477" s="223"/>
      <c r="Y477" s="223"/>
      <c r="Z477" s="223"/>
    </row>
    <row r="478" spans="1:26" ht="12" customHeight="1" x14ac:dyDescent="0.35">
      <c r="A478" s="223"/>
      <c r="B478" s="223"/>
      <c r="C478" s="223"/>
      <c r="D478" s="223"/>
      <c r="E478" s="223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  <c r="U478" s="223"/>
      <c r="V478" s="223"/>
      <c r="W478" s="223"/>
      <c r="X478" s="223"/>
      <c r="Y478" s="223"/>
      <c r="Z478" s="223"/>
    </row>
    <row r="479" spans="1:26" ht="12" customHeight="1" x14ac:dyDescent="0.35">
      <c r="A479" s="223"/>
      <c r="B479" s="223"/>
      <c r="C479" s="223"/>
      <c r="D479" s="223"/>
      <c r="E479" s="223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  <c r="U479" s="223"/>
      <c r="V479" s="223"/>
      <c r="W479" s="223"/>
      <c r="X479" s="223"/>
      <c r="Y479" s="223"/>
      <c r="Z479" s="223"/>
    </row>
    <row r="480" spans="1:26" ht="12" customHeight="1" x14ac:dyDescent="0.35">
      <c r="A480" s="223"/>
      <c r="B480" s="223"/>
      <c r="C480" s="223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23"/>
      <c r="Z480" s="223"/>
    </row>
    <row r="481" spans="1:26" ht="12" customHeight="1" x14ac:dyDescent="0.35">
      <c r="A481" s="223"/>
      <c r="B481" s="223"/>
      <c r="C481" s="223"/>
      <c r="D481" s="223"/>
      <c r="E481" s="223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  <c r="U481" s="223"/>
      <c r="V481" s="223"/>
      <c r="W481" s="223"/>
      <c r="X481" s="223"/>
      <c r="Y481" s="223"/>
      <c r="Z481" s="223"/>
    </row>
    <row r="482" spans="1:26" ht="12" customHeight="1" x14ac:dyDescent="0.35">
      <c r="A482" s="223"/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223"/>
      <c r="V482" s="223"/>
      <c r="W482" s="223"/>
      <c r="X482" s="223"/>
      <c r="Y482" s="223"/>
      <c r="Z482" s="223"/>
    </row>
    <row r="483" spans="1:26" ht="12" customHeight="1" x14ac:dyDescent="0.35">
      <c r="A483" s="223"/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3"/>
      <c r="X483" s="223"/>
      <c r="Y483" s="223"/>
      <c r="Z483" s="223"/>
    </row>
    <row r="484" spans="1:26" ht="12" customHeight="1" x14ac:dyDescent="0.35">
      <c r="A484" s="223"/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23"/>
      <c r="Z484" s="223"/>
    </row>
    <row r="485" spans="1:26" ht="12" customHeight="1" x14ac:dyDescent="0.35">
      <c r="A485" s="223"/>
      <c r="B485" s="223"/>
      <c r="C485" s="223"/>
      <c r="D485" s="223"/>
      <c r="E485" s="223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  <c r="U485" s="223"/>
      <c r="V485" s="223"/>
      <c r="W485" s="223"/>
      <c r="X485" s="223"/>
      <c r="Y485" s="223"/>
      <c r="Z485" s="223"/>
    </row>
    <row r="486" spans="1:26" ht="12" customHeight="1" x14ac:dyDescent="0.35">
      <c r="A486" s="223"/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23"/>
      <c r="Z486" s="223"/>
    </row>
    <row r="487" spans="1:26" ht="12" customHeight="1" x14ac:dyDescent="0.35">
      <c r="A487" s="223"/>
      <c r="B487" s="223"/>
      <c r="C487" s="223"/>
      <c r="D487" s="223"/>
      <c r="E487" s="223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223"/>
      <c r="U487" s="223"/>
      <c r="V487" s="223"/>
      <c r="W487" s="223"/>
      <c r="X487" s="223"/>
      <c r="Y487" s="223"/>
      <c r="Z487" s="223"/>
    </row>
    <row r="488" spans="1:26" ht="12" customHeight="1" x14ac:dyDescent="0.35">
      <c r="A488" s="223"/>
      <c r="B488" s="223"/>
      <c r="C488" s="223"/>
      <c r="D488" s="223"/>
      <c r="E488" s="223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  <c r="U488" s="223"/>
      <c r="V488" s="223"/>
      <c r="W488" s="223"/>
      <c r="X488" s="223"/>
      <c r="Y488" s="223"/>
      <c r="Z488" s="223"/>
    </row>
    <row r="489" spans="1:26" ht="12" customHeight="1" x14ac:dyDescent="0.35">
      <c r="A489" s="223"/>
      <c r="B489" s="223"/>
      <c r="C489" s="223"/>
      <c r="D489" s="223"/>
      <c r="E489" s="223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  <c r="U489" s="223"/>
      <c r="V489" s="223"/>
      <c r="W489" s="223"/>
      <c r="X489" s="223"/>
      <c r="Y489" s="223"/>
      <c r="Z489" s="223"/>
    </row>
    <row r="490" spans="1:26" ht="12" customHeight="1" x14ac:dyDescent="0.35">
      <c r="A490" s="223"/>
      <c r="B490" s="223"/>
      <c r="C490" s="223"/>
      <c r="D490" s="223"/>
      <c r="E490" s="223"/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23"/>
      <c r="Z490" s="223"/>
    </row>
    <row r="491" spans="1:26" ht="12" customHeight="1" x14ac:dyDescent="0.35">
      <c r="A491" s="223"/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23"/>
      <c r="Z491" s="223"/>
    </row>
    <row r="492" spans="1:26" ht="12" customHeight="1" x14ac:dyDescent="0.35">
      <c r="A492" s="223"/>
      <c r="B492" s="223"/>
      <c r="C492" s="223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23"/>
      <c r="Z492" s="223"/>
    </row>
    <row r="493" spans="1:26" ht="12" customHeight="1" x14ac:dyDescent="0.35">
      <c r="A493" s="223"/>
      <c r="B493" s="223"/>
      <c r="C493" s="223"/>
      <c r="D493" s="223"/>
      <c r="E493" s="223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  <c r="U493" s="223"/>
      <c r="V493" s="223"/>
      <c r="W493" s="223"/>
      <c r="X493" s="223"/>
      <c r="Y493" s="223"/>
      <c r="Z493" s="223"/>
    </row>
    <row r="494" spans="1:26" ht="12" customHeight="1" x14ac:dyDescent="0.35">
      <c r="A494" s="223"/>
      <c r="B494" s="223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  <c r="U494" s="223"/>
      <c r="V494" s="223"/>
      <c r="W494" s="223"/>
      <c r="X494" s="223"/>
      <c r="Y494" s="223"/>
      <c r="Z494" s="223"/>
    </row>
    <row r="495" spans="1:26" ht="12" customHeight="1" x14ac:dyDescent="0.35">
      <c r="A495" s="223"/>
      <c r="B495" s="223"/>
      <c r="C495" s="223"/>
      <c r="D495" s="223"/>
      <c r="E495" s="223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23"/>
      <c r="Z495" s="223"/>
    </row>
    <row r="496" spans="1:26" ht="12" customHeight="1" x14ac:dyDescent="0.35">
      <c r="A496" s="223"/>
      <c r="B496" s="223"/>
      <c r="C496" s="223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23"/>
      <c r="Z496" s="223"/>
    </row>
    <row r="497" spans="1:26" ht="12" customHeight="1" x14ac:dyDescent="0.35">
      <c r="A497" s="223"/>
      <c r="B497" s="223"/>
      <c r="C497" s="223"/>
      <c r="D497" s="223"/>
      <c r="E497" s="223"/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  <c r="U497" s="223"/>
      <c r="V497" s="223"/>
      <c r="W497" s="223"/>
      <c r="X497" s="223"/>
      <c r="Y497" s="223"/>
      <c r="Z497" s="223"/>
    </row>
    <row r="498" spans="1:26" ht="12" customHeight="1" x14ac:dyDescent="0.35">
      <c r="A498" s="223"/>
      <c r="B498" s="223"/>
      <c r="C498" s="223"/>
      <c r="D498" s="223"/>
      <c r="E498" s="223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23"/>
      <c r="Z498" s="223"/>
    </row>
    <row r="499" spans="1:26" ht="12" customHeight="1" x14ac:dyDescent="0.35">
      <c r="A499" s="223"/>
      <c r="B499" s="223"/>
      <c r="C499" s="223"/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23"/>
      <c r="Z499" s="223"/>
    </row>
    <row r="500" spans="1:26" ht="12" customHeight="1" x14ac:dyDescent="0.35">
      <c r="A500" s="223"/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23"/>
      <c r="Z500" s="223"/>
    </row>
    <row r="501" spans="1:26" ht="12" customHeight="1" x14ac:dyDescent="0.35">
      <c r="A501" s="223"/>
      <c r="B501" s="223"/>
      <c r="C501" s="223"/>
      <c r="D501" s="223"/>
      <c r="E501" s="223"/>
      <c r="F501" s="223"/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223"/>
      <c r="U501" s="223"/>
      <c r="V501" s="223"/>
      <c r="W501" s="223"/>
      <c r="X501" s="223"/>
      <c r="Y501" s="223"/>
      <c r="Z501" s="223"/>
    </row>
    <row r="502" spans="1:26" ht="12" customHeight="1" x14ac:dyDescent="0.35">
      <c r="A502" s="223"/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23"/>
      <c r="Z502" s="223"/>
    </row>
    <row r="503" spans="1:26" ht="12" customHeight="1" x14ac:dyDescent="0.35">
      <c r="A503" s="223"/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23"/>
      <c r="Z503" s="223"/>
    </row>
    <row r="504" spans="1:26" ht="12" customHeight="1" x14ac:dyDescent="0.35">
      <c r="A504" s="223"/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23"/>
      <c r="Z504" s="223"/>
    </row>
    <row r="505" spans="1:26" ht="12" customHeight="1" x14ac:dyDescent="0.35">
      <c r="A505" s="223"/>
      <c r="B505" s="223"/>
      <c r="C505" s="223"/>
      <c r="D505" s="223"/>
      <c r="E505" s="223"/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/>
      <c r="U505" s="223"/>
      <c r="V505" s="223"/>
      <c r="W505" s="223"/>
      <c r="X505" s="223"/>
      <c r="Y505" s="223"/>
      <c r="Z505" s="223"/>
    </row>
    <row r="506" spans="1:26" ht="12" customHeight="1" x14ac:dyDescent="0.35">
      <c r="A506" s="223"/>
      <c r="B506" s="223"/>
      <c r="C506" s="223"/>
      <c r="D506" s="223"/>
      <c r="E506" s="223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3"/>
      <c r="Z506" s="223"/>
    </row>
    <row r="507" spans="1:26" ht="12" customHeight="1" x14ac:dyDescent="0.35">
      <c r="A507" s="223"/>
      <c r="B507" s="223"/>
      <c r="C507" s="223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23"/>
    </row>
    <row r="508" spans="1:26" ht="12" customHeight="1" x14ac:dyDescent="0.35">
      <c r="A508" s="223"/>
      <c r="B508" s="223"/>
      <c r="C508" s="223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23"/>
      <c r="Z508" s="223"/>
    </row>
    <row r="509" spans="1:26" ht="12" customHeight="1" x14ac:dyDescent="0.35">
      <c r="A509" s="223"/>
      <c r="B509" s="223"/>
      <c r="C509" s="223"/>
      <c r="D509" s="223"/>
      <c r="E509" s="223"/>
      <c r="F509" s="223"/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  <c r="U509" s="223"/>
      <c r="V509" s="223"/>
      <c r="W509" s="223"/>
      <c r="X509" s="223"/>
      <c r="Y509" s="223"/>
      <c r="Z509" s="223"/>
    </row>
    <row r="510" spans="1:26" ht="12" customHeight="1" x14ac:dyDescent="0.35">
      <c r="A510" s="223"/>
      <c r="B510" s="223"/>
      <c r="C510" s="223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3"/>
      <c r="Z510" s="223"/>
    </row>
    <row r="511" spans="1:26" ht="12" customHeight="1" x14ac:dyDescent="0.35">
      <c r="A511" s="223"/>
      <c r="B511" s="223"/>
      <c r="C511" s="223"/>
      <c r="D511" s="223"/>
      <c r="E511" s="223"/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23"/>
      <c r="Z511" s="223"/>
    </row>
    <row r="512" spans="1:26" ht="12" customHeight="1" x14ac:dyDescent="0.35">
      <c r="A512" s="223"/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23"/>
      <c r="Z512" s="223"/>
    </row>
    <row r="513" spans="1:26" ht="12" customHeight="1" x14ac:dyDescent="0.35">
      <c r="A513" s="223"/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  <c r="U513" s="223"/>
      <c r="V513" s="223"/>
      <c r="W513" s="223"/>
      <c r="X513" s="223"/>
      <c r="Y513" s="223"/>
      <c r="Z513" s="223"/>
    </row>
    <row r="514" spans="1:26" ht="12" customHeight="1" x14ac:dyDescent="0.35">
      <c r="A514" s="223"/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23"/>
      <c r="Z514" s="223"/>
    </row>
    <row r="515" spans="1:26" ht="12" customHeight="1" x14ac:dyDescent="0.35">
      <c r="A515" s="223"/>
      <c r="B515" s="223"/>
      <c r="C515" s="223"/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</row>
    <row r="516" spans="1:26" ht="12" customHeight="1" x14ac:dyDescent="0.35">
      <c r="A516" s="223"/>
      <c r="B516" s="223"/>
      <c r="C516" s="223"/>
      <c r="D516" s="223"/>
      <c r="E516" s="223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23"/>
      <c r="Z516" s="223"/>
    </row>
    <row r="517" spans="1:26" ht="12" customHeight="1" x14ac:dyDescent="0.35">
      <c r="A517" s="223"/>
      <c r="B517" s="223"/>
      <c r="C517" s="223"/>
      <c r="D517" s="223"/>
      <c r="E517" s="223"/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23"/>
      <c r="Z517" s="223"/>
    </row>
    <row r="518" spans="1:26" ht="12" customHeight="1" x14ac:dyDescent="0.35">
      <c r="A518" s="223"/>
      <c r="B518" s="223"/>
      <c r="C518" s="223"/>
      <c r="D518" s="223"/>
      <c r="E518" s="223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23"/>
      <c r="Z518" s="223"/>
    </row>
    <row r="519" spans="1:26" ht="12" customHeight="1" x14ac:dyDescent="0.35">
      <c r="A519" s="223"/>
      <c r="B519" s="223"/>
      <c r="C519" s="223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3"/>
      <c r="Z519" s="223"/>
    </row>
    <row r="520" spans="1:26" ht="12" customHeight="1" x14ac:dyDescent="0.35">
      <c r="A520" s="223"/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23"/>
      <c r="Z520" s="223"/>
    </row>
    <row r="521" spans="1:26" ht="12" customHeight="1" x14ac:dyDescent="0.35">
      <c r="A521" s="223"/>
      <c r="B521" s="223"/>
      <c r="C521" s="223"/>
      <c r="D521" s="223"/>
      <c r="E521" s="223"/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  <c r="U521" s="223"/>
      <c r="V521" s="223"/>
      <c r="W521" s="223"/>
      <c r="X521" s="223"/>
      <c r="Y521" s="223"/>
      <c r="Z521" s="223"/>
    </row>
    <row r="522" spans="1:26" ht="12" customHeight="1" x14ac:dyDescent="0.35">
      <c r="A522" s="223"/>
      <c r="B522" s="223"/>
      <c r="C522" s="223"/>
      <c r="D522" s="223"/>
      <c r="E522" s="223"/>
      <c r="F522" s="223"/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  <c r="U522" s="223"/>
      <c r="V522" s="223"/>
      <c r="W522" s="223"/>
      <c r="X522" s="223"/>
      <c r="Y522" s="223"/>
      <c r="Z522" s="223"/>
    </row>
    <row r="523" spans="1:26" ht="12" customHeight="1" x14ac:dyDescent="0.35">
      <c r="A523" s="223"/>
      <c r="B523" s="223"/>
      <c r="C523" s="223"/>
      <c r="D523" s="223"/>
      <c r="E523" s="223"/>
      <c r="F523" s="223"/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</row>
    <row r="524" spans="1:26" ht="12" customHeight="1" x14ac:dyDescent="0.35">
      <c r="A524" s="223"/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23"/>
      <c r="Z524" s="223"/>
    </row>
    <row r="525" spans="1:26" ht="12" customHeight="1" x14ac:dyDescent="0.35">
      <c r="A525" s="223"/>
      <c r="B525" s="223"/>
      <c r="C525" s="223"/>
      <c r="D525" s="223"/>
      <c r="E525" s="223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  <c r="U525" s="223"/>
      <c r="V525" s="223"/>
      <c r="W525" s="223"/>
      <c r="X525" s="223"/>
      <c r="Y525" s="223"/>
      <c r="Z525" s="223"/>
    </row>
    <row r="526" spans="1:26" ht="12" customHeight="1" x14ac:dyDescent="0.35">
      <c r="A526" s="223"/>
      <c r="B526" s="223"/>
      <c r="C526" s="223"/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23"/>
      <c r="Z526" s="223"/>
    </row>
    <row r="527" spans="1:26" ht="12" customHeight="1" x14ac:dyDescent="0.35">
      <c r="A527" s="223"/>
      <c r="B527" s="223"/>
      <c r="C527" s="223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23"/>
      <c r="Z527" s="223"/>
    </row>
    <row r="528" spans="1:26" ht="12" customHeight="1" x14ac:dyDescent="0.35">
      <c r="A528" s="223"/>
      <c r="B528" s="223"/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23"/>
      <c r="Z528" s="223"/>
    </row>
    <row r="529" spans="1:26" ht="12" customHeight="1" x14ac:dyDescent="0.35">
      <c r="A529" s="223"/>
      <c r="B529" s="223"/>
      <c r="C529" s="223"/>
      <c r="D529" s="223"/>
      <c r="E529" s="223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23"/>
      <c r="Z529" s="223"/>
    </row>
    <row r="530" spans="1:26" ht="12" customHeight="1" x14ac:dyDescent="0.35">
      <c r="A530" s="223"/>
      <c r="B530" s="223"/>
      <c r="C530" s="223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</row>
    <row r="531" spans="1:26" ht="12" customHeight="1" x14ac:dyDescent="0.35">
      <c r="A531" s="223"/>
      <c r="B531" s="223"/>
      <c r="C531" s="223"/>
      <c r="D531" s="223"/>
      <c r="E531" s="223"/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</row>
    <row r="532" spans="1:26" ht="12" customHeight="1" x14ac:dyDescent="0.35">
      <c r="A532" s="223"/>
      <c r="B532" s="223"/>
      <c r="C532" s="223"/>
      <c r="D532" s="223"/>
      <c r="E532" s="223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23"/>
      <c r="Z532" s="223"/>
    </row>
    <row r="533" spans="1:26" ht="12" customHeight="1" x14ac:dyDescent="0.35">
      <c r="A533" s="223"/>
      <c r="B533" s="223"/>
      <c r="C533" s="223"/>
      <c r="D533" s="223"/>
      <c r="E533" s="223"/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</row>
    <row r="534" spans="1:26" ht="12" customHeight="1" x14ac:dyDescent="0.35">
      <c r="A534" s="223"/>
      <c r="B534" s="223"/>
      <c r="C534" s="223"/>
      <c r="D534" s="223"/>
      <c r="E534" s="223"/>
      <c r="F534" s="223"/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23"/>
      <c r="Z534" s="223"/>
    </row>
    <row r="535" spans="1:26" ht="12" customHeight="1" x14ac:dyDescent="0.35">
      <c r="A535" s="223"/>
      <c r="B535" s="223"/>
      <c r="C535" s="223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</row>
    <row r="536" spans="1:26" ht="12" customHeight="1" x14ac:dyDescent="0.35">
      <c r="A536" s="223"/>
      <c r="B536" s="223"/>
      <c r="C536" s="223"/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</row>
    <row r="537" spans="1:26" ht="12" customHeight="1" x14ac:dyDescent="0.35">
      <c r="A537" s="223"/>
      <c r="B537" s="223"/>
      <c r="C537" s="223"/>
      <c r="D537" s="223"/>
      <c r="E537" s="223"/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</row>
    <row r="538" spans="1:26" ht="12" customHeight="1" x14ac:dyDescent="0.35">
      <c r="A538" s="223"/>
      <c r="B538" s="223"/>
      <c r="C538" s="223"/>
      <c r="D538" s="223"/>
      <c r="E538" s="223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</row>
    <row r="539" spans="1:26" ht="12" customHeight="1" x14ac:dyDescent="0.35">
      <c r="A539" s="223"/>
      <c r="B539" s="223"/>
      <c r="C539" s="223"/>
      <c r="D539" s="223"/>
      <c r="E539" s="223"/>
      <c r="F539" s="223"/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</row>
    <row r="540" spans="1:26" ht="12" customHeight="1" x14ac:dyDescent="0.35">
      <c r="A540" s="223"/>
      <c r="B540" s="223"/>
      <c r="C540" s="223"/>
      <c r="D540" s="223"/>
      <c r="E540" s="223"/>
      <c r="F540" s="223"/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</row>
    <row r="541" spans="1:26" ht="12" customHeight="1" x14ac:dyDescent="0.35">
      <c r="A541" s="223"/>
      <c r="B541" s="223"/>
      <c r="C541" s="223"/>
      <c r="D541" s="223"/>
      <c r="E541" s="223"/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</row>
    <row r="542" spans="1:26" ht="12" customHeight="1" x14ac:dyDescent="0.35">
      <c r="A542" s="223"/>
      <c r="B542" s="223"/>
      <c r="C542" s="223"/>
      <c r="D542" s="223"/>
      <c r="E542" s="223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23"/>
      <c r="Z542" s="223"/>
    </row>
    <row r="543" spans="1:26" ht="12" customHeight="1" x14ac:dyDescent="0.35">
      <c r="A543" s="223"/>
      <c r="B543" s="223"/>
      <c r="C543" s="223"/>
      <c r="D543" s="223"/>
      <c r="E543" s="223"/>
      <c r="F543" s="223"/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</row>
    <row r="544" spans="1:26" ht="12" customHeight="1" x14ac:dyDescent="0.35">
      <c r="A544" s="223"/>
      <c r="B544" s="223"/>
      <c r="C544" s="223"/>
      <c r="D544" s="223"/>
      <c r="E544" s="223"/>
      <c r="F544" s="223"/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23"/>
      <c r="Z544" s="223"/>
    </row>
    <row r="545" spans="1:26" ht="12" customHeight="1" x14ac:dyDescent="0.35">
      <c r="A545" s="223"/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23"/>
      <c r="Z545" s="223"/>
    </row>
    <row r="546" spans="1:26" ht="12" customHeight="1" x14ac:dyDescent="0.35">
      <c r="A546" s="223"/>
      <c r="B546" s="223"/>
      <c r="C546" s="223"/>
      <c r="D546" s="223"/>
      <c r="E546" s="223"/>
      <c r="F546" s="223"/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23"/>
      <c r="Z546" s="223"/>
    </row>
    <row r="547" spans="1:26" ht="12" customHeight="1" x14ac:dyDescent="0.35">
      <c r="A547" s="223"/>
      <c r="B547" s="223"/>
      <c r="C547" s="223"/>
      <c r="D547" s="223"/>
      <c r="E547" s="223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</row>
    <row r="548" spans="1:26" ht="12" customHeight="1" x14ac:dyDescent="0.35">
      <c r="A548" s="223"/>
      <c r="B548" s="223"/>
      <c r="C548" s="223"/>
      <c r="D548" s="223"/>
      <c r="E548" s="223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23"/>
      <c r="Z548" s="223"/>
    </row>
    <row r="549" spans="1:26" ht="12" customHeight="1" x14ac:dyDescent="0.35">
      <c r="A549" s="223"/>
      <c r="B549" s="223"/>
      <c r="C549" s="223"/>
      <c r="D549" s="223"/>
      <c r="E549" s="223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23"/>
      <c r="Z549" s="223"/>
    </row>
    <row r="550" spans="1:26" ht="12" customHeight="1" x14ac:dyDescent="0.35">
      <c r="A550" s="223"/>
      <c r="B550" s="223"/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23"/>
      <c r="Z550" s="223"/>
    </row>
    <row r="551" spans="1:26" ht="12" customHeight="1" x14ac:dyDescent="0.35">
      <c r="A551" s="223"/>
      <c r="B551" s="223"/>
      <c r="C551" s="223"/>
      <c r="D551" s="223"/>
      <c r="E551" s="223"/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</row>
    <row r="552" spans="1:26" ht="12" customHeight="1" x14ac:dyDescent="0.35">
      <c r="A552" s="223"/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</row>
    <row r="553" spans="1:26" ht="12" customHeight="1" x14ac:dyDescent="0.35">
      <c r="A553" s="223"/>
      <c r="B553" s="223"/>
      <c r="C553" s="223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</row>
    <row r="554" spans="1:26" ht="12" customHeight="1" x14ac:dyDescent="0.35">
      <c r="A554" s="223"/>
      <c r="B554" s="223"/>
      <c r="C554" s="223"/>
      <c r="D554" s="223"/>
      <c r="E554" s="223"/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</row>
    <row r="555" spans="1:26" ht="12" customHeight="1" x14ac:dyDescent="0.35">
      <c r="A555" s="223"/>
      <c r="B555" s="223"/>
      <c r="C555" s="223"/>
      <c r="D555" s="223"/>
      <c r="E555" s="223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</row>
    <row r="556" spans="1:26" ht="12" customHeight="1" x14ac:dyDescent="0.35">
      <c r="A556" s="223"/>
      <c r="B556" s="223"/>
      <c r="C556" s="223"/>
      <c r="D556" s="223"/>
      <c r="E556" s="223"/>
      <c r="F556" s="223"/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</row>
    <row r="557" spans="1:26" ht="12" customHeight="1" x14ac:dyDescent="0.35">
      <c r="A557" s="223"/>
      <c r="B557" s="223"/>
      <c r="C557" s="223"/>
      <c r="D557" s="223"/>
      <c r="E557" s="223"/>
      <c r="F557" s="223"/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23"/>
      <c r="Z557" s="223"/>
    </row>
    <row r="558" spans="1:26" ht="12" customHeight="1" x14ac:dyDescent="0.35">
      <c r="A558" s="223"/>
      <c r="B558" s="223"/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</row>
    <row r="559" spans="1:26" ht="12" customHeight="1" x14ac:dyDescent="0.35">
      <c r="A559" s="223"/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23"/>
      <c r="Z559" s="223"/>
    </row>
    <row r="560" spans="1:26" ht="12" customHeight="1" x14ac:dyDescent="0.35">
      <c r="A560" s="223"/>
      <c r="B560" s="223"/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</row>
    <row r="561" spans="1:26" ht="12" customHeight="1" x14ac:dyDescent="0.35">
      <c r="A561" s="223"/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23"/>
      <c r="Z561" s="223"/>
    </row>
    <row r="562" spans="1:26" ht="12" customHeight="1" x14ac:dyDescent="0.35">
      <c r="A562" s="223"/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23"/>
      <c r="Z562" s="223"/>
    </row>
    <row r="563" spans="1:26" ht="12" customHeight="1" x14ac:dyDescent="0.35">
      <c r="A563" s="223"/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23"/>
      <c r="Z563" s="223"/>
    </row>
    <row r="564" spans="1:26" ht="12" customHeight="1" x14ac:dyDescent="0.35">
      <c r="A564" s="223"/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23"/>
      <c r="Z564" s="223"/>
    </row>
    <row r="565" spans="1:26" ht="12" customHeight="1" x14ac:dyDescent="0.35">
      <c r="A565" s="223"/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</row>
    <row r="566" spans="1:26" ht="12" customHeight="1" x14ac:dyDescent="0.35">
      <c r="A566" s="223"/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</row>
    <row r="567" spans="1:26" ht="12" customHeight="1" x14ac:dyDescent="0.35">
      <c r="A567" s="223"/>
      <c r="B567" s="223"/>
      <c r="C567" s="223"/>
      <c r="D567" s="223"/>
      <c r="E567" s="223"/>
      <c r="F567" s="223"/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23"/>
      <c r="Z567" s="223"/>
    </row>
    <row r="568" spans="1:26" ht="12" customHeight="1" x14ac:dyDescent="0.35">
      <c r="A568" s="223"/>
      <c r="B568" s="223"/>
      <c r="C568" s="223"/>
      <c r="D568" s="223"/>
      <c r="E568" s="223"/>
      <c r="F568" s="223"/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23"/>
      <c r="Z568" s="223"/>
    </row>
    <row r="569" spans="1:26" ht="12" customHeight="1" x14ac:dyDescent="0.35">
      <c r="A569" s="223"/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</row>
    <row r="570" spans="1:26" ht="12" customHeight="1" x14ac:dyDescent="0.35">
      <c r="A570" s="223"/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</row>
    <row r="571" spans="1:26" ht="12" customHeight="1" x14ac:dyDescent="0.35">
      <c r="A571" s="223"/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</row>
    <row r="572" spans="1:26" ht="12" customHeight="1" x14ac:dyDescent="0.35">
      <c r="A572" s="223"/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</row>
    <row r="573" spans="1:26" ht="12" customHeight="1" x14ac:dyDescent="0.35">
      <c r="A573" s="223"/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23"/>
      <c r="Z573" s="223"/>
    </row>
    <row r="574" spans="1:26" ht="12" customHeight="1" x14ac:dyDescent="0.35">
      <c r="A574" s="223"/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23"/>
      <c r="Z574" s="223"/>
    </row>
    <row r="575" spans="1:26" ht="12" customHeight="1" x14ac:dyDescent="0.35">
      <c r="A575" s="223"/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23"/>
      <c r="Z575" s="223"/>
    </row>
    <row r="576" spans="1:26" ht="12" customHeight="1" x14ac:dyDescent="0.35">
      <c r="A576" s="223"/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23"/>
      <c r="Z576" s="223"/>
    </row>
    <row r="577" spans="1:26" ht="12" customHeight="1" x14ac:dyDescent="0.35">
      <c r="A577" s="223"/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</row>
    <row r="578" spans="1:26" ht="12" customHeight="1" x14ac:dyDescent="0.35">
      <c r="A578" s="223"/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</row>
    <row r="579" spans="1:26" ht="12" customHeight="1" x14ac:dyDescent="0.35">
      <c r="A579" s="223"/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23"/>
      <c r="Z579" s="223"/>
    </row>
    <row r="580" spans="1:26" ht="12" customHeight="1" x14ac:dyDescent="0.35">
      <c r="A580" s="223"/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23"/>
      <c r="Z580" s="223"/>
    </row>
    <row r="581" spans="1:26" ht="12" customHeight="1" x14ac:dyDescent="0.35">
      <c r="A581" s="223"/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</row>
    <row r="582" spans="1:26" ht="12" customHeight="1" x14ac:dyDescent="0.35">
      <c r="A582" s="223"/>
      <c r="B582" s="223"/>
      <c r="C582" s="223"/>
      <c r="D582" s="223"/>
      <c r="E582" s="223"/>
      <c r="F582" s="223"/>
      <c r="G582" s="223"/>
      <c r="H582" s="223"/>
      <c r="I582" s="223"/>
      <c r="J582" s="223"/>
      <c r="K582" s="223"/>
      <c r="L582" s="223"/>
      <c r="M582" s="223"/>
      <c r="N582" s="223"/>
      <c r="O582" s="223"/>
      <c r="P582" s="223"/>
      <c r="Q582" s="223"/>
      <c r="R582" s="223"/>
      <c r="S582" s="223"/>
      <c r="T582" s="223"/>
      <c r="U582" s="223"/>
      <c r="V582" s="223"/>
      <c r="W582" s="223"/>
      <c r="X582" s="223"/>
      <c r="Y582" s="223"/>
      <c r="Z582" s="223"/>
    </row>
    <row r="583" spans="1:26" ht="12" customHeight="1" x14ac:dyDescent="0.35">
      <c r="A583" s="223"/>
      <c r="B583" s="223"/>
      <c r="C583" s="223"/>
      <c r="D583" s="223"/>
      <c r="E583" s="223"/>
      <c r="F583" s="223"/>
      <c r="G583" s="223"/>
      <c r="H583" s="223"/>
      <c r="I583" s="223"/>
      <c r="J583" s="223"/>
      <c r="K583" s="223"/>
      <c r="L583" s="223"/>
      <c r="M583" s="223"/>
      <c r="N583" s="223"/>
      <c r="O583" s="223"/>
      <c r="P583" s="223"/>
      <c r="Q583" s="223"/>
      <c r="R583" s="223"/>
      <c r="S583" s="223"/>
      <c r="T583" s="223"/>
      <c r="U583" s="223"/>
      <c r="V583" s="223"/>
      <c r="W583" s="223"/>
      <c r="X583" s="223"/>
      <c r="Y583" s="223"/>
      <c r="Z583" s="223"/>
    </row>
    <row r="584" spans="1:26" ht="12" customHeight="1" x14ac:dyDescent="0.35">
      <c r="A584" s="223"/>
      <c r="B584" s="223"/>
      <c r="C584" s="223"/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23"/>
      <c r="Z584" s="223"/>
    </row>
    <row r="585" spans="1:26" ht="12" customHeight="1" x14ac:dyDescent="0.35">
      <c r="A585" s="223"/>
      <c r="B585" s="223"/>
      <c r="C585" s="223"/>
      <c r="D585" s="223"/>
      <c r="E585" s="223"/>
      <c r="F585" s="223"/>
      <c r="G585" s="223"/>
      <c r="H585" s="223"/>
      <c r="I585" s="223"/>
      <c r="J585" s="223"/>
      <c r="K585" s="223"/>
      <c r="L585" s="223"/>
      <c r="M585" s="223"/>
      <c r="N585" s="223"/>
      <c r="O585" s="223"/>
      <c r="P585" s="223"/>
      <c r="Q585" s="223"/>
      <c r="R585" s="223"/>
      <c r="S585" s="223"/>
      <c r="T585" s="223"/>
      <c r="U585" s="223"/>
      <c r="V585" s="223"/>
      <c r="W585" s="223"/>
      <c r="X585" s="223"/>
      <c r="Y585" s="223"/>
      <c r="Z585" s="223"/>
    </row>
    <row r="586" spans="1:26" ht="12" customHeight="1" x14ac:dyDescent="0.35">
      <c r="A586" s="223"/>
      <c r="B586" s="223"/>
      <c r="C586" s="223"/>
      <c r="D586" s="223"/>
      <c r="E586" s="223"/>
      <c r="F586" s="223"/>
      <c r="G586" s="223"/>
      <c r="H586" s="223"/>
      <c r="I586" s="223"/>
      <c r="J586" s="223"/>
      <c r="K586" s="223"/>
      <c r="L586" s="223"/>
      <c r="M586" s="223"/>
      <c r="N586" s="223"/>
      <c r="O586" s="223"/>
      <c r="P586" s="223"/>
      <c r="Q586" s="223"/>
      <c r="R586" s="223"/>
      <c r="S586" s="223"/>
      <c r="T586" s="223"/>
      <c r="U586" s="223"/>
      <c r="V586" s="223"/>
      <c r="W586" s="223"/>
      <c r="X586" s="223"/>
      <c r="Y586" s="223"/>
      <c r="Z586" s="223"/>
    </row>
    <row r="587" spans="1:26" ht="12" customHeight="1" x14ac:dyDescent="0.35">
      <c r="A587" s="223"/>
      <c r="B587" s="223"/>
      <c r="C587" s="223"/>
      <c r="D587" s="223"/>
      <c r="E587" s="223"/>
      <c r="F587" s="223"/>
      <c r="G587" s="223"/>
      <c r="H587" s="223"/>
      <c r="I587" s="223"/>
      <c r="J587" s="223"/>
      <c r="K587" s="223"/>
      <c r="L587" s="223"/>
      <c r="M587" s="223"/>
      <c r="N587" s="223"/>
      <c r="O587" s="223"/>
      <c r="P587" s="223"/>
      <c r="Q587" s="223"/>
      <c r="R587" s="223"/>
      <c r="S587" s="223"/>
      <c r="T587" s="223"/>
      <c r="U587" s="223"/>
      <c r="V587" s="223"/>
      <c r="W587" s="223"/>
      <c r="X587" s="223"/>
      <c r="Y587" s="223"/>
      <c r="Z587" s="223"/>
    </row>
    <row r="588" spans="1:26" ht="12" customHeight="1" x14ac:dyDescent="0.35">
      <c r="A588" s="223"/>
      <c r="B588" s="223"/>
      <c r="C588" s="223"/>
      <c r="D588" s="223"/>
      <c r="E588" s="223"/>
      <c r="F588" s="223"/>
      <c r="G588" s="223"/>
      <c r="H588" s="223"/>
      <c r="I588" s="223"/>
      <c r="J588" s="223"/>
      <c r="K588" s="223"/>
      <c r="L588" s="223"/>
      <c r="M588" s="223"/>
      <c r="N588" s="223"/>
      <c r="O588" s="223"/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</row>
    <row r="589" spans="1:26" ht="12" customHeight="1" x14ac:dyDescent="0.35">
      <c r="A589" s="223"/>
      <c r="B589" s="223"/>
      <c r="C589" s="223"/>
      <c r="D589" s="223"/>
      <c r="E589" s="223"/>
      <c r="F589" s="223"/>
      <c r="G589" s="223"/>
      <c r="H589" s="223"/>
      <c r="I589" s="223"/>
      <c r="J589" s="223"/>
      <c r="K589" s="223"/>
      <c r="L589" s="223"/>
      <c r="M589" s="223"/>
      <c r="N589" s="223"/>
      <c r="O589" s="223"/>
      <c r="P589" s="223"/>
      <c r="Q589" s="223"/>
      <c r="R589" s="223"/>
      <c r="S589" s="223"/>
      <c r="T589" s="223"/>
      <c r="U589" s="223"/>
      <c r="V589" s="223"/>
      <c r="W589" s="223"/>
      <c r="X589" s="223"/>
      <c r="Y589" s="223"/>
      <c r="Z589" s="223"/>
    </row>
    <row r="590" spans="1:26" ht="12" customHeight="1" x14ac:dyDescent="0.35">
      <c r="A590" s="223"/>
      <c r="B590" s="223"/>
      <c r="C590" s="223"/>
      <c r="D590" s="223"/>
      <c r="E590" s="223"/>
      <c r="F590" s="223"/>
      <c r="G590" s="223"/>
      <c r="H590" s="223"/>
      <c r="I590" s="223"/>
      <c r="J590" s="223"/>
      <c r="K590" s="223"/>
      <c r="L590" s="223"/>
      <c r="M590" s="223"/>
      <c r="N590" s="223"/>
      <c r="O590" s="223"/>
      <c r="P590" s="223"/>
      <c r="Q590" s="223"/>
      <c r="R590" s="223"/>
      <c r="S590" s="223"/>
      <c r="T590" s="223"/>
      <c r="U590" s="223"/>
      <c r="V590" s="223"/>
      <c r="W590" s="223"/>
      <c r="X590" s="223"/>
      <c r="Y590" s="223"/>
      <c r="Z590" s="223"/>
    </row>
    <row r="591" spans="1:26" ht="12" customHeight="1" x14ac:dyDescent="0.35">
      <c r="A591" s="223"/>
      <c r="B591" s="223"/>
      <c r="C591" s="223"/>
      <c r="D591" s="223"/>
      <c r="E591" s="223"/>
      <c r="F591" s="223"/>
      <c r="G591" s="223"/>
      <c r="H591" s="223"/>
      <c r="I591" s="223"/>
      <c r="J591" s="223"/>
      <c r="K591" s="223"/>
      <c r="L591" s="223"/>
      <c r="M591" s="223"/>
      <c r="N591" s="223"/>
      <c r="O591" s="223"/>
      <c r="P591" s="223"/>
      <c r="Q591" s="223"/>
      <c r="R591" s="223"/>
      <c r="S591" s="223"/>
      <c r="T591" s="223"/>
      <c r="U591" s="223"/>
      <c r="V591" s="223"/>
      <c r="W591" s="223"/>
      <c r="X591" s="223"/>
      <c r="Y591" s="223"/>
      <c r="Z591" s="223"/>
    </row>
    <row r="592" spans="1:26" ht="12" customHeight="1" x14ac:dyDescent="0.35">
      <c r="A592" s="223"/>
      <c r="B592" s="223"/>
      <c r="C592" s="223"/>
      <c r="D592" s="223"/>
      <c r="E592" s="223"/>
      <c r="F592" s="223"/>
      <c r="G592" s="223"/>
      <c r="H592" s="223"/>
      <c r="I592" s="223"/>
      <c r="J592" s="223"/>
      <c r="K592" s="223"/>
      <c r="L592" s="223"/>
      <c r="M592" s="223"/>
      <c r="N592" s="223"/>
      <c r="O592" s="223"/>
      <c r="P592" s="223"/>
      <c r="Q592" s="223"/>
      <c r="R592" s="223"/>
      <c r="S592" s="223"/>
      <c r="T592" s="223"/>
      <c r="U592" s="223"/>
      <c r="V592" s="223"/>
      <c r="W592" s="223"/>
      <c r="X592" s="223"/>
      <c r="Y592" s="223"/>
      <c r="Z592" s="223"/>
    </row>
    <row r="593" spans="1:26" ht="12" customHeight="1" x14ac:dyDescent="0.35">
      <c r="A593" s="223"/>
      <c r="B593" s="223"/>
      <c r="C593" s="223"/>
      <c r="D593" s="223"/>
      <c r="E593" s="223"/>
      <c r="F593" s="223"/>
      <c r="G593" s="223"/>
      <c r="H593" s="223"/>
      <c r="I593" s="223"/>
      <c r="J593" s="223"/>
      <c r="K593" s="223"/>
      <c r="L593" s="223"/>
      <c r="M593" s="223"/>
      <c r="N593" s="223"/>
      <c r="O593" s="223"/>
      <c r="P593" s="223"/>
      <c r="Q593" s="223"/>
      <c r="R593" s="223"/>
      <c r="S593" s="223"/>
      <c r="T593" s="223"/>
      <c r="U593" s="223"/>
      <c r="V593" s="223"/>
      <c r="W593" s="223"/>
      <c r="X593" s="223"/>
      <c r="Y593" s="223"/>
      <c r="Z593" s="223"/>
    </row>
    <row r="594" spans="1:26" ht="12" customHeight="1" x14ac:dyDescent="0.35">
      <c r="A594" s="223"/>
      <c r="B594" s="223"/>
      <c r="C594" s="223"/>
      <c r="D594" s="223"/>
      <c r="E594" s="223"/>
      <c r="F594" s="223"/>
      <c r="G594" s="223"/>
      <c r="H594" s="223"/>
      <c r="I594" s="223"/>
      <c r="J594" s="223"/>
      <c r="K594" s="223"/>
      <c r="L594" s="223"/>
      <c r="M594" s="223"/>
      <c r="N594" s="223"/>
      <c r="O594" s="223"/>
      <c r="P594" s="223"/>
      <c r="Q594" s="223"/>
      <c r="R594" s="223"/>
      <c r="S594" s="223"/>
      <c r="T594" s="223"/>
      <c r="U594" s="223"/>
      <c r="V594" s="223"/>
      <c r="W594" s="223"/>
      <c r="X594" s="223"/>
      <c r="Y594" s="223"/>
      <c r="Z594" s="223"/>
    </row>
    <row r="595" spans="1:26" ht="12" customHeight="1" x14ac:dyDescent="0.35">
      <c r="A595" s="223"/>
      <c r="B595" s="223"/>
      <c r="C595" s="223"/>
      <c r="D595" s="223"/>
      <c r="E595" s="223"/>
      <c r="F595" s="223"/>
      <c r="G595" s="223"/>
      <c r="H595" s="223"/>
      <c r="I595" s="223"/>
      <c r="J595" s="223"/>
      <c r="K595" s="223"/>
      <c r="L595" s="223"/>
      <c r="M595" s="223"/>
      <c r="N595" s="223"/>
      <c r="O595" s="223"/>
      <c r="P595" s="223"/>
      <c r="Q595" s="223"/>
      <c r="R595" s="223"/>
      <c r="S595" s="223"/>
      <c r="T595" s="223"/>
      <c r="U595" s="223"/>
      <c r="V595" s="223"/>
      <c r="W595" s="223"/>
      <c r="X595" s="223"/>
      <c r="Y595" s="223"/>
      <c r="Z595" s="223"/>
    </row>
    <row r="596" spans="1:26" ht="12" customHeight="1" x14ac:dyDescent="0.35">
      <c r="A596" s="223"/>
      <c r="B596" s="223"/>
      <c r="C596" s="223"/>
      <c r="D596" s="223"/>
      <c r="E596" s="223"/>
      <c r="F596" s="223"/>
      <c r="G596" s="223"/>
      <c r="H596" s="223"/>
      <c r="I596" s="223"/>
      <c r="J596" s="223"/>
      <c r="K596" s="223"/>
      <c r="L596" s="223"/>
      <c r="M596" s="223"/>
      <c r="N596" s="223"/>
      <c r="O596" s="223"/>
      <c r="P596" s="223"/>
      <c r="Q596" s="223"/>
      <c r="R596" s="223"/>
      <c r="S596" s="223"/>
      <c r="T596" s="223"/>
      <c r="U596" s="223"/>
      <c r="V596" s="223"/>
      <c r="W596" s="223"/>
      <c r="X596" s="223"/>
      <c r="Y596" s="223"/>
      <c r="Z596" s="223"/>
    </row>
    <row r="597" spans="1:26" ht="12" customHeight="1" x14ac:dyDescent="0.35">
      <c r="A597" s="223"/>
      <c r="B597" s="223"/>
      <c r="C597" s="223"/>
      <c r="D597" s="223"/>
      <c r="E597" s="223"/>
      <c r="F597" s="223"/>
      <c r="G597" s="223"/>
      <c r="H597" s="223"/>
      <c r="I597" s="223"/>
      <c r="J597" s="223"/>
      <c r="K597" s="223"/>
      <c r="L597" s="223"/>
      <c r="M597" s="223"/>
      <c r="N597" s="223"/>
      <c r="O597" s="223"/>
      <c r="P597" s="223"/>
      <c r="Q597" s="223"/>
      <c r="R597" s="223"/>
      <c r="S597" s="223"/>
      <c r="T597" s="223"/>
      <c r="U597" s="223"/>
      <c r="V597" s="223"/>
      <c r="W597" s="223"/>
      <c r="X597" s="223"/>
      <c r="Y597" s="223"/>
      <c r="Z597" s="223"/>
    </row>
    <row r="598" spans="1:26" ht="12" customHeight="1" x14ac:dyDescent="0.35">
      <c r="A598" s="223"/>
      <c r="B598" s="223"/>
      <c r="C598" s="223"/>
      <c r="D598" s="223"/>
      <c r="E598" s="223"/>
      <c r="F598" s="223"/>
      <c r="G598" s="223"/>
      <c r="H598" s="223"/>
      <c r="I598" s="223"/>
      <c r="J598" s="223"/>
      <c r="K598" s="223"/>
      <c r="L598" s="223"/>
      <c r="M598" s="223"/>
      <c r="N598" s="223"/>
      <c r="O598" s="223"/>
      <c r="P598" s="223"/>
      <c r="Q598" s="223"/>
      <c r="R598" s="223"/>
      <c r="S598" s="223"/>
      <c r="T598" s="223"/>
      <c r="U598" s="223"/>
      <c r="V598" s="223"/>
      <c r="W598" s="223"/>
      <c r="X598" s="223"/>
      <c r="Y598" s="223"/>
      <c r="Z598" s="223"/>
    </row>
    <row r="599" spans="1:26" ht="12" customHeight="1" x14ac:dyDescent="0.35">
      <c r="A599" s="223"/>
      <c r="B599" s="223"/>
      <c r="C599" s="223"/>
      <c r="D599" s="223"/>
      <c r="E599" s="223"/>
      <c r="F599" s="223"/>
      <c r="G599" s="223"/>
      <c r="H599" s="223"/>
      <c r="I599" s="223"/>
      <c r="J599" s="223"/>
      <c r="K599" s="223"/>
      <c r="L599" s="223"/>
      <c r="M599" s="223"/>
      <c r="N599" s="223"/>
      <c r="O599" s="223"/>
      <c r="P599" s="223"/>
      <c r="Q599" s="223"/>
      <c r="R599" s="223"/>
      <c r="S599" s="223"/>
      <c r="T599" s="223"/>
      <c r="U599" s="223"/>
      <c r="V599" s="223"/>
      <c r="W599" s="223"/>
      <c r="X599" s="223"/>
      <c r="Y599" s="223"/>
      <c r="Z599" s="223"/>
    </row>
    <row r="600" spans="1:26" ht="12" customHeight="1" x14ac:dyDescent="0.35">
      <c r="A600" s="223"/>
      <c r="B600" s="223"/>
      <c r="C600" s="223"/>
      <c r="D600" s="223"/>
      <c r="E600" s="223"/>
      <c r="F600" s="223"/>
      <c r="G600" s="223"/>
      <c r="H600" s="223"/>
      <c r="I600" s="223"/>
      <c r="J600" s="223"/>
      <c r="K600" s="223"/>
      <c r="L600" s="223"/>
      <c r="M600" s="223"/>
      <c r="N600" s="223"/>
      <c r="O600" s="223"/>
      <c r="P600" s="223"/>
      <c r="Q600" s="223"/>
      <c r="R600" s="223"/>
      <c r="S600" s="223"/>
      <c r="T600" s="223"/>
      <c r="U600" s="223"/>
      <c r="V600" s="223"/>
      <c r="W600" s="223"/>
      <c r="X600" s="223"/>
      <c r="Y600" s="223"/>
      <c r="Z600" s="223"/>
    </row>
    <row r="601" spans="1:26" ht="12" customHeight="1" x14ac:dyDescent="0.35">
      <c r="A601" s="223"/>
      <c r="B601" s="223"/>
      <c r="C601" s="223"/>
      <c r="D601" s="223"/>
      <c r="E601" s="223"/>
      <c r="F601" s="223"/>
      <c r="G601" s="223"/>
      <c r="H601" s="223"/>
      <c r="I601" s="223"/>
      <c r="J601" s="223"/>
      <c r="K601" s="223"/>
      <c r="L601" s="223"/>
      <c r="M601" s="223"/>
      <c r="N601" s="223"/>
      <c r="O601" s="223"/>
      <c r="P601" s="223"/>
      <c r="Q601" s="223"/>
      <c r="R601" s="223"/>
      <c r="S601" s="223"/>
      <c r="T601" s="223"/>
      <c r="U601" s="223"/>
      <c r="V601" s="223"/>
      <c r="W601" s="223"/>
      <c r="X601" s="223"/>
      <c r="Y601" s="223"/>
      <c r="Z601" s="223"/>
    </row>
    <row r="602" spans="1:26" ht="12" customHeight="1" x14ac:dyDescent="0.35">
      <c r="A602" s="223"/>
      <c r="B602" s="223"/>
      <c r="C602" s="223"/>
      <c r="D602" s="223"/>
      <c r="E602" s="223"/>
      <c r="F602" s="223"/>
      <c r="G602" s="223"/>
      <c r="H602" s="223"/>
      <c r="I602" s="223"/>
      <c r="J602" s="223"/>
      <c r="K602" s="223"/>
      <c r="L602" s="223"/>
      <c r="M602" s="223"/>
      <c r="N602" s="223"/>
      <c r="O602" s="223"/>
      <c r="P602" s="223"/>
      <c r="Q602" s="223"/>
      <c r="R602" s="223"/>
      <c r="S602" s="223"/>
      <c r="T602" s="223"/>
      <c r="U602" s="223"/>
      <c r="V602" s="223"/>
      <c r="W602" s="223"/>
      <c r="X602" s="223"/>
      <c r="Y602" s="223"/>
      <c r="Z602" s="223"/>
    </row>
    <row r="603" spans="1:26" ht="12" customHeight="1" x14ac:dyDescent="0.35">
      <c r="A603" s="223"/>
      <c r="B603" s="223"/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</row>
    <row r="604" spans="1:26" ht="12" customHeight="1" x14ac:dyDescent="0.35">
      <c r="A604" s="223"/>
      <c r="B604" s="223"/>
      <c r="C604" s="223"/>
      <c r="D604" s="223"/>
      <c r="E604" s="223"/>
      <c r="F604" s="223"/>
      <c r="G604" s="223"/>
      <c r="H604" s="223"/>
      <c r="I604" s="223"/>
      <c r="J604" s="223"/>
      <c r="K604" s="223"/>
      <c r="L604" s="223"/>
      <c r="M604" s="223"/>
      <c r="N604" s="223"/>
      <c r="O604" s="223"/>
      <c r="P604" s="223"/>
      <c r="Q604" s="223"/>
      <c r="R604" s="223"/>
      <c r="S604" s="223"/>
      <c r="T604" s="223"/>
      <c r="U604" s="223"/>
      <c r="V604" s="223"/>
      <c r="W604" s="223"/>
      <c r="X604" s="223"/>
      <c r="Y604" s="223"/>
      <c r="Z604" s="223"/>
    </row>
    <row r="605" spans="1:26" ht="12" customHeight="1" x14ac:dyDescent="0.35">
      <c r="A605" s="223"/>
      <c r="B605" s="223"/>
      <c r="C605" s="223"/>
      <c r="D605" s="223"/>
      <c r="E605" s="223"/>
      <c r="F605" s="223"/>
      <c r="G605" s="223"/>
      <c r="H605" s="223"/>
      <c r="I605" s="223"/>
      <c r="J605" s="223"/>
      <c r="K605" s="223"/>
      <c r="L605" s="223"/>
      <c r="M605" s="223"/>
      <c r="N605" s="223"/>
      <c r="O605" s="223"/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</row>
    <row r="606" spans="1:26" ht="12" customHeight="1" x14ac:dyDescent="0.35">
      <c r="A606" s="223"/>
      <c r="B606" s="223"/>
      <c r="C606" s="223"/>
      <c r="D606" s="223"/>
      <c r="E606" s="223"/>
      <c r="F606" s="223"/>
      <c r="G606" s="223"/>
      <c r="H606" s="223"/>
      <c r="I606" s="223"/>
      <c r="J606" s="223"/>
      <c r="K606" s="223"/>
      <c r="L606" s="223"/>
      <c r="M606" s="223"/>
      <c r="N606" s="223"/>
      <c r="O606" s="223"/>
      <c r="P606" s="223"/>
      <c r="Q606" s="223"/>
      <c r="R606" s="223"/>
      <c r="S606" s="223"/>
      <c r="T606" s="223"/>
      <c r="U606" s="223"/>
      <c r="V606" s="223"/>
      <c r="W606" s="223"/>
      <c r="X606" s="223"/>
      <c r="Y606" s="223"/>
      <c r="Z606" s="223"/>
    </row>
    <row r="607" spans="1:26" ht="12" customHeight="1" x14ac:dyDescent="0.35">
      <c r="A607" s="223"/>
      <c r="B607" s="223"/>
      <c r="C607" s="223"/>
      <c r="D607" s="223"/>
      <c r="E607" s="223"/>
      <c r="F607" s="223"/>
      <c r="G607" s="223"/>
      <c r="H607" s="223"/>
      <c r="I607" s="223"/>
      <c r="J607" s="223"/>
      <c r="K607" s="223"/>
      <c r="L607" s="223"/>
      <c r="M607" s="223"/>
      <c r="N607" s="223"/>
      <c r="O607" s="223"/>
      <c r="P607" s="223"/>
      <c r="Q607" s="223"/>
      <c r="R607" s="223"/>
      <c r="S607" s="223"/>
      <c r="T607" s="223"/>
      <c r="U607" s="223"/>
      <c r="V607" s="223"/>
      <c r="W607" s="223"/>
      <c r="X607" s="223"/>
      <c r="Y607" s="223"/>
      <c r="Z607" s="223"/>
    </row>
    <row r="608" spans="1:26" ht="12" customHeight="1" x14ac:dyDescent="0.35">
      <c r="A608" s="223"/>
      <c r="B608" s="223"/>
      <c r="C608" s="223"/>
      <c r="D608" s="223"/>
      <c r="E608" s="223"/>
      <c r="F608" s="223"/>
      <c r="G608" s="223"/>
      <c r="H608" s="223"/>
      <c r="I608" s="223"/>
      <c r="J608" s="223"/>
      <c r="K608" s="223"/>
      <c r="L608" s="223"/>
      <c r="M608" s="223"/>
      <c r="N608" s="223"/>
      <c r="O608" s="223"/>
      <c r="P608" s="223"/>
      <c r="Q608" s="223"/>
      <c r="R608" s="223"/>
      <c r="S608" s="223"/>
      <c r="T608" s="223"/>
      <c r="U608" s="223"/>
      <c r="V608" s="223"/>
      <c r="W608" s="223"/>
      <c r="X608" s="223"/>
      <c r="Y608" s="223"/>
      <c r="Z608" s="223"/>
    </row>
    <row r="609" spans="1:26" ht="12" customHeight="1" x14ac:dyDescent="0.35">
      <c r="A609" s="223"/>
      <c r="B609" s="223"/>
      <c r="C609" s="223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23"/>
      <c r="Q609" s="223"/>
      <c r="R609" s="223"/>
      <c r="S609" s="223"/>
      <c r="T609" s="223"/>
      <c r="U609" s="223"/>
      <c r="V609" s="223"/>
      <c r="W609" s="223"/>
      <c r="X609" s="223"/>
      <c r="Y609" s="223"/>
      <c r="Z609" s="223"/>
    </row>
    <row r="610" spans="1:26" ht="12" customHeight="1" x14ac:dyDescent="0.35">
      <c r="A610" s="223"/>
      <c r="B610" s="223"/>
      <c r="C610" s="223"/>
      <c r="D610" s="223"/>
      <c r="E610" s="223"/>
      <c r="F610" s="223"/>
      <c r="G610" s="223"/>
      <c r="H610" s="223"/>
      <c r="I610" s="223"/>
      <c r="J610" s="223"/>
      <c r="K610" s="223"/>
      <c r="L610" s="223"/>
      <c r="M610" s="223"/>
      <c r="N610" s="223"/>
      <c r="O610" s="223"/>
      <c r="P610" s="223"/>
      <c r="Q610" s="223"/>
      <c r="R610" s="223"/>
      <c r="S610" s="223"/>
      <c r="T610" s="223"/>
      <c r="U610" s="223"/>
      <c r="V610" s="223"/>
      <c r="W610" s="223"/>
      <c r="X610" s="223"/>
      <c r="Y610" s="223"/>
      <c r="Z610" s="223"/>
    </row>
    <row r="611" spans="1:26" ht="12" customHeight="1" x14ac:dyDescent="0.35">
      <c r="A611" s="223"/>
      <c r="B611" s="223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23"/>
      <c r="Q611" s="223"/>
      <c r="R611" s="223"/>
      <c r="S611" s="223"/>
      <c r="T611" s="223"/>
      <c r="U611" s="223"/>
      <c r="V611" s="223"/>
      <c r="W611" s="223"/>
      <c r="X611" s="223"/>
      <c r="Y611" s="223"/>
      <c r="Z611" s="223"/>
    </row>
    <row r="612" spans="1:26" ht="12" customHeight="1" x14ac:dyDescent="0.35">
      <c r="A612" s="223"/>
      <c r="B612" s="223"/>
      <c r="C612" s="223"/>
      <c r="D612" s="223"/>
      <c r="E612" s="223"/>
      <c r="F612" s="223"/>
      <c r="G612" s="223"/>
      <c r="H612" s="223"/>
      <c r="I612" s="223"/>
      <c r="J612" s="223"/>
      <c r="K612" s="223"/>
      <c r="L612" s="223"/>
      <c r="M612" s="223"/>
      <c r="N612" s="223"/>
      <c r="O612" s="223"/>
      <c r="P612" s="223"/>
      <c r="Q612" s="223"/>
      <c r="R612" s="223"/>
      <c r="S612" s="223"/>
      <c r="T612" s="223"/>
      <c r="U612" s="223"/>
      <c r="V612" s="223"/>
      <c r="W612" s="223"/>
      <c r="X612" s="223"/>
      <c r="Y612" s="223"/>
      <c r="Z612" s="223"/>
    </row>
    <row r="613" spans="1:26" ht="12" customHeight="1" x14ac:dyDescent="0.35">
      <c r="A613" s="223"/>
      <c r="B613" s="223"/>
      <c r="C613" s="223"/>
      <c r="D613" s="223"/>
      <c r="E613" s="223"/>
      <c r="F613" s="223"/>
      <c r="G613" s="223"/>
      <c r="H613" s="223"/>
      <c r="I613" s="223"/>
      <c r="J613" s="223"/>
      <c r="K613" s="223"/>
      <c r="L613" s="223"/>
      <c r="M613" s="223"/>
      <c r="N613" s="223"/>
      <c r="O613" s="223"/>
      <c r="P613" s="223"/>
      <c r="Q613" s="223"/>
      <c r="R613" s="223"/>
      <c r="S613" s="223"/>
      <c r="T613" s="223"/>
      <c r="U613" s="223"/>
      <c r="V613" s="223"/>
      <c r="W613" s="223"/>
      <c r="X613" s="223"/>
      <c r="Y613" s="223"/>
      <c r="Z613" s="223"/>
    </row>
    <row r="614" spans="1:26" ht="12" customHeight="1" x14ac:dyDescent="0.35">
      <c r="A614" s="223"/>
      <c r="B614" s="223"/>
      <c r="C614" s="223"/>
      <c r="D614" s="223"/>
      <c r="E614" s="223"/>
      <c r="F614" s="223"/>
      <c r="G614" s="223"/>
      <c r="H614" s="223"/>
      <c r="I614" s="223"/>
      <c r="J614" s="223"/>
      <c r="K614" s="223"/>
      <c r="L614" s="223"/>
      <c r="M614" s="223"/>
      <c r="N614" s="223"/>
      <c r="O614" s="223"/>
      <c r="P614" s="223"/>
      <c r="Q614" s="223"/>
      <c r="R614" s="223"/>
      <c r="S614" s="223"/>
      <c r="T614" s="223"/>
      <c r="U614" s="223"/>
      <c r="V614" s="223"/>
      <c r="W614" s="223"/>
      <c r="X614" s="223"/>
      <c r="Y614" s="223"/>
      <c r="Z614" s="223"/>
    </row>
    <row r="615" spans="1:26" ht="12" customHeight="1" x14ac:dyDescent="0.35">
      <c r="A615" s="223"/>
      <c r="B615" s="223"/>
      <c r="C615" s="223"/>
      <c r="D615" s="223"/>
      <c r="E615" s="223"/>
      <c r="F615" s="223"/>
      <c r="G615" s="223"/>
      <c r="H615" s="223"/>
      <c r="I615" s="223"/>
      <c r="J615" s="223"/>
      <c r="K615" s="223"/>
      <c r="L615" s="223"/>
      <c r="M615" s="223"/>
      <c r="N615" s="223"/>
      <c r="O615" s="223"/>
      <c r="P615" s="223"/>
      <c r="Q615" s="223"/>
      <c r="R615" s="223"/>
      <c r="S615" s="223"/>
      <c r="T615" s="223"/>
      <c r="U615" s="223"/>
      <c r="V615" s="223"/>
      <c r="W615" s="223"/>
      <c r="X615" s="223"/>
      <c r="Y615" s="223"/>
      <c r="Z615" s="223"/>
    </row>
    <row r="616" spans="1:26" ht="12" customHeight="1" x14ac:dyDescent="0.35">
      <c r="A616" s="223"/>
      <c r="B616" s="223"/>
      <c r="C616" s="223"/>
      <c r="D616" s="223"/>
      <c r="E616" s="223"/>
      <c r="F616" s="223"/>
      <c r="G616" s="223"/>
      <c r="H616" s="223"/>
      <c r="I616" s="223"/>
      <c r="J616" s="223"/>
      <c r="K616" s="223"/>
      <c r="L616" s="223"/>
      <c r="M616" s="223"/>
      <c r="N616" s="223"/>
      <c r="O616" s="223"/>
      <c r="P616" s="223"/>
      <c r="Q616" s="223"/>
      <c r="R616" s="223"/>
      <c r="S616" s="223"/>
      <c r="T616" s="223"/>
      <c r="U616" s="223"/>
      <c r="V616" s="223"/>
      <c r="W616" s="223"/>
      <c r="X616" s="223"/>
      <c r="Y616" s="223"/>
      <c r="Z616" s="223"/>
    </row>
    <row r="617" spans="1:26" ht="12" customHeight="1" x14ac:dyDescent="0.35">
      <c r="A617" s="223"/>
      <c r="B617" s="223"/>
      <c r="C617" s="223"/>
      <c r="D617" s="223"/>
      <c r="E617" s="223"/>
      <c r="F617" s="223"/>
      <c r="G617" s="223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23"/>
      <c r="T617" s="223"/>
      <c r="U617" s="223"/>
      <c r="V617" s="223"/>
      <c r="W617" s="223"/>
      <c r="X617" s="223"/>
      <c r="Y617" s="223"/>
      <c r="Z617" s="223"/>
    </row>
    <row r="618" spans="1:26" ht="12" customHeight="1" x14ac:dyDescent="0.35">
      <c r="A618" s="223"/>
      <c r="B618" s="223"/>
      <c r="C618" s="223"/>
      <c r="D618" s="223"/>
      <c r="E618" s="223"/>
      <c r="F618" s="223"/>
      <c r="G618" s="223"/>
      <c r="H618" s="223"/>
      <c r="I618" s="223"/>
      <c r="J618" s="223"/>
      <c r="K618" s="223"/>
      <c r="L618" s="223"/>
      <c r="M618" s="223"/>
      <c r="N618" s="223"/>
      <c r="O618" s="223"/>
      <c r="P618" s="223"/>
      <c r="Q618" s="223"/>
      <c r="R618" s="223"/>
      <c r="S618" s="223"/>
      <c r="T618" s="223"/>
      <c r="U618" s="223"/>
      <c r="V618" s="223"/>
      <c r="W618" s="223"/>
      <c r="X618" s="223"/>
      <c r="Y618" s="223"/>
      <c r="Z618" s="223"/>
    </row>
    <row r="619" spans="1:26" ht="12" customHeight="1" x14ac:dyDescent="0.35">
      <c r="A619" s="223"/>
      <c r="B619" s="223"/>
      <c r="C619" s="223"/>
      <c r="D619" s="223"/>
      <c r="E619" s="223"/>
      <c r="F619" s="223"/>
      <c r="G619" s="223"/>
      <c r="H619" s="223"/>
      <c r="I619" s="223"/>
      <c r="J619" s="223"/>
      <c r="K619" s="223"/>
      <c r="L619" s="223"/>
      <c r="M619" s="223"/>
      <c r="N619" s="223"/>
      <c r="O619" s="223"/>
      <c r="P619" s="223"/>
      <c r="Q619" s="223"/>
      <c r="R619" s="223"/>
      <c r="S619" s="223"/>
      <c r="T619" s="223"/>
      <c r="U619" s="223"/>
      <c r="V619" s="223"/>
      <c r="W619" s="223"/>
      <c r="X619" s="223"/>
      <c r="Y619" s="223"/>
      <c r="Z619" s="223"/>
    </row>
    <row r="620" spans="1:26" ht="12" customHeight="1" x14ac:dyDescent="0.35">
      <c r="A620" s="223"/>
      <c r="B620" s="223"/>
      <c r="C620" s="223"/>
      <c r="D620" s="223"/>
      <c r="E620" s="223"/>
      <c r="F620" s="223"/>
      <c r="G620" s="223"/>
      <c r="H620" s="223"/>
      <c r="I620" s="223"/>
      <c r="J620" s="223"/>
      <c r="K620" s="223"/>
      <c r="L620" s="223"/>
      <c r="M620" s="223"/>
      <c r="N620" s="223"/>
      <c r="O620" s="223"/>
      <c r="P620" s="223"/>
      <c r="Q620" s="223"/>
      <c r="R620" s="223"/>
      <c r="S620" s="223"/>
      <c r="T620" s="223"/>
      <c r="U620" s="223"/>
      <c r="V620" s="223"/>
      <c r="W620" s="223"/>
      <c r="X620" s="223"/>
      <c r="Y620" s="223"/>
      <c r="Z620" s="223"/>
    </row>
    <row r="621" spans="1:26" ht="12" customHeight="1" x14ac:dyDescent="0.35">
      <c r="A621" s="223"/>
      <c r="B621" s="223"/>
      <c r="C621" s="223"/>
      <c r="D621" s="223"/>
      <c r="E621" s="223"/>
      <c r="F621" s="223"/>
      <c r="G621" s="223"/>
      <c r="H621" s="223"/>
      <c r="I621" s="223"/>
      <c r="J621" s="223"/>
      <c r="K621" s="223"/>
      <c r="L621" s="223"/>
      <c r="M621" s="223"/>
      <c r="N621" s="223"/>
      <c r="O621" s="223"/>
      <c r="P621" s="223"/>
      <c r="Q621" s="223"/>
      <c r="R621" s="223"/>
      <c r="S621" s="223"/>
      <c r="T621" s="223"/>
      <c r="U621" s="223"/>
      <c r="V621" s="223"/>
      <c r="W621" s="223"/>
      <c r="X621" s="223"/>
      <c r="Y621" s="223"/>
      <c r="Z621" s="223"/>
    </row>
    <row r="622" spans="1:26" ht="12" customHeight="1" x14ac:dyDescent="0.35">
      <c r="A622" s="223"/>
      <c r="B622" s="223"/>
      <c r="C622" s="223"/>
      <c r="D622" s="223"/>
      <c r="E622" s="223"/>
      <c r="F622" s="223"/>
      <c r="G622" s="223"/>
      <c r="H622" s="223"/>
      <c r="I622" s="223"/>
      <c r="J622" s="223"/>
      <c r="K622" s="223"/>
      <c r="L622" s="223"/>
      <c r="M622" s="223"/>
      <c r="N622" s="223"/>
      <c r="O622" s="223"/>
      <c r="P622" s="223"/>
      <c r="Q622" s="223"/>
      <c r="R622" s="223"/>
      <c r="S622" s="223"/>
      <c r="T622" s="223"/>
      <c r="U622" s="223"/>
      <c r="V622" s="223"/>
      <c r="W622" s="223"/>
      <c r="X622" s="223"/>
      <c r="Y622" s="223"/>
      <c r="Z622" s="223"/>
    </row>
    <row r="623" spans="1:26" ht="12" customHeight="1" x14ac:dyDescent="0.35">
      <c r="A623" s="223"/>
      <c r="B623" s="223"/>
      <c r="C623" s="223"/>
      <c r="D623" s="223"/>
      <c r="E623" s="223"/>
      <c r="F623" s="223"/>
      <c r="G623" s="223"/>
      <c r="H623" s="223"/>
      <c r="I623" s="223"/>
      <c r="J623" s="223"/>
      <c r="K623" s="223"/>
      <c r="L623" s="223"/>
      <c r="M623" s="223"/>
      <c r="N623" s="223"/>
      <c r="O623" s="223"/>
      <c r="P623" s="223"/>
      <c r="Q623" s="223"/>
      <c r="R623" s="223"/>
      <c r="S623" s="223"/>
      <c r="T623" s="223"/>
      <c r="U623" s="223"/>
      <c r="V623" s="223"/>
      <c r="W623" s="223"/>
      <c r="X623" s="223"/>
      <c r="Y623" s="223"/>
      <c r="Z623" s="223"/>
    </row>
    <row r="624" spans="1:26" ht="12" customHeight="1" x14ac:dyDescent="0.35">
      <c r="A624" s="223"/>
      <c r="B624" s="223"/>
      <c r="C624" s="223"/>
      <c r="D624" s="223"/>
      <c r="E624" s="223"/>
      <c r="F624" s="223"/>
      <c r="G624" s="223"/>
      <c r="H624" s="223"/>
      <c r="I624" s="223"/>
      <c r="J624" s="223"/>
      <c r="K624" s="223"/>
      <c r="L624" s="223"/>
      <c r="M624" s="223"/>
      <c r="N624" s="223"/>
      <c r="O624" s="223"/>
      <c r="P624" s="223"/>
      <c r="Q624" s="223"/>
      <c r="R624" s="223"/>
      <c r="S624" s="223"/>
      <c r="T624" s="223"/>
      <c r="U624" s="223"/>
      <c r="V624" s="223"/>
      <c r="W624" s="223"/>
      <c r="X624" s="223"/>
      <c r="Y624" s="223"/>
      <c r="Z624" s="223"/>
    </row>
    <row r="625" spans="1:26" ht="12" customHeight="1" x14ac:dyDescent="0.35">
      <c r="A625" s="223"/>
      <c r="B625" s="223"/>
      <c r="C625" s="223"/>
      <c r="D625" s="223"/>
      <c r="E625" s="223"/>
      <c r="F625" s="223"/>
      <c r="G625" s="223"/>
      <c r="H625" s="223"/>
      <c r="I625" s="223"/>
      <c r="J625" s="223"/>
      <c r="K625" s="223"/>
      <c r="L625" s="223"/>
      <c r="M625" s="223"/>
      <c r="N625" s="223"/>
      <c r="O625" s="223"/>
      <c r="P625" s="223"/>
      <c r="Q625" s="223"/>
      <c r="R625" s="223"/>
      <c r="S625" s="223"/>
      <c r="T625" s="223"/>
      <c r="U625" s="223"/>
      <c r="V625" s="223"/>
      <c r="W625" s="223"/>
      <c r="X625" s="223"/>
      <c r="Y625" s="223"/>
      <c r="Z625" s="223"/>
    </row>
    <row r="626" spans="1:26" ht="12" customHeight="1" x14ac:dyDescent="0.35">
      <c r="A626" s="223"/>
      <c r="B626" s="223"/>
      <c r="C626" s="223"/>
      <c r="D626" s="223"/>
      <c r="E626" s="223"/>
      <c r="F626" s="223"/>
      <c r="G626" s="223"/>
      <c r="H626" s="223"/>
      <c r="I626" s="223"/>
      <c r="J626" s="223"/>
      <c r="K626" s="223"/>
      <c r="L626" s="223"/>
      <c r="M626" s="223"/>
      <c r="N626" s="223"/>
      <c r="O626" s="223"/>
      <c r="P626" s="223"/>
      <c r="Q626" s="223"/>
      <c r="R626" s="223"/>
      <c r="S626" s="223"/>
      <c r="T626" s="223"/>
      <c r="U626" s="223"/>
      <c r="V626" s="223"/>
      <c r="W626" s="223"/>
      <c r="X626" s="223"/>
      <c r="Y626" s="223"/>
      <c r="Z626" s="223"/>
    </row>
    <row r="627" spans="1:26" ht="12" customHeight="1" x14ac:dyDescent="0.35">
      <c r="A627" s="223"/>
      <c r="B627" s="223"/>
      <c r="C627" s="223"/>
      <c r="D627" s="223"/>
      <c r="E627" s="223"/>
      <c r="F627" s="223"/>
      <c r="G627" s="223"/>
      <c r="H627" s="223"/>
      <c r="I627" s="223"/>
      <c r="J627" s="223"/>
      <c r="K627" s="223"/>
      <c r="L627" s="223"/>
      <c r="M627" s="223"/>
      <c r="N627" s="223"/>
      <c r="O627" s="223"/>
      <c r="P627" s="223"/>
      <c r="Q627" s="223"/>
      <c r="R627" s="223"/>
      <c r="S627" s="223"/>
      <c r="T627" s="223"/>
      <c r="U627" s="223"/>
      <c r="V627" s="223"/>
      <c r="W627" s="223"/>
      <c r="X627" s="223"/>
      <c r="Y627" s="223"/>
      <c r="Z627" s="223"/>
    </row>
    <row r="628" spans="1:26" ht="12" customHeight="1" x14ac:dyDescent="0.35">
      <c r="A628" s="223"/>
      <c r="B628" s="223"/>
      <c r="C628" s="223"/>
      <c r="D628" s="223"/>
      <c r="E628" s="223"/>
      <c r="F628" s="223"/>
      <c r="G628" s="223"/>
      <c r="H628" s="223"/>
      <c r="I628" s="223"/>
      <c r="J628" s="223"/>
      <c r="K628" s="223"/>
      <c r="L628" s="223"/>
      <c r="M628" s="223"/>
      <c r="N628" s="223"/>
      <c r="O628" s="223"/>
      <c r="P628" s="223"/>
      <c r="Q628" s="223"/>
      <c r="R628" s="223"/>
      <c r="S628" s="223"/>
      <c r="T628" s="223"/>
      <c r="U628" s="223"/>
      <c r="V628" s="223"/>
      <c r="W628" s="223"/>
      <c r="X628" s="223"/>
      <c r="Y628" s="223"/>
      <c r="Z628" s="223"/>
    </row>
    <row r="629" spans="1:26" ht="12" customHeight="1" x14ac:dyDescent="0.35">
      <c r="A629" s="223"/>
      <c r="B629" s="223"/>
      <c r="C629" s="223"/>
      <c r="D629" s="223"/>
      <c r="E629" s="223"/>
      <c r="F629" s="223"/>
      <c r="G629" s="223"/>
      <c r="H629" s="223"/>
      <c r="I629" s="223"/>
      <c r="J629" s="223"/>
      <c r="K629" s="223"/>
      <c r="L629" s="223"/>
      <c r="M629" s="223"/>
      <c r="N629" s="223"/>
      <c r="O629" s="223"/>
      <c r="P629" s="223"/>
      <c r="Q629" s="223"/>
      <c r="R629" s="223"/>
      <c r="S629" s="223"/>
      <c r="T629" s="223"/>
      <c r="U629" s="223"/>
      <c r="V629" s="223"/>
      <c r="W629" s="223"/>
      <c r="X629" s="223"/>
      <c r="Y629" s="223"/>
      <c r="Z629" s="223"/>
    </row>
    <row r="630" spans="1:26" ht="12" customHeight="1" x14ac:dyDescent="0.35">
      <c r="A630" s="223"/>
      <c r="B630" s="223"/>
      <c r="C630" s="223"/>
      <c r="D630" s="223"/>
      <c r="E630" s="223"/>
      <c r="F630" s="223"/>
      <c r="G630" s="223"/>
      <c r="H630" s="223"/>
      <c r="I630" s="223"/>
      <c r="J630" s="223"/>
      <c r="K630" s="223"/>
      <c r="L630" s="223"/>
      <c r="M630" s="223"/>
      <c r="N630" s="223"/>
      <c r="O630" s="223"/>
      <c r="P630" s="223"/>
      <c r="Q630" s="223"/>
      <c r="R630" s="223"/>
      <c r="S630" s="223"/>
      <c r="T630" s="223"/>
      <c r="U630" s="223"/>
      <c r="V630" s="223"/>
      <c r="W630" s="223"/>
      <c r="X630" s="223"/>
      <c r="Y630" s="223"/>
      <c r="Z630" s="223"/>
    </row>
    <row r="631" spans="1:26" ht="12" customHeight="1" x14ac:dyDescent="0.35">
      <c r="A631" s="223"/>
      <c r="B631" s="223"/>
      <c r="C631" s="223"/>
      <c r="D631" s="223"/>
      <c r="E631" s="223"/>
      <c r="F631" s="223"/>
      <c r="G631" s="223"/>
      <c r="H631" s="223"/>
      <c r="I631" s="223"/>
      <c r="J631" s="223"/>
      <c r="K631" s="223"/>
      <c r="L631" s="223"/>
      <c r="M631" s="223"/>
      <c r="N631" s="223"/>
      <c r="O631" s="223"/>
      <c r="P631" s="223"/>
      <c r="Q631" s="223"/>
      <c r="R631" s="223"/>
      <c r="S631" s="223"/>
      <c r="T631" s="223"/>
      <c r="U631" s="223"/>
      <c r="V631" s="223"/>
      <c r="W631" s="223"/>
      <c r="X631" s="223"/>
      <c r="Y631" s="223"/>
      <c r="Z631" s="223"/>
    </row>
    <row r="632" spans="1:26" ht="12" customHeight="1" x14ac:dyDescent="0.35">
      <c r="A632" s="223"/>
      <c r="B632" s="223"/>
      <c r="C632" s="223"/>
      <c r="D632" s="223"/>
      <c r="E632" s="223"/>
      <c r="F632" s="223"/>
      <c r="G632" s="223"/>
      <c r="H632" s="223"/>
      <c r="I632" s="223"/>
      <c r="J632" s="223"/>
      <c r="K632" s="223"/>
      <c r="L632" s="223"/>
      <c r="M632" s="223"/>
      <c r="N632" s="223"/>
      <c r="O632" s="223"/>
      <c r="P632" s="223"/>
      <c r="Q632" s="223"/>
      <c r="R632" s="223"/>
      <c r="S632" s="223"/>
      <c r="T632" s="223"/>
      <c r="U632" s="223"/>
      <c r="V632" s="223"/>
      <c r="W632" s="223"/>
      <c r="X632" s="223"/>
      <c r="Y632" s="223"/>
      <c r="Z632" s="223"/>
    </row>
    <row r="633" spans="1:26" ht="12" customHeight="1" x14ac:dyDescent="0.35">
      <c r="A633" s="223"/>
      <c r="B633" s="223"/>
      <c r="C633" s="223"/>
      <c r="D633" s="223"/>
      <c r="E633" s="223"/>
      <c r="F633" s="223"/>
      <c r="G633" s="223"/>
      <c r="H633" s="223"/>
      <c r="I633" s="223"/>
      <c r="J633" s="223"/>
      <c r="K633" s="223"/>
      <c r="L633" s="223"/>
      <c r="M633" s="223"/>
      <c r="N633" s="223"/>
      <c r="O633" s="223"/>
      <c r="P633" s="223"/>
      <c r="Q633" s="223"/>
      <c r="R633" s="223"/>
      <c r="S633" s="223"/>
      <c r="T633" s="223"/>
      <c r="U633" s="223"/>
      <c r="V633" s="223"/>
      <c r="W633" s="223"/>
      <c r="X633" s="223"/>
      <c r="Y633" s="223"/>
      <c r="Z633" s="223"/>
    </row>
    <row r="634" spans="1:26" ht="12" customHeight="1" x14ac:dyDescent="0.35">
      <c r="A634" s="223"/>
      <c r="B634" s="223"/>
      <c r="C634" s="223"/>
      <c r="D634" s="223"/>
      <c r="E634" s="223"/>
      <c r="F634" s="223"/>
      <c r="G634" s="223"/>
      <c r="H634" s="223"/>
      <c r="I634" s="223"/>
      <c r="J634" s="223"/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  <c r="Y634" s="223"/>
      <c r="Z634" s="223"/>
    </row>
    <row r="635" spans="1:26" ht="12" customHeight="1" x14ac:dyDescent="0.35">
      <c r="A635" s="223"/>
      <c r="B635" s="223"/>
      <c r="C635" s="223"/>
      <c r="D635" s="223"/>
      <c r="E635" s="223"/>
      <c r="F635" s="223"/>
      <c r="G635" s="223"/>
      <c r="H635" s="223"/>
      <c r="I635" s="223"/>
      <c r="J635" s="223"/>
      <c r="K635" s="223"/>
      <c r="L635" s="223"/>
      <c r="M635" s="223"/>
      <c r="N635" s="223"/>
      <c r="O635" s="223"/>
      <c r="P635" s="223"/>
      <c r="Q635" s="223"/>
      <c r="R635" s="223"/>
      <c r="S635" s="223"/>
      <c r="T635" s="223"/>
      <c r="U635" s="223"/>
      <c r="V635" s="223"/>
      <c r="W635" s="223"/>
      <c r="X635" s="223"/>
      <c r="Y635" s="223"/>
      <c r="Z635" s="223"/>
    </row>
    <row r="636" spans="1:26" ht="12" customHeight="1" x14ac:dyDescent="0.35">
      <c r="A636" s="223"/>
      <c r="B636" s="223"/>
      <c r="C636" s="223"/>
      <c r="D636" s="223"/>
      <c r="E636" s="223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23"/>
      <c r="Z636" s="223"/>
    </row>
    <row r="637" spans="1:26" ht="12" customHeight="1" x14ac:dyDescent="0.35">
      <c r="A637" s="223"/>
      <c r="B637" s="223"/>
      <c r="C637" s="223"/>
      <c r="D637" s="223"/>
      <c r="E637" s="223"/>
      <c r="F637" s="223"/>
      <c r="G637" s="223"/>
      <c r="H637" s="223"/>
      <c r="I637" s="223"/>
      <c r="J637" s="223"/>
      <c r="K637" s="223"/>
      <c r="L637" s="223"/>
      <c r="M637" s="223"/>
      <c r="N637" s="223"/>
      <c r="O637" s="223"/>
      <c r="P637" s="223"/>
      <c r="Q637" s="223"/>
      <c r="R637" s="223"/>
      <c r="S637" s="223"/>
      <c r="T637" s="223"/>
      <c r="U637" s="223"/>
      <c r="V637" s="223"/>
      <c r="W637" s="223"/>
      <c r="X637" s="223"/>
      <c r="Y637" s="223"/>
      <c r="Z637" s="223"/>
    </row>
    <row r="638" spans="1:26" ht="12" customHeight="1" x14ac:dyDescent="0.35">
      <c r="A638" s="223"/>
      <c r="B638" s="223"/>
      <c r="C638" s="223"/>
      <c r="D638" s="223"/>
      <c r="E638" s="223"/>
      <c r="F638" s="223"/>
      <c r="G638" s="223"/>
      <c r="H638" s="223"/>
      <c r="I638" s="223"/>
      <c r="J638" s="223"/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  <c r="Y638" s="223"/>
      <c r="Z638" s="223"/>
    </row>
    <row r="639" spans="1:26" ht="12" customHeight="1" x14ac:dyDescent="0.35">
      <c r="A639" s="223"/>
      <c r="B639" s="223"/>
      <c r="C639" s="223"/>
      <c r="D639" s="223"/>
      <c r="E639" s="223"/>
      <c r="F639" s="223"/>
      <c r="G639" s="223"/>
      <c r="H639" s="223"/>
      <c r="I639" s="223"/>
      <c r="J639" s="223"/>
      <c r="K639" s="223"/>
      <c r="L639" s="223"/>
      <c r="M639" s="223"/>
      <c r="N639" s="223"/>
      <c r="O639" s="223"/>
      <c r="P639" s="223"/>
      <c r="Q639" s="223"/>
      <c r="R639" s="223"/>
      <c r="S639" s="223"/>
      <c r="T639" s="223"/>
      <c r="U639" s="223"/>
      <c r="V639" s="223"/>
      <c r="W639" s="223"/>
      <c r="X639" s="223"/>
      <c r="Y639" s="223"/>
      <c r="Z639" s="223"/>
    </row>
    <row r="640" spans="1:26" ht="12" customHeight="1" x14ac:dyDescent="0.35">
      <c r="A640" s="223"/>
      <c r="B640" s="223"/>
      <c r="C640" s="223"/>
      <c r="D640" s="223"/>
      <c r="E640" s="223"/>
      <c r="F640" s="223"/>
      <c r="G640" s="223"/>
      <c r="H640" s="223"/>
      <c r="I640" s="223"/>
      <c r="J640" s="223"/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  <c r="Y640" s="223"/>
      <c r="Z640" s="223"/>
    </row>
    <row r="641" spans="1:26" ht="12" customHeight="1" x14ac:dyDescent="0.35">
      <c r="A641" s="223"/>
      <c r="B641" s="223"/>
      <c r="C641" s="223"/>
      <c r="D641" s="223"/>
      <c r="E641" s="223"/>
      <c r="F641" s="223"/>
      <c r="G641" s="223"/>
      <c r="H641" s="223"/>
      <c r="I641" s="223"/>
      <c r="J641" s="223"/>
      <c r="K641" s="223"/>
      <c r="L641" s="223"/>
      <c r="M641" s="223"/>
      <c r="N641" s="223"/>
      <c r="O641" s="223"/>
      <c r="P641" s="223"/>
      <c r="Q641" s="223"/>
      <c r="R641" s="223"/>
      <c r="S641" s="223"/>
      <c r="T641" s="223"/>
      <c r="U641" s="223"/>
      <c r="V641" s="223"/>
      <c r="W641" s="223"/>
      <c r="X641" s="223"/>
      <c r="Y641" s="223"/>
      <c r="Z641" s="223"/>
    </row>
    <row r="642" spans="1:26" ht="12" customHeight="1" x14ac:dyDescent="0.35">
      <c r="A642" s="223"/>
      <c r="B642" s="223"/>
      <c r="C642" s="223"/>
      <c r="D642" s="223"/>
      <c r="E642" s="223"/>
      <c r="F642" s="223"/>
      <c r="G642" s="223"/>
      <c r="H642" s="223"/>
      <c r="I642" s="223"/>
      <c r="J642" s="223"/>
      <c r="K642" s="223"/>
      <c r="L642" s="223"/>
      <c r="M642" s="223"/>
      <c r="N642" s="223"/>
      <c r="O642" s="223"/>
      <c r="P642" s="223"/>
      <c r="Q642" s="223"/>
      <c r="R642" s="223"/>
      <c r="S642" s="223"/>
      <c r="T642" s="223"/>
      <c r="U642" s="223"/>
      <c r="V642" s="223"/>
      <c r="W642" s="223"/>
      <c r="X642" s="223"/>
      <c r="Y642" s="223"/>
      <c r="Z642" s="223"/>
    </row>
    <row r="643" spans="1:26" ht="12" customHeight="1" x14ac:dyDescent="0.35">
      <c r="A643" s="223"/>
      <c r="B643" s="223"/>
      <c r="C643" s="223"/>
      <c r="D643" s="223"/>
      <c r="E643" s="223"/>
      <c r="F643" s="223"/>
      <c r="G643" s="223"/>
      <c r="H643" s="223"/>
      <c r="I643" s="223"/>
      <c r="J643" s="223"/>
      <c r="K643" s="223"/>
      <c r="L643" s="223"/>
      <c r="M643" s="223"/>
      <c r="N643" s="223"/>
      <c r="O643" s="223"/>
      <c r="P643" s="223"/>
      <c r="Q643" s="223"/>
      <c r="R643" s="223"/>
      <c r="S643" s="223"/>
      <c r="T643" s="223"/>
      <c r="U643" s="223"/>
      <c r="V643" s="223"/>
      <c r="W643" s="223"/>
      <c r="X643" s="223"/>
      <c r="Y643" s="223"/>
      <c r="Z643" s="223"/>
    </row>
    <row r="644" spans="1:26" ht="12" customHeight="1" x14ac:dyDescent="0.35">
      <c r="A644" s="223"/>
      <c r="B644" s="223"/>
      <c r="C644" s="223"/>
      <c r="D644" s="223"/>
      <c r="E644" s="223"/>
      <c r="F644" s="223"/>
      <c r="G644" s="223"/>
      <c r="H644" s="223"/>
      <c r="I644" s="223"/>
      <c r="J644" s="223"/>
      <c r="K644" s="223"/>
      <c r="L644" s="223"/>
      <c r="M644" s="223"/>
      <c r="N644" s="223"/>
      <c r="O644" s="223"/>
      <c r="P644" s="223"/>
      <c r="Q644" s="223"/>
      <c r="R644" s="223"/>
      <c r="S644" s="223"/>
      <c r="T644" s="223"/>
      <c r="U644" s="223"/>
      <c r="V644" s="223"/>
      <c r="W644" s="223"/>
      <c r="X644" s="223"/>
      <c r="Y644" s="223"/>
      <c r="Z644" s="223"/>
    </row>
    <row r="645" spans="1:26" ht="12" customHeight="1" x14ac:dyDescent="0.35">
      <c r="A645" s="223"/>
      <c r="B645" s="223"/>
      <c r="C645" s="223"/>
      <c r="D645" s="223"/>
      <c r="E645" s="223"/>
      <c r="F645" s="223"/>
      <c r="G645" s="223"/>
      <c r="H645" s="223"/>
      <c r="I645" s="223"/>
      <c r="J645" s="223"/>
      <c r="K645" s="223"/>
      <c r="L645" s="223"/>
      <c r="M645" s="223"/>
      <c r="N645" s="223"/>
      <c r="O645" s="223"/>
      <c r="P645" s="223"/>
      <c r="Q645" s="223"/>
      <c r="R645" s="223"/>
      <c r="S645" s="223"/>
      <c r="T645" s="223"/>
      <c r="U645" s="223"/>
      <c r="V645" s="223"/>
      <c r="W645" s="223"/>
      <c r="X645" s="223"/>
      <c r="Y645" s="223"/>
      <c r="Z645" s="223"/>
    </row>
    <row r="646" spans="1:26" ht="12" customHeight="1" x14ac:dyDescent="0.35">
      <c r="A646" s="223"/>
      <c r="B646" s="223"/>
      <c r="C646" s="223"/>
      <c r="D646" s="223"/>
      <c r="E646" s="223"/>
      <c r="F646" s="223"/>
      <c r="G646" s="223"/>
      <c r="H646" s="223"/>
      <c r="I646" s="223"/>
      <c r="J646" s="223"/>
      <c r="K646" s="223"/>
      <c r="L646" s="223"/>
      <c r="M646" s="223"/>
      <c r="N646" s="223"/>
      <c r="O646" s="223"/>
      <c r="P646" s="223"/>
      <c r="Q646" s="223"/>
      <c r="R646" s="223"/>
      <c r="S646" s="223"/>
      <c r="T646" s="223"/>
      <c r="U646" s="223"/>
      <c r="V646" s="223"/>
      <c r="W646" s="223"/>
      <c r="X646" s="223"/>
      <c r="Y646" s="223"/>
      <c r="Z646" s="223"/>
    </row>
    <row r="647" spans="1:26" ht="12" customHeight="1" x14ac:dyDescent="0.35">
      <c r="A647" s="223"/>
      <c r="B647" s="223"/>
      <c r="C647" s="223"/>
      <c r="D647" s="223"/>
      <c r="E647" s="223"/>
      <c r="F647" s="223"/>
      <c r="G647" s="223"/>
      <c r="H647" s="223"/>
      <c r="I647" s="223"/>
      <c r="J647" s="223"/>
      <c r="K647" s="223"/>
      <c r="L647" s="223"/>
      <c r="M647" s="223"/>
      <c r="N647" s="223"/>
      <c r="O647" s="223"/>
      <c r="P647" s="223"/>
      <c r="Q647" s="223"/>
      <c r="R647" s="223"/>
      <c r="S647" s="223"/>
      <c r="T647" s="223"/>
      <c r="U647" s="223"/>
      <c r="V647" s="223"/>
      <c r="W647" s="223"/>
      <c r="X647" s="223"/>
      <c r="Y647" s="223"/>
      <c r="Z647" s="223"/>
    </row>
    <row r="648" spans="1:26" ht="12" customHeight="1" x14ac:dyDescent="0.35">
      <c r="A648" s="223"/>
      <c r="B648" s="223"/>
      <c r="C648" s="223"/>
      <c r="D648" s="223"/>
      <c r="E648" s="223"/>
      <c r="F648" s="223"/>
      <c r="G648" s="223"/>
      <c r="H648" s="223"/>
      <c r="I648" s="223"/>
      <c r="J648" s="223"/>
      <c r="K648" s="223"/>
      <c r="L648" s="223"/>
      <c r="M648" s="223"/>
      <c r="N648" s="223"/>
      <c r="O648" s="223"/>
      <c r="P648" s="223"/>
      <c r="Q648" s="223"/>
      <c r="R648" s="223"/>
      <c r="S648" s="223"/>
      <c r="T648" s="223"/>
      <c r="U648" s="223"/>
      <c r="V648" s="223"/>
      <c r="W648" s="223"/>
      <c r="X648" s="223"/>
      <c r="Y648" s="223"/>
      <c r="Z648" s="223"/>
    </row>
    <row r="649" spans="1:26" ht="12" customHeight="1" x14ac:dyDescent="0.35">
      <c r="A649" s="223"/>
      <c r="B649" s="223"/>
      <c r="C649" s="223"/>
      <c r="D649" s="223"/>
      <c r="E649" s="223"/>
      <c r="F649" s="223"/>
      <c r="G649" s="223"/>
      <c r="H649" s="223"/>
      <c r="I649" s="223"/>
      <c r="J649" s="223"/>
      <c r="K649" s="223"/>
      <c r="L649" s="223"/>
      <c r="M649" s="223"/>
      <c r="N649" s="223"/>
      <c r="O649" s="223"/>
      <c r="P649" s="223"/>
      <c r="Q649" s="223"/>
      <c r="R649" s="223"/>
      <c r="S649" s="223"/>
      <c r="T649" s="223"/>
      <c r="U649" s="223"/>
      <c r="V649" s="223"/>
      <c r="W649" s="223"/>
      <c r="X649" s="223"/>
      <c r="Y649" s="223"/>
      <c r="Z649" s="223"/>
    </row>
    <row r="650" spans="1:26" ht="12" customHeight="1" x14ac:dyDescent="0.35">
      <c r="A650" s="223"/>
      <c r="B650" s="223"/>
      <c r="C650" s="223"/>
      <c r="D650" s="223"/>
      <c r="E650" s="223"/>
      <c r="F650" s="223"/>
      <c r="G650" s="223"/>
      <c r="H650" s="223"/>
      <c r="I650" s="223"/>
      <c r="J650" s="223"/>
      <c r="K650" s="223"/>
      <c r="L650" s="223"/>
      <c r="M650" s="223"/>
      <c r="N650" s="223"/>
      <c r="O650" s="223"/>
      <c r="P650" s="223"/>
      <c r="Q650" s="223"/>
      <c r="R650" s="223"/>
      <c r="S650" s="223"/>
      <c r="T650" s="223"/>
      <c r="U650" s="223"/>
      <c r="V650" s="223"/>
      <c r="W650" s="223"/>
      <c r="X650" s="223"/>
      <c r="Y650" s="223"/>
      <c r="Z650" s="223"/>
    </row>
    <row r="651" spans="1:26" ht="12" customHeight="1" x14ac:dyDescent="0.35">
      <c r="A651" s="223"/>
      <c r="B651" s="223"/>
      <c r="C651" s="223"/>
      <c r="D651" s="223"/>
      <c r="E651" s="223"/>
      <c r="F651" s="223"/>
      <c r="G651" s="223"/>
      <c r="H651" s="223"/>
      <c r="I651" s="223"/>
      <c r="J651" s="223"/>
      <c r="K651" s="223"/>
      <c r="L651" s="223"/>
      <c r="M651" s="223"/>
      <c r="N651" s="223"/>
      <c r="O651" s="223"/>
      <c r="P651" s="223"/>
      <c r="Q651" s="223"/>
      <c r="R651" s="223"/>
      <c r="S651" s="223"/>
      <c r="T651" s="223"/>
      <c r="U651" s="223"/>
      <c r="V651" s="223"/>
      <c r="W651" s="223"/>
      <c r="X651" s="223"/>
      <c r="Y651" s="223"/>
      <c r="Z651" s="223"/>
    </row>
    <row r="652" spans="1:26" ht="12" customHeight="1" x14ac:dyDescent="0.35">
      <c r="A652" s="223"/>
      <c r="B652" s="223"/>
      <c r="C652" s="223"/>
      <c r="D652" s="223"/>
      <c r="E652" s="223"/>
      <c r="F652" s="223"/>
      <c r="G652" s="223"/>
      <c r="H652" s="223"/>
      <c r="I652" s="223"/>
      <c r="J652" s="223"/>
      <c r="K652" s="223"/>
      <c r="L652" s="223"/>
      <c r="M652" s="223"/>
      <c r="N652" s="223"/>
      <c r="O652" s="223"/>
      <c r="P652" s="223"/>
      <c r="Q652" s="223"/>
      <c r="R652" s="223"/>
      <c r="S652" s="223"/>
      <c r="T652" s="223"/>
      <c r="U652" s="223"/>
      <c r="V652" s="223"/>
      <c r="W652" s="223"/>
      <c r="X652" s="223"/>
      <c r="Y652" s="223"/>
      <c r="Z652" s="223"/>
    </row>
    <row r="653" spans="1:26" ht="12" customHeight="1" x14ac:dyDescent="0.35">
      <c r="A653" s="223"/>
      <c r="B653" s="223"/>
      <c r="C653" s="223"/>
      <c r="D653" s="223"/>
      <c r="E653" s="223"/>
      <c r="F653" s="223"/>
      <c r="G653" s="223"/>
      <c r="H653" s="223"/>
      <c r="I653" s="223"/>
      <c r="J653" s="223"/>
      <c r="K653" s="223"/>
      <c r="L653" s="223"/>
      <c r="M653" s="223"/>
      <c r="N653" s="223"/>
      <c r="O653" s="223"/>
      <c r="P653" s="223"/>
      <c r="Q653" s="223"/>
      <c r="R653" s="223"/>
      <c r="S653" s="223"/>
      <c r="T653" s="223"/>
      <c r="U653" s="223"/>
      <c r="V653" s="223"/>
      <c r="W653" s="223"/>
      <c r="X653" s="223"/>
      <c r="Y653" s="223"/>
      <c r="Z653" s="223"/>
    </row>
    <row r="654" spans="1:26" ht="12" customHeight="1" x14ac:dyDescent="0.35">
      <c r="A654" s="223"/>
      <c r="B654" s="223"/>
      <c r="C654" s="223"/>
      <c r="D654" s="223"/>
      <c r="E654" s="223"/>
      <c r="F654" s="223"/>
      <c r="G654" s="223"/>
      <c r="H654" s="223"/>
      <c r="I654" s="223"/>
      <c r="J654" s="223"/>
      <c r="K654" s="223"/>
      <c r="L654" s="223"/>
      <c r="M654" s="223"/>
      <c r="N654" s="223"/>
      <c r="O654" s="223"/>
      <c r="P654" s="223"/>
      <c r="Q654" s="223"/>
      <c r="R654" s="223"/>
      <c r="S654" s="223"/>
      <c r="T654" s="223"/>
      <c r="U654" s="223"/>
      <c r="V654" s="223"/>
      <c r="W654" s="223"/>
      <c r="X654" s="223"/>
      <c r="Y654" s="223"/>
      <c r="Z654" s="223"/>
    </row>
    <row r="655" spans="1:26" ht="12" customHeight="1" x14ac:dyDescent="0.35">
      <c r="A655" s="223"/>
      <c r="B655" s="223"/>
      <c r="C655" s="223"/>
      <c r="D655" s="223"/>
      <c r="E655" s="223"/>
      <c r="F655" s="223"/>
      <c r="G655" s="223"/>
      <c r="H655" s="223"/>
      <c r="I655" s="223"/>
      <c r="J655" s="223"/>
      <c r="K655" s="223"/>
      <c r="L655" s="223"/>
      <c r="M655" s="223"/>
      <c r="N655" s="223"/>
      <c r="O655" s="223"/>
      <c r="P655" s="223"/>
      <c r="Q655" s="223"/>
      <c r="R655" s="223"/>
      <c r="S655" s="223"/>
      <c r="T655" s="223"/>
      <c r="U655" s="223"/>
      <c r="V655" s="223"/>
      <c r="W655" s="223"/>
      <c r="X655" s="223"/>
      <c r="Y655" s="223"/>
      <c r="Z655" s="223"/>
    </row>
    <row r="656" spans="1:26" ht="12" customHeight="1" x14ac:dyDescent="0.35">
      <c r="A656" s="223"/>
      <c r="B656" s="223"/>
      <c r="C656" s="223"/>
      <c r="D656" s="223"/>
      <c r="E656" s="223"/>
      <c r="F656" s="223"/>
      <c r="G656" s="223"/>
      <c r="H656" s="223"/>
      <c r="I656" s="223"/>
      <c r="J656" s="223"/>
      <c r="K656" s="223"/>
      <c r="L656" s="223"/>
      <c r="M656" s="223"/>
      <c r="N656" s="223"/>
      <c r="O656" s="223"/>
      <c r="P656" s="223"/>
      <c r="Q656" s="223"/>
      <c r="R656" s="223"/>
      <c r="S656" s="223"/>
      <c r="T656" s="223"/>
      <c r="U656" s="223"/>
      <c r="V656" s="223"/>
      <c r="W656" s="223"/>
      <c r="X656" s="223"/>
      <c r="Y656" s="223"/>
      <c r="Z656" s="223"/>
    </row>
    <row r="657" spans="1:26" ht="12" customHeight="1" x14ac:dyDescent="0.35">
      <c r="A657" s="223"/>
      <c r="B657" s="223"/>
      <c r="C657" s="223"/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223"/>
      <c r="Q657" s="223"/>
      <c r="R657" s="223"/>
      <c r="S657" s="223"/>
      <c r="T657" s="223"/>
      <c r="U657" s="223"/>
      <c r="V657" s="223"/>
      <c r="W657" s="223"/>
      <c r="X657" s="223"/>
      <c r="Y657" s="223"/>
      <c r="Z657" s="223"/>
    </row>
    <row r="658" spans="1:26" ht="12" customHeight="1" x14ac:dyDescent="0.35">
      <c r="A658" s="223"/>
      <c r="B658" s="223"/>
      <c r="C658" s="223"/>
      <c r="D658" s="223"/>
      <c r="E658" s="223"/>
      <c r="F658" s="223"/>
      <c r="G658" s="223"/>
      <c r="H658" s="223"/>
      <c r="I658" s="223"/>
      <c r="J658" s="223"/>
      <c r="K658" s="223"/>
      <c r="L658" s="223"/>
      <c r="M658" s="223"/>
      <c r="N658" s="223"/>
      <c r="O658" s="223"/>
      <c r="P658" s="223"/>
      <c r="Q658" s="223"/>
      <c r="R658" s="223"/>
      <c r="S658" s="223"/>
      <c r="T658" s="223"/>
      <c r="U658" s="223"/>
      <c r="V658" s="223"/>
      <c r="W658" s="223"/>
      <c r="X658" s="223"/>
      <c r="Y658" s="223"/>
      <c r="Z658" s="223"/>
    </row>
    <row r="659" spans="1:26" ht="12" customHeight="1" x14ac:dyDescent="0.35">
      <c r="A659" s="223"/>
      <c r="B659" s="223"/>
      <c r="C659" s="223"/>
      <c r="D659" s="223"/>
      <c r="E659" s="223"/>
      <c r="F659" s="223"/>
      <c r="G659" s="223"/>
      <c r="H659" s="223"/>
      <c r="I659" s="223"/>
      <c r="J659" s="223"/>
      <c r="K659" s="223"/>
      <c r="L659" s="223"/>
      <c r="M659" s="223"/>
      <c r="N659" s="223"/>
      <c r="O659" s="223"/>
      <c r="P659" s="223"/>
      <c r="Q659" s="223"/>
      <c r="R659" s="223"/>
      <c r="S659" s="223"/>
      <c r="T659" s="223"/>
      <c r="U659" s="223"/>
      <c r="V659" s="223"/>
      <c r="W659" s="223"/>
      <c r="X659" s="223"/>
      <c r="Y659" s="223"/>
      <c r="Z659" s="223"/>
    </row>
    <row r="660" spans="1:26" ht="12" customHeight="1" x14ac:dyDescent="0.35">
      <c r="A660" s="223"/>
      <c r="B660" s="223"/>
      <c r="C660" s="223"/>
      <c r="D660" s="223"/>
      <c r="E660" s="223"/>
      <c r="F660" s="223"/>
      <c r="G660" s="223"/>
      <c r="H660" s="223"/>
      <c r="I660" s="223"/>
      <c r="J660" s="223"/>
      <c r="K660" s="223"/>
      <c r="L660" s="223"/>
      <c r="M660" s="223"/>
      <c r="N660" s="223"/>
      <c r="O660" s="223"/>
      <c r="P660" s="223"/>
      <c r="Q660" s="223"/>
      <c r="R660" s="223"/>
      <c r="S660" s="223"/>
      <c r="T660" s="223"/>
      <c r="U660" s="223"/>
      <c r="V660" s="223"/>
      <c r="W660" s="223"/>
      <c r="X660" s="223"/>
      <c r="Y660" s="223"/>
      <c r="Z660" s="223"/>
    </row>
    <row r="661" spans="1:26" ht="12" customHeight="1" x14ac:dyDescent="0.35">
      <c r="A661" s="223"/>
      <c r="B661" s="223"/>
      <c r="C661" s="223"/>
      <c r="D661" s="223"/>
      <c r="E661" s="223"/>
      <c r="F661" s="223"/>
      <c r="G661" s="223"/>
      <c r="H661" s="223"/>
      <c r="I661" s="223"/>
      <c r="J661" s="223"/>
      <c r="K661" s="223"/>
      <c r="L661" s="223"/>
      <c r="M661" s="223"/>
      <c r="N661" s="223"/>
      <c r="O661" s="223"/>
      <c r="P661" s="223"/>
      <c r="Q661" s="223"/>
      <c r="R661" s="223"/>
      <c r="S661" s="223"/>
      <c r="T661" s="223"/>
      <c r="U661" s="223"/>
      <c r="V661" s="223"/>
      <c r="W661" s="223"/>
      <c r="X661" s="223"/>
      <c r="Y661" s="223"/>
      <c r="Z661" s="223"/>
    </row>
    <row r="662" spans="1:26" ht="12" customHeight="1" x14ac:dyDescent="0.35">
      <c r="A662" s="223"/>
      <c r="B662" s="223"/>
      <c r="C662" s="223"/>
      <c r="D662" s="223"/>
      <c r="E662" s="223"/>
      <c r="F662" s="223"/>
      <c r="G662" s="223"/>
      <c r="H662" s="223"/>
      <c r="I662" s="223"/>
      <c r="J662" s="223"/>
      <c r="K662" s="223"/>
      <c r="L662" s="223"/>
      <c r="M662" s="223"/>
      <c r="N662" s="223"/>
      <c r="O662" s="223"/>
      <c r="P662" s="223"/>
      <c r="Q662" s="223"/>
      <c r="R662" s="223"/>
      <c r="S662" s="223"/>
      <c r="T662" s="223"/>
      <c r="U662" s="223"/>
      <c r="V662" s="223"/>
      <c r="W662" s="223"/>
      <c r="X662" s="223"/>
      <c r="Y662" s="223"/>
      <c r="Z662" s="223"/>
    </row>
    <row r="663" spans="1:26" ht="12" customHeight="1" x14ac:dyDescent="0.35">
      <c r="A663" s="223"/>
      <c r="B663" s="223"/>
      <c r="C663" s="223"/>
      <c r="D663" s="223"/>
      <c r="E663" s="223"/>
      <c r="F663" s="223"/>
      <c r="G663" s="223"/>
      <c r="H663" s="223"/>
      <c r="I663" s="223"/>
      <c r="J663" s="223"/>
      <c r="K663" s="223"/>
      <c r="L663" s="223"/>
      <c r="M663" s="223"/>
      <c r="N663" s="223"/>
      <c r="O663" s="223"/>
      <c r="P663" s="223"/>
      <c r="Q663" s="223"/>
      <c r="R663" s="223"/>
      <c r="S663" s="223"/>
      <c r="T663" s="223"/>
      <c r="U663" s="223"/>
      <c r="V663" s="223"/>
      <c r="W663" s="223"/>
      <c r="X663" s="223"/>
      <c r="Y663" s="223"/>
      <c r="Z663" s="223"/>
    </row>
    <row r="664" spans="1:26" ht="12" customHeight="1" x14ac:dyDescent="0.35">
      <c r="A664" s="223"/>
      <c r="B664" s="223"/>
      <c r="C664" s="223"/>
      <c r="D664" s="223"/>
      <c r="E664" s="223"/>
      <c r="F664" s="223"/>
      <c r="G664" s="223"/>
      <c r="H664" s="223"/>
      <c r="I664" s="223"/>
      <c r="J664" s="223"/>
      <c r="K664" s="223"/>
      <c r="L664" s="223"/>
      <c r="M664" s="223"/>
      <c r="N664" s="223"/>
      <c r="O664" s="223"/>
      <c r="P664" s="223"/>
      <c r="Q664" s="223"/>
      <c r="R664" s="223"/>
      <c r="S664" s="223"/>
      <c r="T664" s="223"/>
      <c r="U664" s="223"/>
      <c r="V664" s="223"/>
      <c r="W664" s="223"/>
      <c r="X664" s="223"/>
      <c r="Y664" s="223"/>
      <c r="Z664" s="223"/>
    </row>
    <row r="665" spans="1:26" ht="12" customHeight="1" x14ac:dyDescent="0.35">
      <c r="A665" s="223"/>
      <c r="B665" s="223"/>
      <c r="C665" s="223"/>
      <c r="D665" s="223"/>
      <c r="E665" s="223"/>
      <c r="F665" s="223"/>
      <c r="G665" s="223"/>
      <c r="H665" s="223"/>
      <c r="I665" s="223"/>
      <c r="J665" s="223"/>
      <c r="K665" s="223"/>
      <c r="L665" s="223"/>
      <c r="M665" s="223"/>
      <c r="N665" s="223"/>
      <c r="O665" s="223"/>
      <c r="P665" s="223"/>
      <c r="Q665" s="223"/>
      <c r="R665" s="223"/>
      <c r="S665" s="223"/>
      <c r="T665" s="223"/>
      <c r="U665" s="223"/>
      <c r="V665" s="223"/>
      <c r="W665" s="223"/>
      <c r="X665" s="223"/>
      <c r="Y665" s="223"/>
      <c r="Z665" s="223"/>
    </row>
    <row r="666" spans="1:26" ht="12" customHeight="1" x14ac:dyDescent="0.35">
      <c r="A666" s="223"/>
      <c r="B666" s="223"/>
      <c r="C666" s="223"/>
      <c r="D666" s="223"/>
      <c r="E666" s="223"/>
      <c r="F666" s="223"/>
      <c r="G666" s="223"/>
      <c r="H666" s="223"/>
      <c r="I666" s="223"/>
      <c r="J666" s="223"/>
      <c r="K666" s="223"/>
      <c r="L666" s="223"/>
      <c r="M666" s="223"/>
      <c r="N666" s="223"/>
      <c r="O666" s="223"/>
      <c r="P666" s="223"/>
      <c r="Q666" s="223"/>
      <c r="R666" s="223"/>
      <c r="S666" s="223"/>
      <c r="T666" s="223"/>
      <c r="U666" s="223"/>
      <c r="V666" s="223"/>
      <c r="W666" s="223"/>
      <c r="X666" s="223"/>
      <c r="Y666" s="223"/>
      <c r="Z666" s="223"/>
    </row>
    <row r="667" spans="1:26" ht="12" customHeight="1" x14ac:dyDescent="0.35">
      <c r="A667" s="223"/>
      <c r="B667" s="223"/>
      <c r="C667" s="223"/>
      <c r="D667" s="223"/>
      <c r="E667" s="223"/>
      <c r="F667" s="223"/>
      <c r="G667" s="223"/>
      <c r="H667" s="223"/>
      <c r="I667" s="223"/>
      <c r="J667" s="223"/>
      <c r="K667" s="223"/>
      <c r="L667" s="223"/>
      <c r="M667" s="223"/>
      <c r="N667" s="223"/>
      <c r="O667" s="223"/>
      <c r="P667" s="223"/>
      <c r="Q667" s="223"/>
      <c r="R667" s="223"/>
      <c r="S667" s="223"/>
      <c r="T667" s="223"/>
      <c r="U667" s="223"/>
      <c r="V667" s="223"/>
      <c r="W667" s="223"/>
      <c r="X667" s="223"/>
      <c r="Y667" s="223"/>
      <c r="Z667" s="223"/>
    </row>
    <row r="668" spans="1:26" ht="12" customHeight="1" x14ac:dyDescent="0.35">
      <c r="A668" s="223"/>
      <c r="B668" s="223"/>
      <c r="C668" s="223"/>
      <c r="D668" s="223"/>
      <c r="E668" s="223"/>
      <c r="F668" s="223"/>
      <c r="G668" s="223"/>
      <c r="H668" s="223"/>
      <c r="I668" s="223"/>
      <c r="J668" s="223"/>
      <c r="K668" s="223"/>
      <c r="L668" s="223"/>
      <c r="M668" s="223"/>
      <c r="N668" s="223"/>
      <c r="O668" s="223"/>
      <c r="P668" s="223"/>
      <c r="Q668" s="223"/>
      <c r="R668" s="223"/>
      <c r="S668" s="223"/>
      <c r="T668" s="223"/>
      <c r="U668" s="223"/>
      <c r="V668" s="223"/>
      <c r="W668" s="223"/>
      <c r="X668" s="223"/>
      <c r="Y668" s="223"/>
      <c r="Z668" s="223"/>
    </row>
    <row r="669" spans="1:26" ht="12" customHeight="1" x14ac:dyDescent="0.35">
      <c r="A669" s="223"/>
      <c r="B669" s="223"/>
      <c r="C669" s="223"/>
      <c r="D669" s="223"/>
      <c r="E669" s="223"/>
      <c r="F669" s="223"/>
      <c r="G669" s="223"/>
      <c r="H669" s="223"/>
      <c r="I669" s="223"/>
      <c r="J669" s="223"/>
      <c r="K669" s="223"/>
      <c r="L669" s="223"/>
      <c r="M669" s="223"/>
      <c r="N669" s="223"/>
      <c r="O669" s="223"/>
      <c r="P669" s="223"/>
      <c r="Q669" s="223"/>
      <c r="R669" s="223"/>
      <c r="S669" s="223"/>
      <c r="T669" s="223"/>
      <c r="U669" s="223"/>
      <c r="V669" s="223"/>
      <c r="W669" s="223"/>
      <c r="X669" s="223"/>
      <c r="Y669" s="223"/>
      <c r="Z669" s="223"/>
    </row>
    <row r="670" spans="1:26" ht="12" customHeight="1" x14ac:dyDescent="0.35">
      <c r="A670" s="223"/>
      <c r="B670" s="223"/>
      <c r="C670" s="223"/>
      <c r="D670" s="223"/>
      <c r="E670" s="223"/>
      <c r="F670" s="223"/>
      <c r="G670" s="223"/>
      <c r="H670" s="223"/>
      <c r="I670" s="223"/>
      <c r="J670" s="223"/>
      <c r="K670" s="223"/>
      <c r="L670" s="223"/>
      <c r="M670" s="223"/>
      <c r="N670" s="223"/>
      <c r="O670" s="223"/>
      <c r="P670" s="223"/>
      <c r="Q670" s="223"/>
      <c r="R670" s="223"/>
      <c r="S670" s="223"/>
      <c r="T670" s="223"/>
      <c r="U670" s="223"/>
      <c r="V670" s="223"/>
      <c r="W670" s="223"/>
      <c r="X670" s="223"/>
      <c r="Y670" s="223"/>
      <c r="Z670" s="223"/>
    </row>
    <row r="671" spans="1:26" ht="12" customHeight="1" x14ac:dyDescent="0.35">
      <c r="A671" s="223"/>
      <c r="B671" s="223"/>
      <c r="C671" s="223"/>
      <c r="D671" s="223"/>
      <c r="E671" s="223"/>
      <c r="F671" s="223"/>
      <c r="G671" s="223"/>
      <c r="H671" s="223"/>
      <c r="I671" s="223"/>
      <c r="J671" s="223"/>
      <c r="K671" s="223"/>
      <c r="L671" s="223"/>
      <c r="M671" s="223"/>
      <c r="N671" s="223"/>
      <c r="O671" s="223"/>
      <c r="P671" s="223"/>
      <c r="Q671" s="223"/>
      <c r="R671" s="223"/>
      <c r="S671" s="223"/>
      <c r="T671" s="223"/>
      <c r="U671" s="223"/>
      <c r="V671" s="223"/>
      <c r="W671" s="223"/>
      <c r="X671" s="223"/>
      <c r="Y671" s="223"/>
      <c r="Z671" s="223"/>
    </row>
    <row r="672" spans="1:26" ht="12" customHeight="1" x14ac:dyDescent="0.35">
      <c r="A672" s="223"/>
      <c r="B672" s="223"/>
      <c r="C672" s="223"/>
      <c r="D672" s="223"/>
      <c r="E672" s="223"/>
      <c r="F672" s="223"/>
      <c r="G672" s="223"/>
      <c r="H672" s="223"/>
      <c r="I672" s="223"/>
      <c r="J672" s="223"/>
      <c r="K672" s="223"/>
      <c r="L672" s="223"/>
      <c r="M672" s="223"/>
      <c r="N672" s="223"/>
      <c r="O672" s="223"/>
      <c r="P672" s="223"/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</row>
    <row r="673" spans="1:26" ht="12" customHeight="1" x14ac:dyDescent="0.35">
      <c r="A673" s="223"/>
      <c r="B673" s="223"/>
      <c r="C673" s="223"/>
      <c r="D673" s="223"/>
      <c r="E673" s="223"/>
      <c r="F673" s="223"/>
      <c r="G673" s="223"/>
      <c r="H673" s="223"/>
      <c r="I673" s="223"/>
      <c r="J673" s="223"/>
      <c r="K673" s="223"/>
      <c r="L673" s="223"/>
      <c r="M673" s="223"/>
      <c r="N673" s="223"/>
      <c r="O673" s="223"/>
      <c r="P673" s="223"/>
      <c r="Q673" s="223"/>
      <c r="R673" s="223"/>
      <c r="S673" s="223"/>
      <c r="T673" s="223"/>
      <c r="U673" s="223"/>
      <c r="V673" s="223"/>
      <c r="W673" s="223"/>
      <c r="X673" s="223"/>
      <c r="Y673" s="223"/>
      <c r="Z673" s="223"/>
    </row>
    <row r="674" spans="1:26" ht="12" customHeight="1" x14ac:dyDescent="0.35">
      <c r="A674" s="223"/>
      <c r="B674" s="223"/>
      <c r="C674" s="223"/>
      <c r="D674" s="223"/>
      <c r="E674" s="223"/>
      <c r="F674" s="223"/>
      <c r="G674" s="223"/>
      <c r="H674" s="223"/>
      <c r="I674" s="223"/>
      <c r="J674" s="223"/>
      <c r="K674" s="223"/>
      <c r="L674" s="223"/>
      <c r="M674" s="223"/>
      <c r="N674" s="223"/>
      <c r="O674" s="223"/>
      <c r="P674" s="223"/>
      <c r="Q674" s="223"/>
      <c r="R674" s="223"/>
      <c r="S674" s="223"/>
      <c r="T674" s="223"/>
      <c r="U674" s="223"/>
      <c r="V674" s="223"/>
      <c r="W674" s="223"/>
      <c r="X674" s="223"/>
      <c r="Y674" s="223"/>
      <c r="Z674" s="223"/>
    </row>
    <row r="675" spans="1:26" ht="12" customHeight="1" x14ac:dyDescent="0.35">
      <c r="A675" s="223"/>
      <c r="B675" s="223"/>
      <c r="C675" s="223"/>
      <c r="D675" s="223"/>
      <c r="E675" s="223"/>
      <c r="F675" s="223"/>
      <c r="G675" s="223"/>
      <c r="H675" s="223"/>
      <c r="I675" s="223"/>
      <c r="J675" s="223"/>
      <c r="K675" s="223"/>
      <c r="L675" s="223"/>
      <c r="M675" s="223"/>
      <c r="N675" s="223"/>
      <c r="O675" s="223"/>
      <c r="P675" s="223"/>
      <c r="Q675" s="223"/>
      <c r="R675" s="223"/>
      <c r="S675" s="223"/>
      <c r="T675" s="223"/>
      <c r="U675" s="223"/>
      <c r="V675" s="223"/>
      <c r="W675" s="223"/>
      <c r="X675" s="223"/>
      <c r="Y675" s="223"/>
      <c r="Z675" s="223"/>
    </row>
    <row r="676" spans="1:26" ht="12" customHeight="1" x14ac:dyDescent="0.35">
      <c r="A676" s="223"/>
      <c r="B676" s="223"/>
      <c r="C676" s="223"/>
      <c r="D676" s="223"/>
      <c r="E676" s="223"/>
      <c r="F676" s="223"/>
      <c r="G676" s="223"/>
      <c r="H676" s="223"/>
      <c r="I676" s="223"/>
      <c r="J676" s="223"/>
      <c r="K676" s="223"/>
      <c r="L676" s="223"/>
      <c r="M676" s="223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23"/>
      <c r="Z676" s="223"/>
    </row>
    <row r="677" spans="1:26" ht="12" customHeight="1" x14ac:dyDescent="0.35">
      <c r="A677" s="223"/>
      <c r="B677" s="223"/>
      <c r="C677" s="223"/>
      <c r="D677" s="223"/>
      <c r="E677" s="223"/>
      <c r="F677" s="223"/>
      <c r="G677" s="223"/>
      <c r="H677" s="223"/>
      <c r="I677" s="223"/>
      <c r="J677" s="223"/>
      <c r="K677" s="223"/>
      <c r="L677" s="223"/>
      <c r="M677" s="223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23"/>
      <c r="Z677" s="223"/>
    </row>
    <row r="678" spans="1:26" ht="12" customHeight="1" x14ac:dyDescent="0.35">
      <c r="A678" s="223"/>
      <c r="B678" s="223"/>
      <c r="C678" s="223"/>
      <c r="D678" s="223"/>
      <c r="E678" s="223"/>
      <c r="F678" s="223"/>
      <c r="G678" s="223"/>
      <c r="H678" s="223"/>
      <c r="I678" s="223"/>
      <c r="J678" s="223"/>
      <c r="K678" s="223"/>
      <c r="L678" s="223"/>
      <c r="M678" s="223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23"/>
      <c r="Z678" s="223"/>
    </row>
    <row r="679" spans="1:26" ht="12" customHeight="1" x14ac:dyDescent="0.35">
      <c r="A679" s="223"/>
      <c r="B679" s="223"/>
      <c r="C679" s="223"/>
      <c r="D679" s="223"/>
      <c r="E679" s="223"/>
      <c r="F679" s="223"/>
      <c r="G679" s="223"/>
      <c r="H679" s="223"/>
      <c r="I679" s="223"/>
      <c r="J679" s="223"/>
      <c r="K679" s="223"/>
      <c r="L679" s="223"/>
      <c r="M679" s="223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23"/>
      <c r="Z679" s="223"/>
    </row>
    <row r="680" spans="1:26" ht="12" customHeight="1" x14ac:dyDescent="0.35">
      <c r="A680" s="223"/>
      <c r="B680" s="223"/>
      <c r="C680" s="223"/>
      <c r="D680" s="223"/>
      <c r="E680" s="223"/>
      <c r="F680" s="223"/>
      <c r="G680" s="223"/>
      <c r="H680" s="223"/>
      <c r="I680" s="223"/>
      <c r="J680" s="223"/>
      <c r="K680" s="223"/>
      <c r="L680" s="223"/>
      <c r="M680" s="223"/>
      <c r="N680" s="223"/>
      <c r="O680" s="223"/>
      <c r="P680" s="223"/>
      <c r="Q680" s="223"/>
      <c r="R680" s="223"/>
      <c r="S680" s="223"/>
      <c r="T680" s="223"/>
      <c r="U680" s="223"/>
      <c r="V680" s="223"/>
      <c r="W680" s="223"/>
      <c r="X680" s="223"/>
      <c r="Y680" s="223"/>
      <c r="Z680" s="223"/>
    </row>
    <row r="681" spans="1:26" ht="12" customHeight="1" x14ac:dyDescent="0.35">
      <c r="A681" s="223"/>
      <c r="B681" s="223"/>
      <c r="C681" s="223"/>
      <c r="D681" s="223"/>
      <c r="E681" s="223"/>
      <c r="F681" s="223"/>
      <c r="G681" s="223"/>
      <c r="H681" s="223"/>
      <c r="I681" s="223"/>
      <c r="J681" s="223"/>
      <c r="K681" s="223"/>
      <c r="L681" s="223"/>
      <c r="M681" s="223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23"/>
      <c r="Z681" s="223"/>
    </row>
    <row r="682" spans="1:26" ht="12" customHeight="1" x14ac:dyDescent="0.35">
      <c r="A682" s="223"/>
      <c r="B682" s="223"/>
      <c r="C682" s="223"/>
      <c r="D682" s="223"/>
      <c r="E682" s="223"/>
      <c r="F682" s="223"/>
      <c r="G682" s="223"/>
      <c r="H682" s="223"/>
      <c r="I682" s="223"/>
      <c r="J682" s="223"/>
      <c r="K682" s="223"/>
      <c r="L682" s="223"/>
      <c r="M682" s="223"/>
      <c r="N682" s="223"/>
      <c r="O682" s="223"/>
      <c r="P682" s="223"/>
      <c r="Q682" s="223"/>
      <c r="R682" s="223"/>
      <c r="S682" s="223"/>
      <c r="T682" s="223"/>
      <c r="U682" s="223"/>
      <c r="V682" s="223"/>
      <c r="W682" s="223"/>
      <c r="X682" s="223"/>
      <c r="Y682" s="223"/>
      <c r="Z682" s="223"/>
    </row>
    <row r="683" spans="1:26" ht="12" customHeight="1" x14ac:dyDescent="0.35">
      <c r="A683" s="223"/>
      <c r="B683" s="223"/>
      <c r="C683" s="223"/>
      <c r="D683" s="223"/>
      <c r="E683" s="223"/>
      <c r="F683" s="223"/>
      <c r="G683" s="223"/>
      <c r="H683" s="223"/>
      <c r="I683" s="223"/>
      <c r="J683" s="223"/>
      <c r="K683" s="223"/>
      <c r="L683" s="223"/>
      <c r="M683" s="223"/>
      <c r="N683" s="223"/>
      <c r="O683" s="223"/>
      <c r="P683" s="223"/>
      <c r="Q683" s="223"/>
      <c r="R683" s="223"/>
      <c r="S683" s="223"/>
      <c r="T683" s="223"/>
      <c r="U683" s="223"/>
      <c r="V683" s="223"/>
      <c r="W683" s="223"/>
      <c r="X683" s="223"/>
      <c r="Y683" s="223"/>
      <c r="Z683" s="223"/>
    </row>
    <row r="684" spans="1:26" ht="12" customHeight="1" x14ac:dyDescent="0.35">
      <c r="A684" s="223"/>
      <c r="B684" s="223"/>
      <c r="C684" s="223"/>
      <c r="D684" s="223"/>
      <c r="E684" s="223"/>
      <c r="F684" s="223"/>
      <c r="G684" s="223"/>
      <c r="H684" s="223"/>
      <c r="I684" s="223"/>
      <c r="J684" s="223"/>
      <c r="K684" s="223"/>
      <c r="L684" s="223"/>
      <c r="M684" s="223"/>
      <c r="N684" s="223"/>
      <c r="O684" s="223"/>
      <c r="P684" s="223"/>
      <c r="Q684" s="223"/>
      <c r="R684" s="223"/>
      <c r="S684" s="223"/>
      <c r="T684" s="223"/>
      <c r="U684" s="223"/>
      <c r="V684" s="223"/>
      <c r="W684" s="223"/>
      <c r="X684" s="223"/>
      <c r="Y684" s="223"/>
      <c r="Z684" s="223"/>
    </row>
    <row r="685" spans="1:26" ht="12" customHeight="1" x14ac:dyDescent="0.35">
      <c r="A685" s="223"/>
      <c r="B685" s="223"/>
      <c r="C685" s="223"/>
      <c r="D685" s="223"/>
      <c r="E685" s="223"/>
      <c r="F685" s="223"/>
      <c r="G685" s="223"/>
      <c r="H685" s="223"/>
      <c r="I685" s="223"/>
      <c r="J685" s="223"/>
      <c r="K685" s="223"/>
      <c r="L685" s="223"/>
      <c r="M685" s="223"/>
      <c r="N685" s="223"/>
      <c r="O685" s="223"/>
      <c r="P685" s="223"/>
      <c r="Q685" s="223"/>
      <c r="R685" s="223"/>
      <c r="S685" s="223"/>
      <c r="T685" s="223"/>
      <c r="U685" s="223"/>
      <c r="V685" s="223"/>
      <c r="W685" s="223"/>
      <c r="X685" s="223"/>
      <c r="Y685" s="223"/>
      <c r="Z685" s="223"/>
    </row>
    <row r="686" spans="1:26" ht="12" customHeight="1" x14ac:dyDescent="0.35">
      <c r="A686" s="223"/>
      <c r="B686" s="223"/>
      <c r="C686" s="223"/>
      <c r="D686" s="223"/>
      <c r="E686" s="223"/>
      <c r="F686" s="223"/>
      <c r="G686" s="223"/>
      <c r="H686" s="223"/>
      <c r="I686" s="223"/>
      <c r="J686" s="223"/>
      <c r="K686" s="223"/>
      <c r="L686" s="223"/>
      <c r="M686" s="223"/>
      <c r="N686" s="223"/>
      <c r="O686" s="223"/>
      <c r="P686" s="223"/>
      <c r="Q686" s="223"/>
      <c r="R686" s="223"/>
      <c r="S686" s="223"/>
      <c r="T686" s="223"/>
      <c r="U686" s="223"/>
      <c r="V686" s="223"/>
      <c r="W686" s="223"/>
      <c r="X686" s="223"/>
      <c r="Y686" s="223"/>
      <c r="Z686" s="223"/>
    </row>
    <row r="687" spans="1:26" ht="12" customHeight="1" x14ac:dyDescent="0.35">
      <c r="A687" s="223"/>
      <c r="B687" s="223"/>
      <c r="C687" s="223"/>
      <c r="D687" s="223"/>
      <c r="E687" s="223"/>
      <c r="F687" s="223"/>
      <c r="G687" s="223"/>
      <c r="H687" s="223"/>
      <c r="I687" s="223"/>
      <c r="J687" s="223"/>
      <c r="K687" s="223"/>
      <c r="L687" s="223"/>
      <c r="M687" s="223"/>
      <c r="N687" s="223"/>
      <c r="O687" s="223"/>
      <c r="P687" s="223"/>
      <c r="Q687" s="223"/>
      <c r="R687" s="223"/>
      <c r="S687" s="223"/>
      <c r="T687" s="223"/>
      <c r="U687" s="223"/>
      <c r="V687" s="223"/>
      <c r="W687" s="223"/>
      <c r="X687" s="223"/>
      <c r="Y687" s="223"/>
      <c r="Z687" s="223"/>
    </row>
    <row r="688" spans="1:26" ht="12" customHeight="1" x14ac:dyDescent="0.35">
      <c r="A688" s="223"/>
      <c r="B688" s="223"/>
      <c r="C688" s="223"/>
      <c r="D688" s="223"/>
      <c r="E688" s="223"/>
      <c r="F688" s="223"/>
      <c r="G688" s="223"/>
      <c r="H688" s="223"/>
      <c r="I688" s="223"/>
      <c r="J688" s="223"/>
      <c r="K688" s="223"/>
      <c r="L688" s="223"/>
      <c r="M688" s="223"/>
      <c r="N688" s="223"/>
      <c r="O688" s="223"/>
      <c r="P688" s="223"/>
      <c r="Q688" s="223"/>
      <c r="R688" s="223"/>
      <c r="S688" s="223"/>
      <c r="T688" s="223"/>
      <c r="U688" s="223"/>
      <c r="V688" s="223"/>
      <c r="W688" s="223"/>
      <c r="X688" s="223"/>
      <c r="Y688" s="223"/>
      <c r="Z688" s="223"/>
    </row>
    <row r="689" spans="1:26" ht="12" customHeight="1" x14ac:dyDescent="0.35">
      <c r="A689" s="223"/>
      <c r="B689" s="223"/>
      <c r="C689" s="223"/>
      <c r="D689" s="223"/>
      <c r="E689" s="223"/>
      <c r="F689" s="223"/>
      <c r="G689" s="223"/>
      <c r="H689" s="223"/>
      <c r="I689" s="223"/>
      <c r="J689" s="223"/>
      <c r="K689" s="223"/>
      <c r="L689" s="223"/>
      <c r="M689" s="223"/>
      <c r="N689" s="223"/>
      <c r="O689" s="223"/>
      <c r="P689" s="223"/>
      <c r="Q689" s="223"/>
      <c r="R689" s="223"/>
      <c r="S689" s="223"/>
      <c r="T689" s="223"/>
      <c r="U689" s="223"/>
      <c r="V689" s="223"/>
      <c r="W689" s="223"/>
      <c r="X689" s="223"/>
      <c r="Y689" s="223"/>
      <c r="Z689" s="223"/>
    </row>
    <row r="690" spans="1:26" ht="12" customHeight="1" x14ac:dyDescent="0.35">
      <c r="A690" s="223"/>
      <c r="B690" s="223"/>
      <c r="C690" s="223"/>
      <c r="D690" s="223"/>
      <c r="E690" s="223"/>
      <c r="F690" s="223"/>
      <c r="G690" s="223"/>
      <c r="H690" s="223"/>
      <c r="I690" s="223"/>
      <c r="J690" s="223"/>
      <c r="K690" s="223"/>
      <c r="L690" s="223"/>
      <c r="M690" s="223"/>
      <c r="N690" s="223"/>
      <c r="O690" s="223"/>
      <c r="P690" s="223"/>
      <c r="Q690" s="223"/>
      <c r="R690" s="223"/>
      <c r="S690" s="223"/>
      <c r="T690" s="223"/>
      <c r="U690" s="223"/>
      <c r="V690" s="223"/>
      <c r="W690" s="223"/>
      <c r="X690" s="223"/>
      <c r="Y690" s="223"/>
      <c r="Z690" s="223"/>
    </row>
    <row r="691" spans="1:26" ht="12" customHeight="1" x14ac:dyDescent="0.35">
      <c r="A691" s="223"/>
      <c r="B691" s="223"/>
      <c r="C691" s="223"/>
      <c r="D691" s="223"/>
      <c r="E691" s="223"/>
      <c r="F691" s="223"/>
      <c r="G691" s="223"/>
      <c r="H691" s="223"/>
      <c r="I691" s="223"/>
      <c r="J691" s="223"/>
      <c r="K691" s="223"/>
      <c r="L691" s="223"/>
      <c r="M691" s="223"/>
      <c r="N691" s="223"/>
      <c r="O691" s="223"/>
      <c r="P691" s="223"/>
      <c r="Q691" s="223"/>
      <c r="R691" s="223"/>
      <c r="S691" s="223"/>
      <c r="T691" s="223"/>
      <c r="U691" s="223"/>
      <c r="V691" s="223"/>
      <c r="W691" s="223"/>
      <c r="X691" s="223"/>
      <c r="Y691" s="223"/>
      <c r="Z691" s="223"/>
    </row>
    <row r="692" spans="1:26" ht="12" customHeight="1" x14ac:dyDescent="0.35">
      <c r="A692" s="223"/>
      <c r="B692" s="223"/>
      <c r="C692" s="223"/>
      <c r="D692" s="223"/>
      <c r="E692" s="223"/>
      <c r="F692" s="223"/>
      <c r="G692" s="223"/>
      <c r="H692" s="223"/>
      <c r="I692" s="223"/>
      <c r="J692" s="223"/>
      <c r="K692" s="223"/>
      <c r="L692" s="223"/>
      <c r="M692" s="223"/>
      <c r="N692" s="223"/>
      <c r="O692" s="223"/>
      <c r="P692" s="223"/>
      <c r="Q692" s="223"/>
      <c r="R692" s="223"/>
      <c r="S692" s="223"/>
      <c r="T692" s="223"/>
      <c r="U692" s="223"/>
      <c r="V692" s="223"/>
      <c r="W692" s="223"/>
      <c r="X692" s="223"/>
      <c r="Y692" s="223"/>
      <c r="Z692" s="223"/>
    </row>
    <row r="693" spans="1:26" ht="12" customHeight="1" x14ac:dyDescent="0.35">
      <c r="A693" s="223"/>
      <c r="B693" s="223"/>
      <c r="C693" s="223"/>
      <c r="D693" s="223"/>
      <c r="E693" s="223"/>
      <c r="F693" s="223"/>
      <c r="G693" s="223"/>
      <c r="H693" s="223"/>
      <c r="I693" s="223"/>
      <c r="J693" s="223"/>
      <c r="K693" s="223"/>
      <c r="L693" s="223"/>
      <c r="M693" s="223"/>
      <c r="N693" s="223"/>
      <c r="O693" s="223"/>
      <c r="P693" s="223"/>
      <c r="Q693" s="223"/>
      <c r="R693" s="223"/>
      <c r="S693" s="223"/>
      <c r="T693" s="223"/>
      <c r="U693" s="223"/>
      <c r="V693" s="223"/>
      <c r="W693" s="223"/>
      <c r="X693" s="223"/>
      <c r="Y693" s="223"/>
      <c r="Z693" s="223"/>
    </row>
    <row r="694" spans="1:26" ht="12" customHeight="1" x14ac:dyDescent="0.35">
      <c r="A694" s="223"/>
      <c r="B694" s="223"/>
      <c r="C694" s="223"/>
      <c r="D694" s="223"/>
      <c r="E694" s="223"/>
      <c r="F694" s="223"/>
      <c r="G694" s="223"/>
      <c r="H694" s="223"/>
      <c r="I694" s="223"/>
      <c r="J694" s="223"/>
      <c r="K694" s="223"/>
      <c r="L694" s="223"/>
      <c r="M694" s="223"/>
      <c r="N694" s="223"/>
      <c r="O694" s="223"/>
      <c r="P694" s="223"/>
      <c r="Q694" s="223"/>
      <c r="R694" s="223"/>
      <c r="S694" s="223"/>
      <c r="T694" s="223"/>
      <c r="U694" s="223"/>
      <c r="V694" s="223"/>
      <c r="W694" s="223"/>
      <c r="X694" s="223"/>
      <c r="Y694" s="223"/>
      <c r="Z694" s="223"/>
    </row>
    <row r="695" spans="1:26" ht="12" customHeight="1" x14ac:dyDescent="0.35">
      <c r="A695" s="223"/>
      <c r="B695" s="223"/>
      <c r="C695" s="223"/>
      <c r="D695" s="223"/>
      <c r="E695" s="223"/>
      <c r="F695" s="223"/>
      <c r="G695" s="223"/>
      <c r="H695" s="223"/>
      <c r="I695" s="223"/>
      <c r="J695" s="223"/>
      <c r="K695" s="223"/>
      <c r="L695" s="223"/>
      <c r="M695" s="223"/>
      <c r="N695" s="223"/>
      <c r="O695" s="223"/>
      <c r="P695" s="223"/>
      <c r="Q695" s="223"/>
      <c r="R695" s="223"/>
      <c r="S695" s="223"/>
      <c r="T695" s="223"/>
      <c r="U695" s="223"/>
      <c r="V695" s="223"/>
      <c r="W695" s="223"/>
      <c r="X695" s="223"/>
      <c r="Y695" s="223"/>
      <c r="Z695" s="223"/>
    </row>
    <row r="696" spans="1:26" ht="12" customHeight="1" x14ac:dyDescent="0.35">
      <c r="A696" s="223"/>
      <c r="B696" s="223"/>
      <c r="C696" s="223"/>
      <c r="D696" s="223"/>
      <c r="E696" s="223"/>
      <c r="F696" s="223"/>
      <c r="G696" s="223"/>
      <c r="H696" s="223"/>
      <c r="I696" s="223"/>
      <c r="J696" s="223"/>
      <c r="K696" s="223"/>
      <c r="L696" s="223"/>
      <c r="M696" s="223"/>
      <c r="N696" s="223"/>
      <c r="O696" s="223"/>
      <c r="P696" s="223"/>
      <c r="Q696" s="223"/>
      <c r="R696" s="223"/>
      <c r="S696" s="223"/>
      <c r="T696" s="223"/>
      <c r="U696" s="223"/>
      <c r="V696" s="223"/>
      <c r="W696" s="223"/>
      <c r="X696" s="223"/>
      <c r="Y696" s="223"/>
      <c r="Z696" s="223"/>
    </row>
    <row r="697" spans="1:26" ht="12" customHeight="1" x14ac:dyDescent="0.35">
      <c r="A697" s="223"/>
      <c r="B697" s="223"/>
      <c r="C697" s="223"/>
      <c r="D697" s="223"/>
      <c r="E697" s="223"/>
      <c r="F697" s="223"/>
      <c r="G697" s="223"/>
      <c r="H697" s="223"/>
      <c r="I697" s="223"/>
      <c r="J697" s="223"/>
      <c r="K697" s="223"/>
      <c r="L697" s="223"/>
      <c r="M697" s="223"/>
      <c r="N697" s="223"/>
      <c r="O697" s="223"/>
      <c r="P697" s="223"/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</row>
    <row r="698" spans="1:26" ht="12" customHeight="1" x14ac:dyDescent="0.35">
      <c r="A698" s="223"/>
      <c r="B698" s="223"/>
      <c r="C698" s="223"/>
      <c r="D698" s="223"/>
      <c r="E698" s="223"/>
      <c r="F698" s="223"/>
      <c r="G698" s="223"/>
      <c r="H698" s="223"/>
      <c r="I698" s="223"/>
      <c r="J698" s="223"/>
      <c r="K698" s="223"/>
      <c r="L698" s="223"/>
      <c r="M698" s="223"/>
      <c r="N698" s="223"/>
      <c r="O698" s="223"/>
      <c r="P698" s="223"/>
      <c r="Q698" s="223"/>
      <c r="R698" s="223"/>
      <c r="S698" s="223"/>
      <c r="T698" s="223"/>
      <c r="U698" s="223"/>
      <c r="V698" s="223"/>
      <c r="W698" s="223"/>
      <c r="X698" s="223"/>
      <c r="Y698" s="223"/>
      <c r="Z698" s="223"/>
    </row>
    <row r="699" spans="1:26" ht="12" customHeight="1" x14ac:dyDescent="0.35">
      <c r="A699" s="223"/>
      <c r="B699" s="223"/>
      <c r="C699" s="223"/>
      <c r="D699" s="223"/>
      <c r="E699" s="223"/>
      <c r="F699" s="223"/>
      <c r="G699" s="223"/>
      <c r="H699" s="223"/>
      <c r="I699" s="223"/>
      <c r="J699" s="223"/>
      <c r="K699" s="223"/>
      <c r="L699" s="223"/>
      <c r="M699" s="223"/>
      <c r="N699" s="223"/>
      <c r="O699" s="223"/>
      <c r="P699" s="223"/>
      <c r="Q699" s="223"/>
      <c r="R699" s="223"/>
      <c r="S699" s="223"/>
      <c r="T699" s="223"/>
      <c r="U699" s="223"/>
      <c r="V699" s="223"/>
      <c r="W699" s="223"/>
      <c r="X699" s="223"/>
      <c r="Y699" s="223"/>
      <c r="Z699" s="223"/>
    </row>
    <row r="700" spans="1:26" ht="12" customHeight="1" x14ac:dyDescent="0.35">
      <c r="A700" s="223"/>
      <c r="B700" s="223"/>
      <c r="C700" s="223"/>
      <c r="D700" s="223"/>
      <c r="E700" s="223"/>
      <c r="F700" s="223"/>
      <c r="G700" s="223"/>
      <c r="H700" s="223"/>
      <c r="I700" s="223"/>
      <c r="J700" s="223"/>
      <c r="K700" s="223"/>
      <c r="L700" s="223"/>
      <c r="M700" s="223"/>
      <c r="N700" s="223"/>
      <c r="O700" s="223"/>
      <c r="P700" s="223"/>
      <c r="Q700" s="223"/>
      <c r="R700" s="223"/>
      <c r="S700" s="223"/>
      <c r="T700" s="223"/>
      <c r="U700" s="223"/>
      <c r="V700" s="223"/>
      <c r="W700" s="223"/>
      <c r="X700" s="223"/>
      <c r="Y700" s="223"/>
      <c r="Z700" s="223"/>
    </row>
    <row r="701" spans="1:26" ht="12" customHeight="1" x14ac:dyDescent="0.35">
      <c r="A701" s="223"/>
      <c r="B701" s="223"/>
      <c r="C701" s="223"/>
      <c r="D701" s="223"/>
      <c r="E701" s="223"/>
      <c r="F701" s="223"/>
      <c r="G701" s="223"/>
      <c r="H701" s="223"/>
      <c r="I701" s="223"/>
      <c r="J701" s="223"/>
      <c r="K701" s="223"/>
      <c r="L701" s="223"/>
      <c r="M701" s="223"/>
      <c r="N701" s="223"/>
      <c r="O701" s="223"/>
      <c r="P701" s="223"/>
      <c r="Q701" s="223"/>
      <c r="R701" s="223"/>
      <c r="S701" s="223"/>
      <c r="T701" s="223"/>
      <c r="U701" s="223"/>
      <c r="V701" s="223"/>
      <c r="W701" s="223"/>
      <c r="X701" s="223"/>
      <c r="Y701" s="223"/>
      <c r="Z701" s="223"/>
    </row>
    <row r="702" spans="1:26" ht="12" customHeight="1" x14ac:dyDescent="0.35">
      <c r="A702" s="223"/>
      <c r="B702" s="223"/>
      <c r="C702" s="223"/>
      <c r="D702" s="223"/>
      <c r="E702" s="223"/>
      <c r="F702" s="223"/>
      <c r="G702" s="223"/>
      <c r="H702" s="223"/>
      <c r="I702" s="223"/>
      <c r="J702" s="223"/>
      <c r="K702" s="223"/>
      <c r="L702" s="223"/>
      <c r="M702" s="223"/>
      <c r="N702" s="223"/>
      <c r="O702" s="223"/>
      <c r="P702" s="223"/>
      <c r="Q702" s="223"/>
      <c r="R702" s="223"/>
      <c r="S702" s="223"/>
      <c r="T702" s="223"/>
      <c r="U702" s="223"/>
      <c r="V702" s="223"/>
      <c r="W702" s="223"/>
      <c r="X702" s="223"/>
      <c r="Y702" s="223"/>
      <c r="Z702" s="223"/>
    </row>
    <row r="703" spans="1:26" ht="12" customHeight="1" x14ac:dyDescent="0.35">
      <c r="A703" s="223"/>
      <c r="B703" s="223"/>
      <c r="C703" s="223"/>
      <c r="D703" s="223"/>
      <c r="E703" s="223"/>
      <c r="F703" s="223"/>
      <c r="G703" s="223"/>
      <c r="H703" s="223"/>
      <c r="I703" s="223"/>
      <c r="J703" s="223"/>
      <c r="K703" s="223"/>
      <c r="L703" s="223"/>
      <c r="M703" s="223"/>
      <c r="N703" s="223"/>
      <c r="O703" s="223"/>
      <c r="P703" s="223"/>
      <c r="Q703" s="223"/>
      <c r="R703" s="223"/>
      <c r="S703" s="223"/>
      <c r="T703" s="223"/>
      <c r="U703" s="223"/>
      <c r="V703" s="223"/>
      <c r="W703" s="223"/>
      <c r="X703" s="223"/>
      <c r="Y703" s="223"/>
      <c r="Z703" s="223"/>
    </row>
    <row r="704" spans="1:26" ht="12" customHeight="1" x14ac:dyDescent="0.35">
      <c r="A704" s="223"/>
      <c r="B704" s="223"/>
      <c r="C704" s="223"/>
      <c r="D704" s="223"/>
      <c r="E704" s="223"/>
      <c r="F704" s="223"/>
      <c r="G704" s="223"/>
      <c r="H704" s="223"/>
      <c r="I704" s="223"/>
      <c r="J704" s="223"/>
      <c r="K704" s="223"/>
      <c r="L704" s="223"/>
      <c r="M704" s="223"/>
      <c r="N704" s="223"/>
      <c r="O704" s="223"/>
      <c r="P704" s="223"/>
      <c r="Q704" s="223"/>
      <c r="R704" s="223"/>
      <c r="S704" s="223"/>
      <c r="T704" s="223"/>
      <c r="U704" s="223"/>
      <c r="V704" s="223"/>
      <c r="W704" s="223"/>
      <c r="X704" s="223"/>
      <c r="Y704" s="223"/>
      <c r="Z704" s="223"/>
    </row>
    <row r="705" spans="1:26" ht="12" customHeight="1" x14ac:dyDescent="0.35">
      <c r="A705" s="223"/>
      <c r="B705" s="223"/>
      <c r="C705" s="223"/>
      <c r="D705" s="223"/>
      <c r="E705" s="223"/>
      <c r="F705" s="223"/>
      <c r="G705" s="223"/>
      <c r="H705" s="223"/>
      <c r="I705" s="223"/>
      <c r="J705" s="223"/>
      <c r="K705" s="223"/>
      <c r="L705" s="223"/>
      <c r="M705" s="223"/>
      <c r="N705" s="223"/>
      <c r="O705" s="223"/>
      <c r="P705" s="223"/>
      <c r="Q705" s="223"/>
      <c r="R705" s="223"/>
      <c r="S705" s="223"/>
      <c r="T705" s="223"/>
      <c r="U705" s="223"/>
      <c r="V705" s="223"/>
      <c r="W705" s="223"/>
      <c r="X705" s="223"/>
      <c r="Y705" s="223"/>
      <c r="Z705" s="223"/>
    </row>
    <row r="706" spans="1:26" ht="12" customHeight="1" x14ac:dyDescent="0.35">
      <c r="A706" s="223"/>
      <c r="B706" s="223"/>
      <c r="C706" s="223"/>
      <c r="D706" s="223"/>
      <c r="E706" s="223"/>
      <c r="F706" s="223"/>
      <c r="G706" s="223"/>
      <c r="H706" s="223"/>
      <c r="I706" s="223"/>
      <c r="J706" s="223"/>
      <c r="K706" s="223"/>
      <c r="L706" s="223"/>
      <c r="M706" s="223"/>
      <c r="N706" s="223"/>
      <c r="O706" s="223"/>
      <c r="P706" s="223"/>
      <c r="Q706" s="223"/>
      <c r="R706" s="223"/>
      <c r="S706" s="223"/>
      <c r="T706" s="223"/>
      <c r="U706" s="223"/>
      <c r="V706" s="223"/>
      <c r="W706" s="223"/>
      <c r="X706" s="223"/>
      <c r="Y706" s="223"/>
      <c r="Z706" s="223"/>
    </row>
    <row r="707" spans="1:26" ht="12" customHeight="1" x14ac:dyDescent="0.35">
      <c r="A707" s="223"/>
      <c r="B707" s="223"/>
      <c r="C707" s="223"/>
      <c r="D707" s="223"/>
      <c r="E707" s="223"/>
      <c r="F707" s="223"/>
      <c r="G707" s="223"/>
      <c r="H707" s="223"/>
      <c r="I707" s="223"/>
      <c r="J707" s="223"/>
      <c r="K707" s="223"/>
      <c r="L707" s="223"/>
      <c r="M707" s="223"/>
      <c r="N707" s="223"/>
      <c r="O707" s="223"/>
      <c r="P707" s="223"/>
      <c r="Q707" s="223"/>
      <c r="R707" s="223"/>
      <c r="S707" s="223"/>
      <c r="T707" s="223"/>
      <c r="U707" s="223"/>
      <c r="V707" s="223"/>
      <c r="W707" s="223"/>
      <c r="X707" s="223"/>
      <c r="Y707" s="223"/>
      <c r="Z707" s="223"/>
    </row>
    <row r="708" spans="1:26" ht="12" customHeight="1" x14ac:dyDescent="0.35">
      <c r="A708" s="223"/>
      <c r="B708" s="223"/>
      <c r="C708" s="223"/>
      <c r="D708" s="223"/>
      <c r="E708" s="223"/>
      <c r="F708" s="223"/>
      <c r="G708" s="223"/>
      <c r="H708" s="223"/>
      <c r="I708" s="223"/>
      <c r="J708" s="223"/>
      <c r="K708" s="223"/>
      <c r="L708" s="223"/>
      <c r="M708" s="223"/>
      <c r="N708" s="223"/>
      <c r="O708" s="223"/>
      <c r="P708" s="223"/>
      <c r="Q708" s="223"/>
      <c r="R708" s="223"/>
      <c r="S708" s="223"/>
      <c r="T708" s="223"/>
      <c r="U708" s="223"/>
      <c r="V708" s="223"/>
      <c r="W708" s="223"/>
      <c r="X708" s="223"/>
      <c r="Y708" s="223"/>
      <c r="Z708" s="223"/>
    </row>
    <row r="709" spans="1:26" ht="12" customHeight="1" x14ac:dyDescent="0.35">
      <c r="A709" s="223"/>
      <c r="B709" s="223"/>
      <c r="C709" s="223"/>
      <c r="D709" s="223"/>
      <c r="E709" s="223"/>
      <c r="F709" s="223"/>
      <c r="G709" s="223"/>
      <c r="H709" s="223"/>
      <c r="I709" s="223"/>
      <c r="J709" s="223"/>
      <c r="K709" s="223"/>
      <c r="L709" s="223"/>
      <c r="M709" s="223"/>
      <c r="N709" s="223"/>
      <c r="O709" s="223"/>
      <c r="P709" s="223"/>
      <c r="Q709" s="223"/>
      <c r="R709" s="223"/>
      <c r="S709" s="223"/>
      <c r="T709" s="223"/>
      <c r="U709" s="223"/>
      <c r="V709" s="223"/>
      <c r="W709" s="223"/>
      <c r="X709" s="223"/>
      <c r="Y709" s="223"/>
      <c r="Z709" s="223"/>
    </row>
    <row r="710" spans="1:26" ht="12" customHeight="1" x14ac:dyDescent="0.35">
      <c r="A710" s="223"/>
      <c r="B710" s="223"/>
      <c r="C710" s="223"/>
      <c r="D710" s="223"/>
      <c r="E710" s="223"/>
      <c r="F710" s="223"/>
      <c r="G710" s="223"/>
      <c r="H710" s="223"/>
      <c r="I710" s="223"/>
      <c r="J710" s="223"/>
      <c r="K710" s="223"/>
      <c r="L710" s="223"/>
      <c r="M710" s="223"/>
      <c r="N710" s="223"/>
      <c r="O710" s="223"/>
      <c r="P710" s="223"/>
      <c r="Q710" s="223"/>
      <c r="R710" s="223"/>
      <c r="S710" s="223"/>
      <c r="T710" s="223"/>
      <c r="U710" s="223"/>
      <c r="V710" s="223"/>
      <c r="W710" s="223"/>
      <c r="X710" s="223"/>
      <c r="Y710" s="223"/>
      <c r="Z710" s="223"/>
    </row>
    <row r="711" spans="1:26" ht="12" customHeight="1" x14ac:dyDescent="0.35">
      <c r="A711" s="223"/>
      <c r="B711" s="223"/>
      <c r="C711" s="223"/>
      <c r="D711" s="223"/>
      <c r="E711" s="223"/>
      <c r="F711" s="223"/>
      <c r="G711" s="223"/>
      <c r="H711" s="223"/>
      <c r="I711" s="223"/>
      <c r="J711" s="223"/>
      <c r="K711" s="223"/>
      <c r="L711" s="223"/>
      <c r="M711" s="223"/>
      <c r="N711" s="223"/>
      <c r="O711" s="223"/>
      <c r="P711" s="223"/>
      <c r="Q711" s="223"/>
      <c r="R711" s="223"/>
      <c r="S711" s="223"/>
      <c r="T711" s="223"/>
      <c r="U711" s="223"/>
      <c r="V711" s="223"/>
      <c r="W711" s="223"/>
      <c r="X711" s="223"/>
      <c r="Y711" s="223"/>
      <c r="Z711" s="223"/>
    </row>
    <row r="712" spans="1:26" ht="12" customHeight="1" x14ac:dyDescent="0.35">
      <c r="A712" s="223"/>
      <c r="B712" s="223"/>
      <c r="C712" s="223"/>
      <c r="D712" s="223"/>
      <c r="E712" s="223"/>
      <c r="F712" s="223"/>
      <c r="G712" s="223"/>
      <c r="H712" s="223"/>
      <c r="I712" s="223"/>
      <c r="J712" s="223"/>
      <c r="K712" s="223"/>
      <c r="L712" s="223"/>
      <c r="M712" s="223"/>
      <c r="N712" s="223"/>
      <c r="O712" s="223"/>
      <c r="P712" s="223"/>
      <c r="Q712" s="223"/>
      <c r="R712" s="223"/>
      <c r="S712" s="223"/>
      <c r="T712" s="223"/>
      <c r="U712" s="223"/>
      <c r="V712" s="223"/>
      <c r="W712" s="223"/>
      <c r="X712" s="223"/>
      <c r="Y712" s="223"/>
      <c r="Z712" s="223"/>
    </row>
    <row r="713" spans="1:26" ht="12" customHeight="1" x14ac:dyDescent="0.35">
      <c r="A713" s="223"/>
      <c r="B713" s="223"/>
      <c r="C713" s="223"/>
      <c r="D713" s="223"/>
      <c r="E713" s="223"/>
      <c r="F713" s="223"/>
      <c r="G713" s="223"/>
      <c r="H713" s="223"/>
      <c r="I713" s="223"/>
      <c r="J713" s="223"/>
      <c r="K713" s="223"/>
      <c r="L713" s="223"/>
      <c r="M713" s="223"/>
      <c r="N713" s="223"/>
      <c r="O713" s="223"/>
      <c r="P713" s="223"/>
      <c r="Q713" s="223"/>
      <c r="R713" s="223"/>
      <c r="S713" s="223"/>
      <c r="T713" s="223"/>
      <c r="U713" s="223"/>
      <c r="V713" s="223"/>
      <c r="W713" s="223"/>
      <c r="X713" s="223"/>
      <c r="Y713" s="223"/>
      <c r="Z713" s="223"/>
    </row>
    <row r="714" spans="1:26" ht="12" customHeight="1" x14ac:dyDescent="0.35">
      <c r="A714" s="223"/>
      <c r="B714" s="223"/>
      <c r="C714" s="223"/>
      <c r="D714" s="223"/>
      <c r="E714" s="223"/>
      <c r="F714" s="223"/>
      <c r="G714" s="223"/>
      <c r="H714" s="223"/>
      <c r="I714" s="223"/>
      <c r="J714" s="223"/>
      <c r="K714" s="223"/>
      <c r="L714" s="223"/>
      <c r="M714" s="223"/>
      <c r="N714" s="223"/>
      <c r="O714" s="223"/>
      <c r="P714" s="223"/>
      <c r="Q714" s="223"/>
      <c r="R714" s="223"/>
      <c r="S714" s="223"/>
      <c r="T714" s="223"/>
      <c r="U714" s="223"/>
      <c r="V714" s="223"/>
      <c r="W714" s="223"/>
      <c r="X714" s="223"/>
      <c r="Y714" s="223"/>
      <c r="Z714" s="223"/>
    </row>
    <row r="715" spans="1:26" ht="12" customHeight="1" x14ac:dyDescent="0.35">
      <c r="A715" s="223"/>
      <c r="B715" s="223"/>
      <c r="C715" s="223"/>
      <c r="D715" s="223"/>
      <c r="E715" s="223"/>
      <c r="F715" s="223"/>
      <c r="G715" s="223"/>
      <c r="H715" s="223"/>
      <c r="I715" s="223"/>
      <c r="J715" s="223"/>
      <c r="K715" s="223"/>
      <c r="L715" s="223"/>
      <c r="M715" s="223"/>
      <c r="N715" s="223"/>
      <c r="O715" s="223"/>
      <c r="P715" s="223"/>
      <c r="Q715" s="223"/>
      <c r="R715" s="223"/>
      <c r="S715" s="223"/>
      <c r="T715" s="223"/>
      <c r="U715" s="223"/>
      <c r="V715" s="223"/>
      <c r="W715" s="223"/>
      <c r="X715" s="223"/>
      <c r="Y715" s="223"/>
      <c r="Z715" s="223"/>
    </row>
    <row r="716" spans="1:26" ht="12" customHeight="1" x14ac:dyDescent="0.35">
      <c r="A716" s="223"/>
      <c r="B716" s="223"/>
      <c r="C716" s="223"/>
      <c r="D716" s="223"/>
      <c r="E716" s="223"/>
      <c r="F716" s="223"/>
      <c r="G716" s="223"/>
      <c r="H716" s="223"/>
      <c r="I716" s="223"/>
      <c r="J716" s="223"/>
      <c r="K716" s="223"/>
      <c r="L716" s="223"/>
      <c r="M716" s="223"/>
      <c r="N716" s="223"/>
      <c r="O716" s="223"/>
      <c r="P716" s="223"/>
      <c r="Q716" s="223"/>
      <c r="R716" s="223"/>
      <c r="S716" s="223"/>
      <c r="T716" s="223"/>
      <c r="U716" s="223"/>
      <c r="V716" s="223"/>
      <c r="W716" s="223"/>
      <c r="X716" s="223"/>
      <c r="Y716" s="223"/>
      <c r="Z716" s="223"/>
    </row>
    <row r="717" spans="1:26" ht="12" customHeight="1" x14ac:dyDescent="0.35">
      <c r="A717" s="223"/>
      <c r="B717" s="223"/>
      <c r="C717" s="223"/>
      <c r="D717" s="223"/>
      <c r="E717" s="223"/>
      <c r="F717" s="223"/>
      <c r="G717" s="223"/>
      <c r="H717" s="223"/>
      <c r="I717" s="223"/>
      <c r="J717" s="223"/>
      <c r="K717" s="223"/>
      <c r="L717" s="223"/>
      <c r="M717" s="223"/>
      <c r="N717" s="223"/>
      <c r="O717" s="223"/>
      <c r="P717" s="223"/>
      <c r="Q717" s="223"/>
      <c r="R717" s="223"/>
      <c r="S717" s="223"/>
      <c r="T717" s="223"/>
      <c r="U717" s="223"/>
      <c r="V717" s="223"/>
      <c r="W717" s="223"/>
      <c r="X717" s="223"/>
      <c r="Y717" s="223"/>
      <c r="Z717" s="223"/>
    </row>
    <row r="718" spans="1:26" ht="12" customHeight="1" x14ac:dyDescent="0.35">
      <c r="A718" s="223"/>
      <c r="B718" s="223"/>
      <c r="C718" s="223"/>
      <c r="D718" s="223"/>
      <c r="E718" s="223"/>
      <c r="F718" s="223"/>
      <c r="G718" s="223"/>
      <c r="H718" s="223"/>
      <c r="I718" s="223"/>
      <c r="J718" s="223"/>
      <c r="K718" s="223"/>
      <c r="L718" s="223"/>
      <c r="M718" s="223"/>
      <c r="N718" s="223"/>
      <c r="O718" s="223"/>
      <c r="P718" s="223"/>
      <c r="Q718" s="223"/>
      <c r="R718" s="223"/>
      <c r="S718" s="223"/>
      <c r="T718" s="223"/>
      <c r="U718" s="223"/>
      <c r="V718" s="223"/>
      <c r="W718" s="223"/>
      <c r="X718" s="223"/>
      <c r="Y718" s="223"/>
      <c r="Z718" s="223"/>
    </row>
    <row r="719" spans="1:26" ht="12" customHeight="1" x14ac:dyDescent="0.35">
      <c r="A719" s="223"/>
      <c r="B719" s="223"/>
      <c r="C719" s="223"/>
      <c r="D719" s="223"/>
      <c r="E719" s="223"/>
      <c r="F719" s="223"/>
      <c r="G719" s="223"/>
      <c r="H719" s="223"/>
      <c r="I719" s="223"/>
      <c r="J719" s="223"/>
      <c r="K719" s="223"/>
      <c r="L719" s="223"/>
      <c r="M719" s="223"/>
      <c r="N719" s="223"/>
      <c r="O719" s="223"/>
      <c r="P719" s="223"/>
      <c r="Q719" s="223"/>
      <c r="R719" s="223"/>
      <c r="S719" s="223"/>
      <c r="T719" s="223"/>
      <c r="U719" s="223"/>
      <c r="V719" s="223"/>
      <c r="W719" s="223"/>
      <c r="X719" s="223"/>
      <c r="Y719" s="223"/>
      <c r="Z719" s="223"/>
    </row>
    <row r="720" spans="1:26" ht="12" customHeight="1" x14ac:dyDescent="0.35">
      <c r="A720" s="223"/>
      <c r="B720" s="223"/>
      <c r="C720" s="223"/>
      <c r="D720" s="223"/>
      <c r="E720" s="223"/>
      <c r="F720" s="223"/>
      <c r="G720" s="223"/>
      <c r="H720" s="223"/>
      <c r="I720" s="223"/>
      <c r="J720" s="223"/>
      <c r="K720" s="223"/>
      <c r="L720" s="223"/>
      <c r="M720" s="223"/>
      <c r="N720" s="223"/>
      <c r="O720" s="223"/>
      <c r="P720" s="223"/>
      <c r="Q720" s="223"/>
      <c r="R720" s="223"/>
      <c r="S720" s="223"/>
      <c r="T720" s="223"/>
      <c r="U720" s="223"/>
      <c r="V720" s="223"/>
      <c r="W720" s="223"/>
      <c r="X720" s="223"/>
      <c r="Y720" s="223"/>
      <c r="Z720" s="223"/>
    </row>
    <row r="721" spans="1:26" ht="12" customHeight="1" x14ac:dyDescent="0.35">
      <c r="A721" s="223"/>
      <c r="B721" s="223"/>
      <c r="C721" s="223"/>
      <c r="D721" s="223"/>
      <c r="E721" s="223"/>
      <c r="F721" s="223"/>
      <c r="G721" s="223"/>
      <c r="H721" s="223"/>
      <c r="I721" s="223"/>
      <c r="J721" s="223"/>
      <c r="K721" s="223"/>
      <c r="L721" s="223"/>
      <c r="M721" s="223"/>
      <c r="N721" s="223"/>
      <c r="O721" s="223"/>
      <c r="P721" s="223"/>
      <c r="Q721" s="223"/>
      <c r="R721" s="223"/>
      <c r="S721" s="223"/>
      <c r="T721" s="223"/>
      <c r="U721" s="223"/>
      <c r="V721" s="223"/>
      <c r="W721" s="223"/>
      <c r="X721" s="223"/>
      <c r="Y721" s="223"/>
      <c r="Z721" s="223"/>
    </row>
    <row r="722" spans="1:26" ht="12" customHeight="1" x14ac:dyDescent="0.35">
      <c r="A722" s="223"/>
      <c r="B722" s="223"/>
      <c r="C722" s="223"/>
      <c r="D722" s="223"/>
      <c r="E722" s="223"/>
      <c r="F722" s="223"/>
      <c r="G722" s="223"/>
      <c r="H722" s="223"/>
      <c r="I722" s="223"/>
      <c r="J722" s="223"/>
      <c r="K722" s="223"/>
      <c r="L722" s="223"/>
      <c r="M722" s="223"/>
      <c r="N722" s="223"/>
      <c r="O722" s="223"/>
      <c r="P722" s="223"/>
      <c r="Q722" s="223"/>
      <c r="R722" s="223"/>
      <c r="S722" s="223"/>
      <c r="T722" s="223"/>
      <c r="U722" s="223"/>
      <c r="V722" s="223"/>
      <c r="W722" s="223"/>
      <c r="X722" s="223"/>
      <c r="Y722" s="223"/>
      <c r="Z722" s="223"/>
    </row>
    <row r="723" spans="1:26" ht="12" customHeight="1" x14ac:dyDescent="0.35">
      <c r="A723" s="223"/>
      <c r="B723" s="223"/>
      <c r="C723" s="223"/>
      <c r="D723" s="223"/>
      <c r="E723" s="223"/>
      <c r="F723" s="223"/>
      <c r="G723" s="223"/>
      <c r="H723" s="223"/>
      <c r="I723" s="223"/>
      <c r="J723" s="223"/>
      <c r="K723" s="223"/>
      <c r="L723" s="223"/>
      <c r="M723" s="223"/>
      <c r="N723" s="223"/>
      <c r="O723" s="223"/>
      <c r="P723" s="223"/>
      <c r="Q723" s="223"/>
      <c r="R723" s="223"/>
      <c r="S723" s="223"/>
      <c r="T723" s="223"/>
      <c r="U723" s="223"/>
      <c r="V723" s="223"/>
      <c r="W723" s="223"/>
      <c r="X723" s="223"/>
      <c r="Y723" s="223"/>
      <c r="Z723" s="223"/>
    </row>
    <row r="724" spans="1:26" ht="12" customHeight="1" x14ac:dyDescent="0.35">
      <c r="A724" s="223"/>
      <c r="B724" s="223"/>
      <c r="C724" s="223"/>
      <c r="D724" s="223"/>
      <c r="E724" s="223"/>
      <c r="F724" s="223"/>
      <c r="G724" s="223"/>
      <c r="H724" s="223"/>
      <c r="I724" s="223"/>
      <c r="J724" s="223"/>
      <c r="K724" s="223"/>
      <c r="L724" s="223"/>
      <c r="M724" s="223"/>
      <c r="N724" s="223"/>
      <c r="O724" s="223"/>
      <c r="P724" s="223"/>
      <c r="Q724" s="223"/>
      <c r="R724" s="223"/>
      <c r="S724" s="223"/>
      <c r="T724" s="223"/>
      <c r="U724" s="223"/>
      <c r="V724" s="223"/>
      <c r="W724" s="223"/>
      <c r="X724" s="223"/>
      <c r="Y724" s="223"/>
      <c r="Z724" s="223"/>
    </row>
    <row r="725" spans="1:26" ht="12" customHeight="1" x14ac:dyDescent="0.35">
      <c r="A725" s="223"/>
      <c r="B725" s="223"/>
      <c r="C725" s="223"/>
      <c r="D725" s="223"/>
      <c r="E725" s="223"/>
      <c r="F725" s="223"/>
      <c r="G725" s="223"/>
      <c r="H725" s="223"/>
      <c r="I725" s="223"/>
      <c r="J725" s="223"/>
      <c r="K725" s="223"/>
      <c r="L725" s="223"/>
      <c r="M725" s="223"/>
      <c r="N725" s="223"/>
      <c r="O725" s="223"/>
      <c r="P725" s="223"/>
      <c r="Q725" s="223"/>
      <c r="R725" s="223"/>
      <c r="S725" s="223"/>
      <c r="T725" s="223"/>
      <c r="U725" s="223"/>
      <c r="V725" s="223"/>
      <c r="W725" s="223"/>
      <c r="X725" s="223"/>
      <c r="Y725" s="223"/>
      <c r="Z725" s="223"/>
    </row>
    <row r="726" spans="1:26" ht="12" customHeight="1" x14ac:dyDescent="0.35">
      <c r="A726" s="223"/>
      <c r="B726" s="223"/>
      <c r="C726" s="223"/>
      <c r="D726" s="223"/>
      <c r="E726" s="223"/>
      <c r="F726" s="223"/>
      <c r="G726" s="223"/>
      <c r="H726" s="223"/>
      <c r="I726" s="223"/>
      <c r="J726" s="223"/>
      <c r="K726" s="223"/>
      <c r="L726" s="223"/>
      <c r="M726" s="223"/>
      <c r="N726" s="223"/>
      <c r="O726" s="223"/>
      <c r="P726" s="223"/>
      <c r="Q726" s="223"/>
      <c r="R726" s="223"/>
      <c r="S726" s="223"/>
      <c r="T726" s="223"/>
      <c r="U726" s="223"/>
      <c r="V726" s="223"/>
      <c r="W726" s="223"/>
      <c r="X726" s="223"/>
      <c r="Y726" s="223"/>
      <c r="Z726" s="223"/>
    </row>
    <row r="727" spans="1:26" ht="12" customHeight="1" x14ac:dyDescent="0.35">
      <c r="A727" s="223"/>
      <c r="B727" s="223"/>
      <c r="C727" s="223"/>
      <c r="D727" s="223"/>
      <c r="E727" s="223"/>
      <c r="F727" s="223"/>
      <c r="G727" s="223"/>
      <c r="H727" s="223"/>
      <c r="I727" s="223"/>
      <c r="J727" s="223"/>
      <c r="K727" s="223"/>
      <c r="L727" s="223"/>
      <c r="M727" s="223"/>
      <c r="N727" s="223"/>
      <c r="O727" s="223"/>
      <c r="P727" s="223"/>
      <c r="Q727" s="223"/>
      <c r="R727" s="223"/>
      <c r="S727" s="223"/>
      <c r="T727" s="223"/>
      <c r="U727" s="223"/>
      <c r="V727" s="223"/>
      <c r="W727" s="223"/>
      <c r="X727" s="223"/>
      <c r="Y727" s="223"/>
      <c r="Z727" s="223"/>
    </row>
    <row r="728" spans="1:26" ht="12" customHeight="1" x14ac:dyDescent="0.35">
      <c r="A728" s="223"/>
      <c r="B728" s="223"/>
      <c r="C728" s="223"/>
      <c r="D728" s="223"/>
      <c r="E728" s="223"/>
      <c r="F728" s="223"/>
      <c r="G728" s="223"/>
      <c r="H728" s="223"/>
      <c r="I728" s="223"/>
      <c r="J728" s="223"/>
      <c r="K728" s="223"/>
      <c r="L728" s="223"/>
      <c r="M728" s="223"/>
      <c r="N728" s="223"/>
      <c r="O728" s="223"/>
      <c r="P728" s="223"/>
      <c r="Q728" s="223"/>
      <c r="R728" s="223"/>
      <c r="S728" s="223"/>
      <c r="T728" s="223"/>
      <c r="U728" s="223"/>
      <c r="V728" s="223"/>
      <c r="W728" s="223"/>
      <c r="X728" s="223"/>
      <c r="Y728" s="223"/>
      <c r="Z728" s="223"/>
    </row>
    <row r="729" spans="1:26" ht="12" customHeight="1" x14ac:dyDescent="0.35">
      <c r="A729" s="223"/>
      <c r="B729" s="223"/>
      <c r="C729" s="223"/>
      <c r="D729" s="223"/>
      <c r="E729" s="223"/>
      <c r="F729" s="223"/>
      <c r="G729" s="223"/>
      <c r="H729" s="223"/>
      <c r="I729" s="223"/>
      <c r="J729" s="223"/>
      <c r="K729" s="223"/>
      <c r="L729" s="223"/>
      <c r="M729" s="223"/>
      <c r="N729" s="223"/>
      <c r="O729" s="223"/>
      <c r="P729" s="223"/>
      <c r="Q729" s="223"/>
      <c r="R729" s="223"/>
      <c r="S729" s="223"/>
      <c r="T729" s="223"/>
      <c r="U729" s="223"/>
      <c r="V729" s="223"/>
      <c r="W729" s="223"/>
      <c r="X729" s="223"/>
      <c r="Y729" s="223"/>
      <c r="Z729" s="223"/>
    </row>
    <row r="730" spans="1:26" ht="12" customHeight="1" x14ac:dyDescent="0.35">
      <c r="A730" s="223"/>
      <c r="B730" s="223"/>
      <c r="C730" s="223"/>
      <c r="D730" s="223"/>
      <c r="E730" s="223"/>
      <c r="F730" s="223"/>
      <c r="G730" s="223"/>
      <c r="H730" s="223"/>
      <c r="I730" s="223"/>
      <c r="J730" s="223"/>
      <c r="K730" s="223"/>
      <c r="L730" s="223"/>
      <c r="M730" s="223"/>
      <c r="N730" s="223"/>
      <c r="O730" s="223"/>
      <c r="P730" s="223"/>
      <c r="Q730" s="223"/>
      <c r="R730" s="223"/>
      <c r="S730" s="223"/>
      <c r="T730" s="223"/>
      <c r="U730" s="223"/>
      <c r="V730" s="223"/>
      <c r="W730" s="223"/>
      <c r="X730" s="223"/>
      <c r="Y730" s="223"/>
      <c r="Z730" s="223"/>
    </row>
    <row r="731" spans="1:26" ht="12" customHeight="1" x14ac:dyDescent="0.35">
      <c r="A731" s="223"/>
      <c r="B731" s="223"/>
      <c r="C731" s="223"/>
      <c r="D731" s="223"/>
      <c r="E731" s="223"/>
      <c r="F731" s="223"/>
      <c r="G731" s="223"/>
      <c r="H731" s="223"/>
      <c r="I731" s="223"/>
      <c r="J731" s="223"/>
      <c r="K731" s="223"/>
      <c r="L731" s="223"/>
      <c r="M731" s="223"/>
      <c r="N731" s="223"/>
      <c r="O731" s="223"/>
      <c r="P731" s="223"/>
      <c r="Q731" s="223"/>
      <c r="R731" s="223"/>
      <c r="S731" s="223"/>
      <c r="T731" s="223"/>
      <c r="U731" s="223"/>
      <c r="V731" s="223"/>
      <c r="W731" s="223"/>
      <c r="X731" s="223"/>
      <c r="Y731" s="223"/>
      <c r="Z731" s="223"/>
    </row>
    <row r="732" spans="1:26" ht="12" customHeight="1" x14ac:dyDescent="0.35">
      <c r="A732" s="223"/>
      <c r="B732" s="223"/>
      <c r="C732" s="223"/>
      <c r="D732" s="223"/>
      <c r="E732" s="223"/>
      <c r="F732" s="223"/>
      <c r="G732" s="223"/>
      <c r="H732" s="223"/>
      <c r="I732" s="223"/>
      <c r="J732" s="223"/>
      <c r="K732" s="223"/>
      <c r="L732" s="223"/>
      <c r="M732" s="223"/>
      <c r="N732" s="223"/>
      <c r="O732" s="223"/>
      <c r="P732" s="223"/>
      <c r="Q732" s="223"/>
      <c r="R732" s="223"/>
      <c r="S732" s="223"/>
      <c r="T732" s="223"/>
      <c r="U732" s="223"/>
      <c r="V732" s="223"/>
      <c r="W732" s="223"/>
      <c r="X732" s="223"/>
      <c r="Y732" s="223"/>
      <c r="Z732" s="223"/>
    </row>
    <row r="733" spans="1:26" ht="12" customHeight="1" x14ac:dyDescent="0.35">
      <c r="A733" s="223"/>
      <c r="B733" s="223"/>
      <c r="C733" s="223"/>
      <c r="D733" s="223"/>
      <c r="E733" s="223"/>
      <c r="F733" s="223"/>
      <c r="G733" s="223"/>
      <c r="H733" s="223"/>
      <c r="I733" s="223"/>
      <c r="J733" s="223"/>
      <c r="K733" s="223"/>
      <c r="L733" s="223"/>
      <c r="M733" s="223"/>
      <c r="N733" s="223"/>
      <c r="O733" s="223"/>
      <c r="P733" s="223"/>
      <c r="Q733" s="223"/>
      <c r="R733" s="223"/>
      <c r="S733" s="223"/>
      <c r="T733" s="223"/>
      <c r="U733" s="223"/>
      <c r="V733" s="223"/>
      <c r="W733" s="223"/>
      <c r="X733" s="223"/>
      <c r="Y733" s="223"/>
      <c r="Z733" s="223"/>
    </row>
    <row r="734" spans="1:26" ht="12" customHeight="1" x14ac:dyDescent="0.35">
      <c r="A734" s="223"/>
      <c r="B734" s="223"/>
      <c r="C734" s="223"/>
      <c r="D734" s="223"/>
      <c r="E734" s="223"/>
      <c r="F734" s="223"/>
      <c r="G734" s="223"/>
      <c r="H734" s="223"/>
      <c r="I734" s="223"/>
      <c r="J734" s="223"/>
      <c r="K734" s="223"/>
      <c r="L734" s="223"/>
      <c r="M734" s="223"/>
      <c r="N734" s="223"/>
      <c r="O734" s="223"/>
      <c r="P734" s="223"/>
      <c r="Q734" s="223"/>
      <c r="R734" s="223"/>
      <c r="S734" s="223"/>
      <c r="T734" s="223"/>
      <c r="U734" s="223"/>
      <c r="V734" s="223"/>
      <c r="W734" s="223"/>
      <c r="X734" s="223"/>
      <c r="Y734" s="223"/>
      <c r="Z734" s="223"/>
    </row>
    <row r="735" spans="1:26" ht="12" customHeight="1" x14ac:dyDescent="0.35">
      <c r="A735" s="223"/>
      <c r="B735" s="223"/>
      <c r="C735" s="223"/>
      <c r="D735" s="223"/>
      <c r="E735" s="223"/>
      <c r="F735" s="223"/>
      <c r="G735" s="223"/>
      <c r="H735" s="223"/>
      <c r="I735" s="223"/>
      <c r="J735" s="223"/>
      <c r="K735" s="223"/>
      <c r="L735" s="223"/>
      <c r="M735" s="223"/>
      <c r="N735" s="223"/>
      <c r="O735" s="223"/>
      <c r="P735" s="223"/>
      <c r="Q735" s="223"/>
      <c r="R735" s="223"/>
      <c r="S735" s="223"/>
      <c r="T735" s="223"/>
      <c r="U735" s="223"/>
      <c r="V735" s="223"/>
      <c r="W735" s="223"/>
      <c r="X735" s="223"/>
      <c r="Y735" s="223"/>
      <c r="Z735" s="223"/>
    </row>
    <row r="736" spans="1:26" ht="12" customHeight="1" x14ac:dyDescent="0.35">
      <c r="A736" s="223"/>
      <c r="B736" s="223"/>
      <c r="C736" s="223"/>
      <c r="D736" s="223"/>
      <c r="E736" s="223"/>
      <c r="F736" s="223"/>
      <c r="G736" s="223"/>
      <c r="H736" s="223"/>
      <c r="I736" s="223"/>
      <c r="J736" s="223"/>
      <c r="K736" s="223"/>
      <c r="L736" s="223"/>
      <c r="M736" s="223"/>
      <c r="N736" s="223"/>
      <c r="O736" s="223"/>
      <c r="P736" s="223"/>
      <c r="Q736" s="223"/>
      <c r="R736" s="223"/>
      <c r="S736" s="223"/>
      <c r="T736" s="223"/>
      <c r="U736" s="223"/>
      <c r="V736" s="223"/>
      <c r="W736" s="223"/>
      <c r="X736" s="223"/>
      <c r="Y736" s="223"/>
      <c r="Z736" s="223"/>
    </row>
    <row r="737" spans="1:26" ht="12" customHeight="1" x14ac:dyDescent="0.35">
      <c r="A737" s="223"/>
      <c r="B737" s="223"/>
      <c r="C737" s="223"/>
      <c r="D737" s="223"/>
      <c r="E737" s="223"/>
      <c r="F737" s="223"/>
      <c r="G737" s="223"/>
      <c r="H737" s="223"/>
      <c r="I737" s="223"/>
      <c r="J737" s="223"/>
      <c r="K737" s="223"/>
      <c r="L737" s="223"/>
      <c r="M737" s="223"/>
      <c r="N737" s="223"/>
      <c r="O737" s="223"/>
      <c r="P737" s="223"/>
      <c r="Q737" s="223"/>
      <c r="R737" s="223"/>
      <c r="S737" s="223"/>
      <c r="T737" s="223"/>
      <c r="U737" s="223"/>
      <c r="V737" s="223"/>
      <c r="W737" s="223"/>
      <c r="X737" s="223"/>
      <c r="Y737" s="223"/>
      <c r="Z737" s="223"/>
    </row>
    <row r="738" spans="1:26" ht="12" customHeight="1" x14ac:dyDescent="0.35">
      <c r="A738" s="223"/>
      <c r="B738" s="223"/>
      <c r="C738" s="223"/>
      <c r="D738" s="223"/>
      <c r="E738" s="223"/>
      <c r="F738" s="223"/>
      <c r="G738" s="223"/>
      <c r="H738" s="223"/>
      <c r="I738" s="223"/>
      <c r="J738" s="223"/>
      <c r="K738" s="223"/>
      <c r="L738" s="223"/>
      <c r="M738" s="223"/>
      <c r="N738" s="223"/>
      <c r="O738" s="223"/>
      <c r="P738" s="223"/>
      <c r="Q738" s="223"/>
      <c r="R738" s="223"/>
      <c r="S738" s="223"/>
      <c r="T738" s="223"/>
      <c r="U738" s="223"/>
      <c r="V738" s="223"/>
      <c r="W738" s="223"/>
      <c r="X738" s="223"/>
      <c r="Y738" s="223"/>
      <c r="Z738" s="223"/>
    </row>
    <row r="739" spans="1:26" ht="12" customHeight="1" x14ac:dyDescent="0.35">
      <c r="A739" s="223"/>
      <c r="B739" s="223"/>
      <c r="C739" s="223"/>
      <c r="D739" s="223"/>
      <c r="E739" s="223"/>
      <c r="F739" s="223"/>
      <c r="G739" s="223"/>
      <c r="H739" s="223"/>
      <c r="I739" s="223"/>
      <c r="J739" s="223"/>
      <c r="K739" s="223"/>
      <c r="L739" s="223"/>
      <c r="M739" s="223"/>
      <c r="N739" s="223"/>
      <c r="O739" s="223"/>
      <c r="P739" s="223"/>
      <c r="Q739" s="223"/>
      <c r="R739" s="223"/>
      <c r="S739" s="223"/>
      <c r="T739" s="223"/>
      <c r="U739" s="223"/>
      <c r="V739" s="223"/>
      <c r="W739" s="223"/>
      <c r="X739" s="223"/>
      <c r="Y739" s="223"/>
      <c r="Z739" s="223"/>
    </row>
    <row r="740" spans="1:26" ht="12" customHeight="1" x14ac:dyDescent="0.35">
      <c r="A740" s="223"/>
      <c r="B740" s="223"/>
      <c r="C740" s="223"/>
      <c r="D740" s="223"/>
      <c r="E740" s="223"/>
      <c r="F740" s="223"/>
      <c r="G740" s="223"/>
      <c r="H740" s="223"/>
      <c r="I740" s="223"/>
      <c r="J740" s="223"/>
      <c r="K740" s="223"/>
      <c r="L740" s="223"/>
      <c r="M740" s="223"/>
      <c r="N740" s="223"/>
      <c r="O740" s="223"/>
      <c r="P740" s="223"/>
      <c r="Q740" s="223"/>
      <c r="R740" s="223"/>
      <c r="S740" s="223"/>
      <c r="T740" s="223"/>
      <c r="U740" s="223"/>
      <c r="V740" s="223"/>
      <c r="W740" s="223"/>
      <c r="X740" s="223"/>
      <c r="Y740" s="223"/>
      <c r="Z740" s="223"/>
    </row>
    <row r="741" spans="1:26" ht="12" customHeight="1" x14ac:dyDescent="0.35">
      <c r="A741" s="223"/>
      <c r="B741" s="223"/>
      <c r="C741" s="223"/>
      <c r="D741" s="223"/>
      <c r="E741" s="223"/>
      <c r="F741" s="223"/>
      <c r="G741" s="223"/>
      <c r="H741" s="223"/>
      <c r="I741" s="223"/>
      <c r="J741" s="223"/>
      <c r="K741" s="223"/>
      <c r="L741" s="223"/>
      <c r="M741" s="223"/>
      <c r="N741" s="223"/>
      <c r="O741" s="223"/>
      <c r="P741" s="223"/>
      <c r="Q741" s="223"/>
      <c r="R741" s="223"/>
      <c r="S741" s="223"/>
      <c r="T741" s="223"/>
      <c r="U741" s="223"/>
      <c r="V741" s="223"/>
      <c r="W741" s="223"/>
      <c r="X741" s="223"/>
      <c r="Y741" s="223"/>
      <c r="Z741" s="223"/>
    </row>
    <row r="742" spans="1:26" ht="12" customHeight="1" x14ac:dyDescent="0.35">
      <c r="A742" s="223"/>
      <c r="B742" s="223"/>
      <c r="C742" s="223"/>
      <c r="D742" s="223"/>
      <c r="E742" s="223"/>
      <c r="F742" s="223"/>
      <c r="G742" s="223"/>
      <c r="H742" s="223"/>
      <c r="I742" s="223"/>
      <c r="J742" s="223"/>
      <c r="K742" s="223"/>
      <c r="L742" s="223"/>
      <c r="M742" s="223"/>
      <c r="N742" s="223"/>
      <c r="O742" s="223"/>
      <c r="P742" s="223"/>
      <c r="Q742" s="223"/>
      <c r="R742" s="223"/>
      <c r="S742" s="223"/>
      <c r="T742" s="223"/>
      <c r="U742" s="223"/>
      <c r="V742" s="223"/>
      <c r="W742" s="223"/>
      <c r="X742" s="223"/>
      <c r="Y742" s="223"/>
      <c r="Z742" s="223"/>
    </row>
    <row r="743" spans="1:26" ht="12" customHeight="1" x14ac:dyDescent="0.35">
      <c r="A743" s="223"/>
      <c r="B743" s="223"/>
      <c r="C743" s="223"/>
      <c r="D743" s="223"/>
      <c r="E743" s="223"/>
      <c r="F743" s="223"/>
      <c r="G743" s="223"/>
      <c r="H743" s="223"/>
      <c r="I743" s="223"/>
      <c r="J743" s="223"/>
      <c r="K743" s="223"/>
      <c r="L743" s="223"/>
      <c r="M743" s="223"/>
      <c r="N743" s="223"/>
      <c r="O743" s="223"/>
      <c r="P743" s="223"/>
      <c r="Q743" s="223"/>
      <c r="R743" s="223"/>
      <c r="S743" s="223"/>
      <c r="T743" s="223"/>
      <c r="U743" s="223"/>
      <c r="V743" s="223"/>
      <c r="W743" s="223"/>
      <c r="X743" s="223"/>
      <c r="Y743" s="223"/>
      <c r="Z743" s="223"/>
    </row>
    <row r="744" spans="1:26" ht="12" customHeight="1" x14ac:dyDescent="0.35">
      <c r="A744" s="223"/>
      <c r="B744" s="223"/>
      <c r="C744" s="223"/>
      <c r="D744" s="223"/>
      <c r="E744" s="223"/>
      <c r="F744" s="223"/>
      <c r="G744" s="223"/>
      <c r="H744" s="223"/>
      <c r="I744" s="223"/>
      <c r="J744" s="223"/>
      <c r="K744" s="223"/>
      <c r="L744" s="223"/>
      <c r="M744" s="223"/>
      <c r="N744" s="223"/>
      <c r="O744" s="223"/>
      <c r="P744" s="223"/>
      <c r="Q744" s="223"/>
      <c r="R744" s="223"/>
      <c r="S744" s="223"/>
      <c r="T744" s="223"/>
      <c r="U744" s="223"/>
      <c r="V744" s="223"/>
      <c r="W744" s="223"/>
      <c r="X744" s="223"/>
      <c r="Y744" s="223"/>
      <c r="Z744" s="223"/>
    </row>
    <row r="745" spans="1:26" ht="12" customHeight="1" x14ac:dyDescent="0.35">
      <c r="A745" s="223"/>
      <c r="B745" s="223"/>
      <c r="C745" s="223"/>
      <c r="D745" s="223"/>
      <c r="E745" s="223"/>
      <c r="F745" s="223"/>
      <c r="G745" s="223"/>
      <c r="H745" s="223"/>
      <c r="I745" s="223"/>
      <c r="J745" s="223"/>
      <c r="K745" s="223"/>
      <c r="L745" s="223"/>
      <c r="M745" s="223"/>
      <c r="N745" s="223"/>
      <c r="O745" s="223"/>
      <c r="P745" s="223"/>
      <c r="Q745" s="223"/>
      <c r="R745" s="223"/>
      <c r="S745" s="223"/>
      <c r="T745" s="223"/>
      <c r="U745" s="223"/>
      <c r="V745" s="223"/>
      <c r="W745" s="223"/>
      <c r="X745" s="223"/>
      <c r="Y745" s="223"/>
      <c r="Z745" s="223"/>
    </row>
    <row r="746" spans="1:26" ht="12" customHeight="1" x14ac:dyDescent="0.35">
      <c r="A746" s="223"/>
      <c r="B746" s="223"/>
      <c r="C746" s="223"/>
      <c r="D746" s="223"/>
      <c r="E746" s="223"/>
      <c r="F746" s="223"/>
      <c r="G746" s="223"/>
      <c r="H746" s="223"/>
      <c r="I746" s="223"/>
      <c r="J746" s="223"/>
      <c r="K746" s="223"/>
      <c r="L746" s="223"/>
      <c r="M746" s="223"/>
      <c r="N746" s="223"/>
      <c r="O746" s="223"/>
      <c r="P746" s="223"/>
      <c r="Q746" s="223"/>
      <c r="R746" s="223"/>
      <c r="S746" s="223"/>
      <c r="T746" s="223"/>
      <c r="U746" s="223"/>
      <c r="V746" s="223"/>
      <c r="W746" s="223"/>
      <c r="X746" s="223"/>
      <c r="Y746" s="223"/>
      <c r="Z746" s="223"/>
    </row>
    <row r="747" spans="1:26" ht="12" customHeight="1" x14ac:dyDescent="0.35">
      <c r="A747" s="223"/>
      <c r="B747" s="223"/>
      <c r="C747" s="223"/>
      <c r="D747" s="223"/>
      <c r="E747" s="223"/>
      <c r="F747" s="223"/>
      <c r="G747" s="223"/>
      <c r="H747" s="223"/>
      <c r="I747" s="223"/>
      <c r="J747" s="223"/>
      <c r="K747" s="223"/>
      <c r="L747" s="223"/>
      <c r="M747" s="223"/>
      <c r="N747" s="223"/>
      <c r="O747" s="223"/>
      <c r="P747" s="223"/>
      <c r="Q747" s="223"/>
      <c r="R747" s="223"/>
      <c r="S747" s="223"/>
      <c r="T747" s="223"/>
      <c r="U747" s="223"/>
      <c r="V747" s="223"/>
      <c r="W747" s="223"/>
      <c r="X747" s="223"/>
      <c r="Y747" s="223"/>
      <c r="Z747" s="223"/>
    </row>
    <row r="748" spans="1:26" ht="12" customHeight="1" x14ac:dyDescent="0.35">
      <c r="A748" s="223"/>
      <c r="B748" s="223"/>
      <c r="C748" s="223"/>
      <c r="D748" s="223"/>
      <c r="E748" s="223"/>
      <c r="F748" s="223"/>
      <c r="G748" s="223"/>
      <c r="H748" s="223"/>
      <c r="I748" s="223"/>
      <c r="J748" s="223"/>
      <c r="K748" s="223"/>
      <c r="L748" s="223"/>
      <c r="M748" s="223"/>
      <c r="N748" s="223"/>
      <c r="O748" s="223"/>
      <c r="P748" s="223"/>
      <c r="Q748" s="223"/>
      <c r="R748" s="223"/>
      <c r="S748" s="223"/>
      <c r="T748" s="223"/>
      <c r="U748" s="223"/>
      <c r="V748" s="223"/>
      <c r="W748" s="223"/>
      <c r="X748" s="223"/>
      <c r="Y748" s="223"/>
      <c r="Z748" s="223"/>
    </row>
    <row r="749" spans="1:26" ht="12" customHeight="1" x14ac:dyDescent="0.35">
      <c r="A749" s="223"/>
      <c r="B749" s="223"/>
      <c r="C749" s="223"/>
      <c r="D749" s="223"/>
      <c r="E749" s="223"/>
      <c r="F749" s="223"/>
      <c r="G749" s="223"/>
      <c r="H749" s="223"/>
      <c r="I749" s="223"/>
      <c r="J749" s="223"/>
      <c r="K749" s="223"/>
      <c r="L749" s="223"/>
      <c r="M749" s="223"/>
      <c r="N749" s="223"/>
      <c r="O749" s="223"/>
      <c r="P749" s="223"/>
      <c r="Q749" s="223"/>
      <c r="R749" s="223"/>
      <c r="S749" s="223"/>
      <c r="T749" s="223"/>
      <c r="U749" s="223"/>
      <c r="V749" s="223"/>
      <c r="W749" s="223"/>
      <c r="X749" s="223"/>
      <c r="Y749" s="223"/>
      <c r="Z749" s="223"/>
    </row>
    <row r="750" spans="1:26" ht="12" customHeight="1" x14ac:dyDescent="0.35">
      <c r="A750" s="223"/>
      <c r="B750" s="223"/>
      <c r="C750" s="223"/>
      <c r="D750" s="223"/>
      <c r="E750" s="223"/>
      <c r="F750" s="223"/>
      <c r="G750" s="223"/>
      <c r="H750" s="223"/>
      <c r="I750" s="223"/>
      <c r="J750" s="223"/>
      <c r="K750" s="223"/>
      <c r="L750" s="223"/>
      <c r="M750" s="223"/>
      <c r="N750" s="223"/>
      <c r="O750" s="223"/>
      <c r="P750" s="223"/>
      <c r="Q750" s="223"/>
      <c r="R750" s="223"/>
      <c r="S750" s="223"/>
      <c r="T750" s="223"/>
      <c r="U750" s="223"/>
      <c r="V750" s="223"/>
      <c r="W750" s="223"/>
      <c r="X750" s="223"/>
      <c r="Y750" s="223"/>
      <c r="Z750" s="223"/>
    </row>
    <row r="751" spans="1:26" ht="12" customHeight="1" x14ac:dyDescent="0.35">
      <c r="A751" s="223"/>
      <c r="B751" s="223"/>
      <c r="C751" s="223"/>
      <c r="D751" s="223"/>
      <c r="E751" s="223"/>
      <c r="F751" s="223"/>
      <c r="G751" s="223"/>
      <c r="H751" s="223"/>
      <c r="I751" s="223"/>
      <c r="J751" s="223"/>
      <c r="K751" s="223"/>
      <c r="L751" s="223"/>
      <c r="M751" s="223"/>
      <c r="N751" s="223"/>
      <c r="O751" s="223"/>
      <c r="P751" s="223"/>
      <c r="Q751" s="223"/>
      <c r="R751" s="223"/>
      <c r="S751" s="223"/>
      <c r="T751" s="223"/>
      <c r="U751" s="223"/>
      <c r="V751" s="223"/>
      <c r="W751" s="223"/>
      <c r="X751" s="223"/>
      <c r="Y751" s="223"/>
      <c r="Z751" s="223"/>
    </row>
    <row r="752" spans="1:26" ht="12" customHeight="1" x14ac:dyDescent="0.35">
      <c r="A752" s="223"/>
      <c r="B752" s="223"/>
      <c r="C752" s="223"/>
      <c r="D752" s="223"/>
      <c r="E752" s="223"/>
      <c r="F752" s="223"/>
      <c r="G752" s="223"/>
      <c r="H752" s="223"/>
      <c r="I752" s="223"/>
      <c r="J752" s="223"/>
      <c r="K752" s="223"/>
      <c r="L752" s="223"/>
      <c r="M752" s="223"/>
      <c r="N752" s="223"/>
      <c r="O752" s="223"/>
      <c r="P752" s="223"/>
      <c r="Q752" s="223"/>
      <c r="R752" s="223"/>
      <c r="S752" s="223"/>
      <c r="T752" s="223"/>
      <c r="U752" s="223"/>
      <c r="V752" s="223"/>
      <c r="W752" s="223"/>
      <c r="X752" s="223"/>
      <c r="Y752" s="223"/>
      <c r="Z752" s="223"/>
    </row>
    <row r="753" spans="1:26" ht="12" customHeight="1" x14ac:dyDescent="0.35">
      <c r="A753" s="223"/>
      <c r="B753" s="223"/>
      <c r="C753" s="223"/>
      <c r="D753" s="223"/>
      <c r="E753" s="223"/>
      <c r="F753" s="223"/>
      <c r="G753" s="223"/>
      <c r="H753" s="223"/>
      <c r="I753" s="223"/>
      <c r="J753" s="223"/>
      <c r="K753" s="223"/>
      <c r="L753" s="223"/>
      <c r="M753" s="223"/>
      <c r="N753" s="223"/>
      <c r="O753" s="223"/>
      <c r="P753" s="223"/>
      <c r="Q753" s="223"/>
      <c r="R753" s="223"/>
      <c r="S753" s="223"/>
      <c r="T753" s="223"/>
      <c r="U753" s="223"/>
      <c r="V753" s="223"/>
      <c r="W753" s="223"/>
      <c r="X753" s="223"/>
      <c r="Y753" s="223"/>
      <c r="Z753" s="223"/>
    </row>
    <row r="754" spans="1:26" ht="12" customHeight="1" x14ac:dyDescent="0.35">
      <c r="A754" s="223"/>
      <c r="B754" s="223"/>
      <c r="C754" s="223"/>
      <c r="D754" s="223"/>
      <c r="E754" s="223"/>
      <c r="F754" s="223"/>
      <c r="G754" s="223"/>
      <c r="H754" s="223"/>
      <c r="I754" s="223"/>
      <c r="J754" s="223"/>
      <c r="K754" s="223"/>
      <c r="L754" s="223"/>
      <c r="M754" s="223"/>
      <c r="N754" s="223"/>
      <c r="O754" s="223"/>
      <c r="P754" s="223"/>
      <c r="Q754" s="223"/>
      <c r="R754" s="223"/>
      <c r="S754" s="223"/>
      <c r="T754" s="223"/>
      <c r="U754" s="223"/>
      <c r="V754" s="223"/>
      <c r="W754" s="223"/>
      <c r="X754" s="223"/>
      <c r="Y754" s="223"/>
      <c r="Z754" s="223"/>
    </row>
    <row r="755" spans="1:26" ht="12" customHeight="1" x14ac:dyDescent="0.35">
      <c r="A755" s="223"/>
      <c r="B755" s="223"/>
      <c r="C755" s="223"/>
      <c r="D755" s="223"/>
      <c r="E755" s="223"/>
      <c r="F755" s="223"/>
      <c r="G755" s="223"/>
      <c r="H755" s="223"/>
      <c r="I755" s="223"/>
      <c r="J755" s="223"/>
      <c r="K755" s="223"/>
      <c r="L755" s="223"/>
      <c r="M755" s="223"/>
      <c r="N755" s="223"/>
      <c r="O755" s="223"/>
      <c r="P755" s="223"/>
      <c r="Q755" s="223"/>
      <c r="R755" s="223"/>
      <c r="S755" s="223"/>
      <c r="T755" s="223"/>
      <c r="U755" s="223"/>
      <c r="V755" s="223"/>
      <c r="W755" s="223"/>
      <c r="X755" s="223"/>
      <c r="Y755" s="223"/>
      <c r="Z755" s="223"/>
    </row>
    <row r="756" spans="1:26" ht="12" customHeight="1" x14ac:dyDescent="0.35">
      <c r="A756" s="223"/>
      <c r="B756" s="223"/>
      <c r="C756" s="223"/>
      <c r="D756" s="223"/>
      <c r="E756" s="223"/>
      <c r="F756" s="223"/>
      <c r="G756" s="223"/>
      <c r="H756" s="223"/>
      <c r="I756" s="223"/>
      <c r="J756" s="223"/>
      <c r="K756" s="223"/>
      <c r="L756" s="223"/>
      <c r="M756" s="223"/>
      <c r="N756" s="223"/>
      <c r="O756" s="223"/>
      <c r="P756" s="223"/>
      <c r="Q756" s="223"/>
      <c r="R756" s="223"/>
      <c r="S756" s="223"/>
      <c r="T756" s="223"/>
      <c r="U756" s="223"/>
      <c r="V756" s="223"/>
      <c r="W756" s="223"/>
      <c r="X756" s="223"/>
      <c r="Y756" s="223"/>
      <c r="Z756" s="223"/>
    </row>
    <row r="757" spans="1:26" ht="12" customHeight="1" x14ac:dyDescent="0.35">
      <c r="A757" s="223"/>
      <c r="B757" s="223"/>
      <c r="C757" s="223"/>
      <c r="D757" s="223"/>
      <c r="E757" s="223"/>
      <c r="F757" s="223"/>
      <c r="G757" s="223"/>
      <c r="H757" s="223"/>
      <c r="I757" s="223"/>
      <c r="J757" s="223"/>
      <c r="K757" s="223"/>
      <c r="L757" s="223"/>
      <c r="M757" s="223"/>
      <c r="N757" s="223"/>
      <c r="O757" s="223"/>
      <c r="P757" s="223"/>
      <c r="Q757" s="223"/>
      <c r="R757" s="223"/>
      <c r="S757" s="223"/>
      <c r="T757" s="223"/>
      <c r="U757" s="223"/>
      <c r="V757" s="223"/>
      <c r="W757" s="223"/>
      <c r="X757" s="223"/>
      <c r="Y757" s="223"/>
      <c r="Z757" s="223"/>
    </row>
    <row r="758" spans="1:26" ht="12" customHeight="1" x14ac:dyDescent="0.35">
      <c r="A758" s="223"/>
      <c r="B758" s="223"/>
      <c r="C758" s="223"/>
      <c r="D758" s="223"/>
      <c r="E758" s="223"/>
      <c r="F758" s="223"/>
      <c r="G758" s="223"/>
      <c r="H758" s="223"/>
      <c r="I758" s="223"/>
      <c r="J758" s="223"/>
      <c r="K758" s="223"/>
      <c r="L758" s="223"/>
      <c r="M758" s="223"/>
      <c r="N758" s="223"/>
      <c r="O758" s="223"/>
      <c r="P758" s="223"/>
      <c r="Q758" s="223"/>
      <c r="R758" s="223"/>
      <c r="S758" s="223"/>
      <c r="T758" s="223"/>
      <c r="U758" s="223"/>
      <c r="V758" s="223"/>
      <c r="W758" s="223"/>
      <c r="X758" s="223"/>
      <c r="Y758" s="223"/>
      <c r="Z758" s="223"/>
    </row>
    <row r="759" spans="1:26" ht="12" customHeight="1" x14ac:dyDescent="0.35">
      <c r="A759" s="223"/>
      <c r="B759" s="223"/>
      <c r="C759" s="223"/>
      <c r="D759" s="223"/>
      <c r="E759" s="223"/>
      <c r="F759" s="223"/>
      <c r="G759" s="223"/>
      <c r="H759" s="223"/>
      <c r="I759" s="223"/>
      <c r="J759" s="223"/>
      <c r="K759" s="223"/>
      <c r="L759" s="223"/>
      <c r="M759" s="223"/>
      <c r="N759" s="223"/>
      <c r="O759" s="223"/>
      <c r="P759" s="223"/>
      <c r="Q759" s="223"/>
      <c r="R759" s="223"/>
      <c r="S759" s="223"/>
      <c r="T759" s="223"/>
      <c r="U759" s="223"/>
      <c r="V759" s="223"/>
      <c r="W759" s="223"/>
      <c r="X759" s="223"/>
      <c r="Y759" s="223"/>
      <c r="Z759" s="223"/>
    </row>
    <row r="760" spans="1:26" ht="12" customHeight="1" x14ac:dyDescent="0.35">
      <c r="A760" s="223"/>
      <c r="B760" s="223"/>
      <c r="C760" s="223"/>
      <c r="D760" s="223"/>
      <c r="E760" s="223"/>
      <c r="F760" s="223"/>
      <c r="G760" s="223"/>
      <c r="H760" s="223"/>
      <c r="I760" s="223"/>
      <c r="J760" s="223"/>
      <c r="K760" s="223"/>
      <c r="L760" s="223"/>
      <c r="M760" s="223"/>
      <c r="N760" s="223"/>
      <c r="O760" s="223"/>
      <c r="P760" s="223"/>
      <c r="Q760" s="223"/>
      <c r="R760" s="223"/>
      <c r="S760" s="223"/>
      <c r="T760" s="223"/>
      <c r="U760" s="223"/>
      <c r="V760" s="223"/>
      <c r="W760" s="223"/>
      <c r="X760" s="223"/>
      <c r="Y760" s="223"/>
      <c r="Z760" s="223"/>
    </row>
    <row r="761" spans="1:26" ht="12" customHeight="1" x14ac:dyDescent="0.35">
      <c r="A761" s="223"/>
      <c r="B761" s="223"/>
      <c r="C761" s="223"/>
      <c r="D761" s="223"/>
      <c r="E761" s="223"/>
      <c r="F761" s="223"/>
      <c r="G761" s="223"/>
      <c r="H761" s="223"/>
      <c r="I761" s="223"/>
      <c r="J761" s="223"/>
      <c r="K761" s="223"/>
      <c r="L761" s="223"/>
      <c r="M761" s="223"/>
      <c r="N761" s="223"/>
      <c r="O761" s="223"/>
      <c r="P761" s="223"/>
      <c r="Q761" s="223"/>
      <c r="R761" s="223"/>
      <c r="S761" s="223"/>
      <c r="T761" s="223"/>
      <c r="U761" s="223"/>
      <c r="V761" s="223"/>
      <c r="W761" s="223"/>
      <c r="X761" s="223"/>
      <c r="Y761" s="223"/>
      <c r="Z761" s="223"/>
    </row>
    <row r="762" spans="1:26" ht="12" customHeight="1" x14ac:dyDescent="0.35">
      <c r="A762" s="223"/>
      <c r="B762" s="223"/>
      <c r="C762" s="223"/>
      <c r="D762" s="223"/>
      <c r="E762" s="223"/>
      <c r="F762" s="223"/>
      <c r="G762" s="223"/>
      <c r="H762" s="223"/>
      <c r="I762" s="223"/>
      <c r="J762" s="223"/>
      <c r="K762" s="223"/>
      <c r="L762" s="223"/>
      <c r="M762" s="223"/>
      <c r="N762" s="223"/>
      <c r="O762" s="223"/>
      <c r="P762" s="223"/>
      <c r="Q762" s="223"/>
      <c r="R762" s="223"/>
      <c r="S762" s="223"/>
      <c r="T762" s="223"/>
      <c r="U762" s="223"/>
      <c r="V762" s="223"/>
      <c r="W762" s="223"/>
      <c r="X762" s="223"/>
      <c r="Y762" s="223"/>
      <c r="Z762" s="223"/>
    </row>
    <row r="763" spans="1:26" ht="12" customHeight="1" x14ac:dyDescent="0.35">
      <c r="A763" s="223"/>
      <c r="B763" s="223"/>
      <c r="C763" s="223"/>
      <c r="D763" s="223"/>
      <c r="E763" s="223"/>
      <c r="F763" s="223"/>
      <c r="G763" s="223"/>
      <c r="H763" s="223"/>
      <c r="I763" s="223"/>
      <c r="J763" s="223"/>
      <c r="K763" s="223"/>
      <c r="L763" s="223"/>
      <c r="M763" s="223"/>
      <c r="N763" s="223"/>
      <c r="O763" s="223"/>
      <c r="P763" s="223"/>
      <c r="Q763" s="223"/>
      <c r="R763" s="223"/>
      <c r="S763" s="223"/>
      <c r="T763" s="223"/>
      <c r="U763" s="223"/>
      <c r="V763" s="223"/>
      <c r="W763" s="223"/>
      <c r="X763" s="223"/>
      <c r="Y763" s="223"/>
      <c r="Z763" s="223"/>
    </row>
    <row r="764" spans="1:26" ht="12" customHeight="1" x14ac:dyDescent="0.35">
      <c r="A764" s="223"/>
      <c r="B764" s="223"/>
      <c r="C764" s="223"/>
      <c r="D764" s="223"/>
      <c r="E764" s="223"/>
      <c r="F764" s="223"/>
      <c r="G764" s="223"/>
      <c r="H764" s="223"/>
      <c r="I764" s="223"/>
      <c r="J764" s="223"/>
      <c r="K764" s="223"/>
      <c r="L764" s="223"/>
      <c r="M764" s="223"/>
      <c r="N764" s="223"/>
      <c r="O764" s="223"/>
      <c r="P764" s="223"/>
      <c r="Q764" s="223"/>
      <c r="R764" s="223"/>
      <c r="S764" s="223"/>
      <c r="T764" s="223"/>
      <c r="U764" s="223"/>
      <c r="V764" s="223"/>
      <c r="W764" s="223"/>
      <c r="X764" s="223"/>
      <c r="Y764" s="223"/>
      <c r="Z764" s="223"/>
    </row>
    <row r="765" spans="1:26" ht="12" customHeight="1" x14ac:dyDescent="0.35">
      <c r="A765" s="223"/>
      <c r="B765" s="223"/>
      <c r="C765" s="223"/>
      <c r="D765" s="223"/>
      <c r="E765" s="223"/>
      <c r="F765" s="223"/>
      <c r="G765" s="223"/>
      <c r="H765" s="223"/>
      <c r="I765" s="223"/>
      <c r="J765" s="223"/>
      <c r="K765" s="223"/>
      <c r="L765" s="223"/>
      <c r="M765" s="223"/>
      <c r="N765" s="223"/>
      <c r="O765" s="223"/>
      <c r="P765" s="223"/>
      <c r="Q765" s="223"/>
      <c r="R765" s="223"/>
      <c r="S765" s="223"/>
      <c r="T765" s="223"/>
      <c r="U765" s="223"/>
      <c r="V765" s="223"/>
      <c r="W765" s="223"/>
      <c r="X765" s="223"/>
      <c r="Y765" s="223"/>
      <c r="Z765" s="223"/>
    </row>
    <row r="766" spans="1:26" ht="12" customHeight="1" x14ac:dyDescent="0.35">
      <c r="A766" s="223"/>
      <c r="B766" s="223"/>
      <c r="C766" s="223"/>
      <c r="D766" s="223"/>
      <c r="E766" s="223"/>
      <c r="F766" s="223"/>
      <c r="G766" s="223"/>
      <c r="H766" s="223"/>
      <c r="I766" s="223"/>
      <c r="J766" s="223"/>
      <c r="K766" s="223"/>
      <c r="L766" s="223"/>
      <c r="M766" s="223"/>
      <c r="N766" s="223"/>
      <c r="O766" s="223"/>
      <c r="P766" s="223"/>
      <c r="Q766" s="223"/>
      <c r="R766" s="223"/>
      <c r="S766" s="223"/>
      <c r="T766" s="223"/>
      <c r="U766" s="223"/>
      <c r="V766" s="223"/>
      <c r="W766" s="223"/>
      <c r="X766" s="223"/>
      <c r="Y766" s="223"/>
      <c r="Z766" s="223"/>
    </row>
    <row r="767" spans="1:26" ht="12" customHeight="1" x14ac:dyDescent="0.35">
      <c r="A767" s="223"/>
      <c r="B767" s="223"/>
      <c r="C767" s="223"/>
      <c r="D767" s="223"/>
      <c r="E767" s="223"/>
      <c r="F767" s="223"/>
      <c r="G767" s="223"/>
      <c r="H767" s="223"/>
      <c r="I767" s="223"/>
      <c r="J767" s="223"/>
      <c r="K767" s="223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23"/>
      <c r="Z767" s="223"/>
    </row>
    <row r="768" spans="1:26" ht="12" customHeight="1" x14ac:dyDescent="0.35">
      <c r="A768" s="223"/>
      <c r="B768" s="223"/>
      <c r="C768" s="223"/>
      <c r="D768" s="223"/>
      <c r="E768" s="223"/>
      <c r="F768" s="223"/>
      <c r="G768" s="223"/>
      <c r="H768" s="223"/>
      <c r="I768" s="223"/>
      <c r="J768" s="223"/>
      <c r="K768" s="223"/>
      <c r="L768" s="223"/>
      <c r="M768" s="223"/>
      <c r="N768" s="223"/>
      <c r="O768" s="223"/>
      <c r="P768" s="223"/>
      <c r="Q768" s="223"/>
      <c r="R768" s="223"/>
      <c r="S768" s="223"/>
      <c r="T768" s="223"/>
      <c r="U768" s="223"/>
      <c r="V768" s="223"/>
      <c r="W768" s="223"/>
      <c r="X768" s="223"/>
      <c r="Y768" s="223"/>
      <c r="Z768" s="223"/>
    </row>
    <row r="769" spans="1:26" ht="12" customHeight="1" x14ac:dyDescent="0.35">
      <c r="A769" s="223"/>
      <c r="B769" s="223"/>
      <c r="C769" s="223"/>
      <c r="D769" s="223"/>
      <c r="E769" s="223"/>
      <c r="F769" s="223"/>
      <c r="G769" s="223"/>
      <c r="H769" s="223"/>
      <c r="I769" s="223"/>
      <c r="J769" s="223"/>
      <c r="K769" s="223"/>
      <c r="L769" s="223"/>
      <c r="M769" s="223"/>
      <c r="N769" s="223"/>
      <c r="O769" s="223"/>
      <c r="P769" s="223"/>
      <c r="Q769" s="223"/>
      <c r="R769" s="223"/>
      <c r="S769" s="223"/>
      <c r="T769" s="223"/>
      <c r="U769" s="223"/>
      <c r="V769" s="223"/>
      <c r="W769" s="223"/>
      <c r="X769" s="223"/>
      <c r="Y769" s="223"/>
      <c r="Z769" s="223"/>
    </row>
    <row r="770" spans="1:26" ht="12" customHeight="1" x14ac:dyDescent="0.35">
      <c r="A770" s="223"/>
      <c r="B770" s="223"/>
      <c r="C770" s="223"/>
      <c r="D770" s="223"/>
      <c r="E770" s="223"/>
      <c r="F770" s="223"/>
      <c r="G770" s="223"/>
      <c r="H770" s="223"/>
      <c r="I770" s="223"/>
      <c r="J770" s="223"/>
      <c r="K770" s="223"/>
      <c r="L770" s="223"/>
      <c r="M770" s="223"/>
      <c r="N770" s="223"/>
      <c r="O770" s="223"/>
      <c r="P770" s="223"/>
      <c r="Q770" s="223"/>
      <c r="R770" s="223"/>
      <c r="S770" s="223"/>
      <c r="T770" s="223"/>
      <c r="U770" s="223"/>
      <c r="V770" s="223"/>
      <c r="W770" s="223"/>
      <c r="X770" s="223"/>
      <c r="Y770" s="223"/>
      <c r="Z770" s="223"/>
    </row>
    <row r="771" spans="1:26" ht="12" customHeight="1" x14ac:dyDescent="0.35">
      <c r="A771" s="223"/>
      <c r="B771" s="223"/>
      <c r="C771" s="223"/>
      <c r="D771" s="223"/>
      <c r="E771" s="223"/>
      <c r="F771" s="223"/>
      <c r="G771" s="223"/>
      <c r="H771" s="223"/>
      <c r="I771" s="223"/>
      <c r="J771" s="223"/>
      <c r="K771" s="223"/>
      <c r="L771" s="223"/>
      <c r="M771" s="223"/>
      <c r="N771" s="223"/>
      <c r="O771" s="223"/>
      <c r="P771" s="223"/>
      <c r="Q771" s="223"/>
      <c r="R771" s="223"/>
      <c r="S771" s="223"/>
      <c r="T771" s="223"/>
      <c r="U771" s="223"/>
      <c r="V771" s="223"/>
      <c r="W771" s="223"/>
      <c r="X771" s="223"/>
      <c r="Y771" s="223"/>
      <c r="Z771" s="223"/>
    </row>
    <row r="772" spans="1:26" ht="12" customHeight="1" x14ac:dyDescent="0.35">
      <c r="A772" s="223"/>
      <c r="B772" s="223"/>
      <c r="C772" s="223"/>
      <c r="D772" s="223"/>
      <c r="E772" s="223"/>
      <c r="F772" s="223"/>
      <c r="G772" s="223"/>
      <c r="H772" s="223"/>
      <c r="I772" s="223"/>
      <c r="J772" s="223"/>
      <c r="K772" s="223"/>
      <c r="L772" s="223"/>
      <c r="M772" s="223"/>
      <c r="N772" s="223"/>
      <c r="O772" s="223"/>
      <c r="P772" s="223"/>
      <c r="Q772" s="223"/>
      <c r="R772" s="223"/>
      <c r="S772" s="223"/>
      <c r="T772" s="223"/>
      <c r="U772" s="223"/>
      <c r="V772" s="223"/>
      <c r="W772" s="223"/>
      <c r="X772" s="223"/>
      <c r="Y772" s="223"/>
      <c r="Z772" s="223"/>
    </row>
    <row r="773" spans="1:26" ht="12" customHeight="1" x14ac:dyDescent="0.35">
      <c r="A773" s="223"/>
      <c r="B773" s="223"/>
      <c r="C773" s="223"/>
      <c r="D773" s="223"/>
      <c r="E773" s="223"/>
      <c r="F773" s="223"/>
      <c r="G773" s="223"/>
      <c r="H773" s="223"/>
      <c r="I773" s="223"/>
      <c r="J773" s="223"/>
      <c r="K773" s="223"/>
      <c r="L773" s="223"/>
      <c r="M773" s="223"/>
      <c r="N773" s="223"/>
      <c r="O773" s="223"/>
      <c r="P773" s="223"/>
      <c r="Q773" s="223"/>
      <c r="R773" s="223"/>
      <c r="S773" s="223"/>
      <c r="T773" s="223"/>
      <c r="U773" s="223"/>
      <c r="V773" s="223"/>
      <c r="W773" s="223"/>
      <c r="X773" s="223"/>
      <c r="Y773" s="223"/>
      <c r="Z773" s="223"/>
    </row>
    <row r="774" spans="1:26" ht="12" customHeight="1" x14ac:dyDescent="0.35">
      <c r="A774" s="223"/>
      <c r="B774" s="223"/>
      <c r="C774" s="223"/>
      <c r="D774" s="223"/>
      <c r="E774" s="223"/>
      <c r="F774" s="223"/>
      <c r="G774" s="223"/>
      <c r="H774" s="223"/>
      <c r="I774" s="223"/>
      <c r="J774" s="223"/>
      <c r="K774" s="223"/>
      <c r="L774" s="223"/>
      <c r="M774" s="223"/>
      <c r="N774" s="223"/>
      <c r="O774" s="223"/>
      <c r="P774" s="223"/>
      <c r="Q774" s="223"/>
      <c r="R774" s="223"/>
      <c r="S774" s="223"/>
      <c r="T774" s="223"/>
      <c r="U774" s="223"/>
      <c r="V774" s="223"/>
      <c r="W774" s="223"/>
      <c r="X774" s="223"/>
      <c r="Y774" s="223"/>
      <c r="Z774" s="223"/>
    </row>
    <row r="775" spans="1:26" ht="12" customHeight="1" x14ac:dyDescent="0.35">
      <c r="A775" s="223"/>
      <c r="B775" s="223"/>
      <c r="C775" s="223"/>
      <c r="D775" s="223"/>
      <c r="E775" s="223"/>
      <c r="F775" s="223"/>
      <c r="G775" s="223"/>
      <c r="H775" s="223"/>
      <c r="I775" s="223"/>
      <c r="J775" s="223"/>
      <c r="K775" s="223"/>
      <c r="L775" s="223"/>
      <c r="M775" s="223"/>
      <c r="N775" s="223"/>
      <c r="O775" s="223"/>
      <c r="P775" s="223"/>
      <c r="Q775" s="223"/>
      <c r="R775" s="223"/>
      <c r="S775" s="223"/>
      <c r="T775" s="223"/>
      <c r="U775" s="223"/>
      <c r="V775" s="223"/>
      <c r="W775" s="223"/>
      <c r="X775" s="223"/>
      <c r="Y775" s="223"/>
      <c r="Z775" s="223"/>
    </row>
    <row r="776" spans="1:26" ht="12" customHeight="1" x14ac:dyDescent="0.35">
      <c r="A776" s="223"/>
      <c r="B776" s="223"/>
      <c r="C776" s="223"/>
      <c r="D776" s="223"/>
      <c r="E776" s="223"/>
      <c r="F776" s="223"/>
      <c r="G776" s="223"/>
      <c r="H776" s="223"/>
      <c r="I776" s="223"/>
      <c r="J776" s="223"/>
      <c r="K776" s="223"/>
      <c r="L776" s="223"/>
      <c r="M776" s="223"/>
      <c r="N776" s="223"/>
      <c r="O776" s="223"/>
      <c r="P776" s="223"/>
      <c r="Q776" s="223"/>
      <c r="R776" s="223"/>
      <c r="S776" s="223"/>
      <c r="T776" s="223"/>
      <c r="U776" s="223"/>
      <c r="V776" s="223"/>
      <c r="W776" s="223"/>
      <c r="X776" s="223"/>
      <c r="Y776" s="223"/>
      <c r="Z776" s="223"/>
    </row>
    <row r="777" spans="1:26" ht="12" customHeight="1" x14ac:dyDescent="0.35">
      <c r="A777" s="223"/>
      <c r="B777" s="223"/>
      <c r="C777" s="223"/>
      <c r="D777" s="223"/>
      <c r="E777" s="223"/>
      <c r="F777" s="223"/>
      <c r="G777" s="223"/>
      <c r="H777" s="223"/>
      <c r="I777" s="223"/>
      <c r="J777" s="223"/>
      <c r="K777" s="223"/>
      <c r="L777" s="223"/>
      <c r="M777" s="223"/>
      <c r="N777" s="223"/>
      <c r="O777" s="223"/>
      <c r="P777" s="223"/>
      <c r="Q777" s="223"/>
      <c r="R777" s="223"/>
      <c r="S777" s="223"/>
      <c r="T777" s="223"/>
      <c r="U777" s="223"/>
      <c r="V777" s="223"/>
      <c r="W777" s="223"/>
      <c r="X777" s="223"/>
      <c r="Y777" s="223"/>
      <c r="Z777" s="223"/>
    </row>
    <row r="778" spans="1:26" ht="12" customHeight="1" x14ac:dyDescent="0.35">
      <c r="A778" s="223"/>
      <c r="B778" s="223"/>
      <c r="C778" s="223"/>
      <c r="D778" s="223"/>
      <c r="E778" s="223"/>
      <c r="F778" s="223"/>
      <c r="G778" s="223"/>
      <c r="H778" s="223"/>
      <c r="I778" s="223"/>
      <c r="J778" s="223"/>
      <c r="K778" s="223"/>
      <c r="L778" s="223"/>
      <c r="M778" s="223"/>
      <c r="N778" s="223"/>
      <c r="O778" s="223"/>
      <c r="P778" s="223"/>
      <c r="Q778" s="223"/>
      <c r="R778" s="223"/>
      <c r="S778" s="223"/>
      <c r="T778" s="223"/>
      <c r="U778" s="223"/>
      <c r="V778" s="223"/>
      <c r="W778" s="223"/>
      <c r="X778" s="223"/>
      <c r="Y778" s="223"/>
      <c r="Z778" s="223"/>
    </row>
    <row r="779" spans="1:26" ht="12" customHeight="1" x14ac:dyDescent="0.35">
      <c r="A779" s="223"/>
      <c r="B779" s="223"/>
      <c r="C779" s="223"/>
      <c r="D779" s="223"/>
      <c r="E779" s="223"/>
      <c r="F779" s="223"/>
      <c r="G779" s="223"/>
      <c r="H779" s="223"/>
      <c r="I779" s="223"/>
      <c r="J779" s="223"/>
      <c r="K779" s="223"/>
      <c r="L779" s="223"/>
      <c r="M779" s="223"/>
      <c r="N779" s="223"/>
      <c r="O779" s="223"/>
      <c r="P779" s="223"/>
      <c r="Q779" s="223"/>
      <c r="R779" s="223"/>
      <c r="S779" s="223"/>
      <c r="T779" s="223"/>
      <c r="U779" s="223"/>
      <c r="V779" s="223"/>
      <c r="W779" s="223"/>
      <c r="X779" s="223"/>
      <c r="Y779" s="223"/>
      <c r="Z779" s="223"/>
    </row>
    <row r="780" spans="1:26" ht="12" customHeight="1" x14ac:dyDescent="0.35">
      <c r="A780" s="223"/>
      <c r="B780" s="223"/>
      <c r="C780" s="223"/>
      <c r="D780" s="223"/>
      <c r="E780" s="223"/>
      <c r="F780" s="223"/>
      <c r="G780" s="223"/>
      <c r="H780" s="223"/>
      <c r="I780" s="223"/>
      <c r="J780" s="223"/>
      <c r="K780" s="223"/>
      <c r="L780" s="223"/>
      <c r="M780" s="223"/>
      <c r="N780" s="223"/>
      <c r="O780" s="223"/>
      <c r="P780" s="223"/>
      <c r="Q780" s="223"/>
      <c r="R780" s="223"/>
      <c r="S780" s="223"/>
      <c r="T780" s="223"/>
      <c r="U780" s="223"/>
      <c r="V780" s="223"/>
      <c r="W780" s="223"/>
      <c r="X780" s="223"/>
      <c r="Y780" s="223"/>
      <c r="Z780" s="223"/>
    </row>
    <row r="781" spans="1:26" ht="12" customHeight="1" x14ac:dyDescent="0.35">
      <c r="A781" s="223"/>
      <c r="B781" s="223"/>
      <c r="C781" s="223"/>
      <c r="D781" s="223"/>
      <c r="E781" s="223"/>
      <c r="F781" s="223"/>
      <c r="G781" s="223"/>
      <c r="H781" s="223"/>
      <c r="I781" s="223"/>
      <c r="J781" s="223"/>
      <c r="K781" s="223"/>
      <c r="L781" s="223"/>
      <c r="M781" s="223"/>
      <c r="N781" s="223"/>
      <c r="O781" s="223"/>
      <c r="P781" s="223"/>
      <c r="Q781" s="223"/>
      <c r="R781" s="223"/>
      <c r="S781" s="223"/>
      <c r="T781" s="223"/>
      <c r="U781" s="223"/>
      <c r="V781" s="223"/>
      <c r="W781" s="223"/>
      <c r="X781" s="223"/>
      <c r="Y781" s="223"/>
      <c r="Z781" s="223"/>
    </row>
    <row r="782" spans="1:26" ht="12" customHeight="1" x14ac:dyDescent="0.35">
      <c r="A782" s="223"/>
      <c r="B782" s="223"/>
      <c r="C782" s="223"/>
      <c r="D782" s="223"/>
      <c r="E782" s="223"/>
      <c r="F782" s="223"/>
      <c r="G782" s="223"/>
      <c r="H782" s="223"/>
      <c r="I782" s="223"/>
      <c r="J782" s="223"/>
      <c r="K782" s="223"/>
      <c r="L782" s="223"/>
      <c r="M782" s="223"/>
      <c r="N782" s="223"/>
      <c r="O782" s="223"/>
      <c r="P782" s="223"/>
      <c r="Q782" s="223"/>
      <c r="R782" s="223"/>
      <c r="S782" s="223"/>
      <c r="T782" s="223"/>
      <c r="U782" s="223"/>
      <c r="V782" s="223"/>
      <c r="W782" s="223"/>
      <c r="X782" s="223"/>
      <c r="Y782" s="223"/>
      <c r="Z782" s="223"/>
    </row>
    <row r="783" spans="1:26" ht="12" customHeight="1" x14ac:dyDescent="0.35">
      <c r="A783" s="223"/>
      <c r="B783" s="223"/>
      <c r="C783" s="223"/>
      <c r="D783" s="223"/>
      <c r="E783" s="223"/>
      <c r="F783" s="223"/>
      <c r="G783" s="223"/>
      <c r="H783" s="223"/>
      <c r="I783" s="223"/>
      <c r="J783" s="223"/>
      <c r="K783" s="223"/>
      <c r="L783" s="223"/>
      <c r="M783" s="223"/>
      <c r="N783" s="223"/>
      <c r="O783" s="223"/>
      <c r="P783" s="223"/>
      <c r="Q783" s="223"/>
      <c r="R783" s="223"/>
      <c r="S783" s="223"/>
      <c r="T783" s="223"/>
      <c r="U783" s="223"/>
      <c r="V783" s="223"/>
      <c r="W783" s="223"/>
      <c r="X783" s="223"/>
      <c r="Y783" s="223"/>
      <c r="Z783" s="223"/>
    </row>
    <row r="784" spans="1:26" ht="12" customHeight="1" x14ac:dyDescent="0.35">
      <c r="A784" s="223"/>
      <c r="B784" s="223"/>
      <c r="C784" s="223"/>
      <c r="D784" s="223"/>
      <c r="E784" s="223"/>
      <c r="F784" s="223"/>
      <c r="G784" s="223"/>
      <c r="H784" s="223"/>
      <c r="I784" s="223"/>
      <c r="J784" s="223"/>
      <c r="K784" s="223"/>
      <c r="L784" s="223"/>
      <c r="M784" s="223"/>
      <c r="N784" s="223"/>
      <c r="O784" s="223"/>
      <c r="P784" s="223"/>
      <c r="Q784" s="223"/>
      <c r="R784" s="223"/>
      <c r="S784" s="223"/>
      <c r="T784" s="223"/>
      <c r="U784" s="223"/>
      <c r="V784" s="223"/>
      <c r="W784" s="223"/>
      <c r="X784" s="223"/>
      <c r="Y784" s="223"/>
      <c r="Z784" s="223"/>
    </row>
    <row r="785" spans="1:26" ht="12" customHeight="1" x14ac:dyDescent="0.35">
      <c r="A785" s="223"/>
      <c r="B785" s="223"/>
      <c r="C785" s="223"/>
      <c r="D785" s="223"/>
      <c r="E785" s="223"/>
      <c r="F785" s="223"/>
      <c r="G785" s="223"/>
      <c r="H785" s="223"/>
      <c r="I785" s="223"/>
      <c r="J785" s="223"/>
      <c r="K785" s="223"/>
      <c r="L785" s="223"/>
      <c r="M785" s="223"/>
      <c r="N785" s="223"/>
      <c r="O785" s="223"/>
      <c r="P785" s="223"/>
      <c r="Q785" s="223"/>
      <c r="R785" s="223"/>
      <c r="S785" s="223"/>
      <c r="T785" s="223"/>
      <c r="U785" s="223"/>
      <c r="V785" s="223"/>
      <c r="W785" s="223"/>
      <c r="X785" s="223"/>
      <c r="Y785" s="223"/>
      <c r="Z785" s="223"/>
    </row>
    <row r="786" spans="1:26" ht="12" customHeight="1" x14ac:dyDescent="0.35">
      <c r="A786" s="223"/>
      <c r="B786" s="223"/>
      <c r="C786" s="223"/>
      <c r="D786" s="223"/>
      <c r="E786" s="223"/>
      <c r="F786" s="223"/>
      <c r="G786" s="223"/>
      <c r="H786" s="223"/>
      <c r="I786" s="223"/>
      <c r="J786" s="223"/>
      <c r="K786" s="223"/>
      <c r="L786" s="223"/>
      <c r="M786" s="223"/>
      <c r="N786" s="223"/>
      <c r="O786" s="223"/>
      <c r="P786" s="223"/>
      <c r="Q786" s="223"/>
      <c r="R786" s="223"/>
      <c r="S786" s="223"/>
      <c r="T786" s="223"/>
      <c r="U786" s="223"/>
      <c r="V786" s="223"/>
      <c r="W786" s="223"/>
      <c r="X786" s="223"/>
      <c r="Y786" s="223"/>
      <c r="Z786" s="223"/>
    </row>
    <row r="787" spans="1:26" ht="12" customHeight="1" x14ac:dyDescent="0.35">
      <c r="A787" s="223"/>
      <c r="B787" s="223"/>
      <c r="C787" s="223"/>
      <c r="D787" s="223"/>
      <c r="E787" s="223"/>
      <c r="F787" s="223"/>
      <c r="G787" s="223"/>
      <c r="H787" s="223"/>
      <c r="I787" s="223"/>
      <c r="J787" s="223"/>
      <c r="K787" s="223"/>
      <c r="L787" s="223"/>
      <c r="M787" s="223"/>
      <c r="N787" s="223"/>
      <c r="O787" s="223"/>
      <c r="P787" s="223"/>
      <c r="Q787" s="223"/>
      <c r="R787" s="223"/>
      <c r="S787" s="223"/>
      <c r="T787" s="223"/>
      <c r="U787" s="223"/>
      <c r="V787" s="223"/>
      <c r="W787" s="223"/>
      <c r="X787" s="223"/>
      <c r="Y787" s="223"/>
      <c r="Z787" s="223"/>
    </row>
    <row r="788" spans="1:26" ht="12" customHeight="1" x14ac:dyDescent="0.35">
      <c r="A788" s="223"/>
      <c r="B788" s="223"/>
      <c r="C788" s="223"/>
      <c r="D788" s="223"/>
      <c r="E788" s="223"/>
      <c r="F788" s="223"/>
      <c r="G788" s="223"/>
      <c r="H788" s="223"/>
      <c r="I788" s="223"/>
      <c r="J788" s="223"/>
      <c r="K788" s="223"/>
      <c r="L788" s="223"/>
      <c r="M788" s="223"/>
      <c r="N788" s="223"/>
      <c r="O788" s="223"/>
      <c r="P788" s="223"/>
      <c r="Q788" s="223"/>
      <c r="R788" s="223"/>
      <c r="S788" s="223"/>
      <c r="T788" s="223"/>
      <c r="U788" s="223"/>
      <c r="V788" s="223"/>
      <c r="W788" s="223"/>
      <c r="X788" s="223"/>
      <c r="Y788" s="223"/>
      <c r="Z788" s="223"/>
    </row>
    <row r="789" spans="1:26" ht="12" customHeight="1" x14ac:dyDescent="0.35">
      <c r="A789" s="223"/>
      <c r="B789" s="223"/>
      <c r="C789" s="223"/>
      <c r="D789" s="223"/>
      <c r="E789" s="223"/>
      <c r="F789" s="223"/>
      <c r="G789" s="223"/>
      <c r="H789" s="223"/>
      <c r="I789" s="223"/>
      <c r="J789" s="223"/>
      <c r="K789" s="223"/>
      <c r="L789" s="223"/>
      <c r="M789" s="223"/>
      <c r="N789" s="223"/>
      <c r="O789" s="223"/>
      <c r="P789" s="223"/>
      <c r="Q789" s="223"/>
      <c r="R789" s="223"/>
      <c r="S789" s="223"/>
      <c r="T789" s="223"/>
      <c r="U789" s="223"/>
      <c r="V789" s="223"/>
      <c r="W789" s="223"/>
      <c r="X789" s="223"/>
      <c r="Y789" s="223"/>
      <c r="Z789" s="223"/>
    </row>
    <row r="790" spans="1:26" ht="12" customHeight="1" x14ac:dyDescent="0.35">
      <c r="A790" s="223"/>
      <c r="B790" s="223"/>
      <c r="C790" s="223"/>
      <c r="D790" s="223"/>
      <c r="E790" s="223"/>
      <c r="F790" s="223"/>
      <c r="G790" s="223"/>
      <c r="H790" s="223"/>
      <c r="I790" s="223"/>
      <c r="J790" s="223"/>
      <c r="K790" s="223"/>
      <c r="L790" s="223"/>
      <c r="M790" s="223"/>
      <c r="N790" s="223"/>
      <c r="O790" s="223"/>
      <c r="P790" s="223"/>
      <c r="Q790" s="223"/>
      <c r="R790" s="223"/>
      <c r="S790" s="223"/>
      <c r="T790" s="223"/>
      <c r="U790" s="223"/>
      <c r="V790" s="223"/>
      <c r="W790" s="223"/>
      <c r="X790" s="223"/>
      <c r="Y790" s="223"/>
      <c r="Z790" s="223"/>
    </row>
    <row r="791" spans="1:26" ht="12" customHeight="1" x14ac:dyDescent="0.35">
      <c r="A791" s="223"/>
      <c r="B791" s="223"/>
      <c r="C791" s="223"/>
      <c r="D791" s="223"/>
      <c r="E791" s="223"/>
      <c r="F791" s="223"/>
      <c r="G791" s="223"/>
      <c r="H791" s="223"/>
      <c r="I791" s="223"/>
      <c r="J791" s="223"/>
      <c r="K791" s="223"/>
      <c r="L791" s="223"/>
      <c r="M791" s="223"/>
      <c r="N791" s="223"/>
      <c r="O791" s="223"/>
      <c r="P791" s="223"/>
      <c r="Q791" s="223"/>
      <c r="R791" s="223"/>
      <c r="S791" s="223"/>
      <c r="T791" s="223"/>
      <c r="U791" s="223"/>
      <c r="V791" s="223"/>
      <c r="W791" s="223"/>
      <c r="X791" s="223"/>
      <c r="Y791" s="223"/>
      <c r="Z791" s="223"/>
    </row>
    <row r="792" spans="1:26" ht="12" customHeight="1" x14ac:dyDescent="0.35">
      <c r="A792" s="223"/>
      <c r="B792" s="223"/>
      <c r="C792" s="223"/>
      <c r="D792" s="223"/>
      <c r="E792" s="223"/>
      <c r="F792" s="223"/>
      <c r="G792" s="223"/>
      <c r="H792" s="223"/>
      <c r="I792" s="223"/>
      <c r="J792" s="223"/>
      <c r="K792" s="223"/>
      <c r="L792" s="223"/>
      <c r="M792" s="223"/>
      <c r="N792" s="223"/>
      <c r="O792" s="223"/>
      <c r="P792" s="223"/>
      <c r="Q792" s="223"/>
      <c r="R792" s="223"/>
      <c r="S792" s="223"/>
      <c r="T792" s="223"/>
      <c r="U792" s="223"/>
      <c r="V792" s="223"/>
      <c r="W792" s="223"/>
      <c r="X792" s="223"/>
      <c r="Y792" s="223"/>
      <c r="Z792" s="223"/>
    </row>
    <row r="793" spans="1:26" ht="12" customHeight="1" x14ac:dyDescent="0.35">
      <c r="A793" s="223"/>
      <c r="B793" s="223"/>
      <c r="C793" s="223"/>
      <c r="D793" s="223"/>
      <c r="E793" s="223"/>
      <c r="F793" s="223"/>
      <c r="G793" s="223"/>
      <c r="H793" s="223"/>
      <c r="I793" s="223"/>
      <c r="J793" s="223"/>
      <c r="K793" s="223"/>
      <c r="L793" s="223"/>
      <c r="M793" s="223"/>
      <c r="N793" s="223"/>
      <c r="O793" s="223"/>
      <c r="P793" s="223"/>
      <c r="Q793" s="223"/>
      <c r="R793" s="223"/>
      <c r="S793" s="223"/>
      <c r="T793" s="223"/>
      <c r="U793" s="223"/>
      <c r="V793" s="223"/>
      <c r="W793" s="223"/>
      <c r="X793" s="223"/>
      <c r="Y793" s="223"/>
      <c r="Z793" s="223"/>
    </row>
    <row r="794" spans="1:26" ht="12" customHeight="1" x14ac:dyDescent="0.35">
      <c r="A794" s="223"/>
      <c r="B794" s="223"/>
      <c r="C794" s="223"/>
      <c r="D794" s="223"/>
      <c r="E794" s="223"/>
      <c r="F794" s="223"/>
      <c r="G794" s="223"/>
      <c r="H794" s="223"/>
      <c r="I794" s="223"/>
      <c r="J794" s="223"/>
      <c r="K794" s="223"/>
      <c r="L794" s="223"/>
      <c r="M794" s="223"/>
      <c r="N794" s="223"/>
      <c r="O794" s="223"/>
      <c r="P794" s="223"/>
      <c r="Q794" s="223"/>
      <c r="R794" s="223"/>
      <c r="S794" s="223"/>
      <c r="T794" s="223"/>
      <c r="U794" s="223"/>
      <c r="V794" s="223"/>
      <c r="W794" s="223"/>
      <c r="X794" s="223"/>
      <c r="Y794" s="223"/>
      <c r="Z794" s="223"/>
    </row>
    <row r="795" spans="1:26" ht="12" customHeight="1" x14ac:dyDescent="0.35">
      <c r="A795" s="223"/>
      <c r="B795" s="223"/>
      <c r="C795" s="223"/>
      <c r="D795" s="223"/>
      <c r="E795" s="223"/>
      <c r="F795" s="223"/>
      <c r="G795" s="223"/>
      <c r="H795" s="223"/>
      <c r="I795" s="223"/>
      <c r="J795" s="223"/>
      <c r="K795" s="223"/>
      <c r="L795" s="223"/>
      <c r="M795" s="223"/>
      <c r="N795" s="223"/>
      <c r="O795" s="223"/>
      <c r="P795" s="223"/>
      <c r="Q795" s="223"/>
      <c r="R795" s="223"/>
      <c r="S795" s="223"/>
      <c r="T795" s="223"/>
      <c r="U795" s="223"/>
      <c r="V795" s="223"/>
      <c r="W795" s="223"/>
      <c r="X795" s="223"/>
      <c r="Y795" s="223"/>
      <c r="Z795" s="223"/>
    </row>
    <row r="796" spans="1:26" ht="12" customHeight="1" x14ac:dyDescent="0.35">
      <c r="A796" s="223"/>
      <c r="B796" s="223"/>
      <c r="C796" s="223"/>
      <c r="D796" s="223"/>
      <c r="E796" s="223"/>
      <c r="F796" s="223"/>
      <c r="G796" s="223"/>
      <c r="H796" s="223"/>
      <c r="I796" s="223"/>
      <c r="J796" s="223"/>
      <c r="K796" s="223"/>
      <c r="L796" s="223"/>
      <c r="M796" s="223"/>
      <c r="N796" s="223"/>
      <c r="O796" s="223"/>
      <c r="P796" s="223"/>
      <c r="Q796" s="223"/>
      <c r="R796" s="223"/>
      <c r="S796" s="223"/>
      <c r="T796" s="223"/>
      <c r="U796" s="223"/>
      <c r="V796" s="223"/>
      <c r="W796" s="223"/>
      <c r="X796" s="223"/>
      <c r="Y796" s="223"/>
      <c r="Z796" s="223"/>
    </row>
    <row r="797" spans="1:26" ht="12" customHeight="1" x14ac:dyDescent="0.35">
      <c r="A797" s="223"/>
      <c r="B797" s="223"/>
      <c r="C797" s="223"/>
      <c r="D797" s="223"/>
      <c r="E797" s="223"/>
      <c r="F797" s="223"/>
      <c r="G797" s="223"/>
      <c r="H797" s="223"/>
      <c r="I797" s="223"/>
      <c r="J797" s="223"/>
      <c r="K797" s="223"/>
      <c r="L797" s="223"/>
      <c r="M797" s="223"/>
      <c r="N797" s="223"/>
      <c r="O797" s="223"/>
      <c r="P797" s="223"/>
      <c r="Q797" s="223"/>
      <c r="R797" s="223"/>
      <c r="S797" s="223"/>
      <c r="T797" s="223"/>
      <c r="U797" s="223"/>
      <c r="V797" s="223"/>
      <c r="W797" s="223"/>
      <c r="X797" s="223"/>
      <c r="Y797" s="223"/>
      <c r="Z797" s="223"/>
    </row>
    <row r="798" spans="1:26" ht="12" customHeight="1" x14ac:dyDescent="0.35">
      <c r="A798" s="223"/>
      <c r="B798" s="223"/>
      <c r="C798" s="223"/>
      <c r="D798" s="223"/>
      <c r="E798" s="223"/>
      <c r="F798" s="223"/>
      <c r="G798" s="223"/>
      <c r="H798" s="223"/>
      <c r="I798" s="223"/>
      <c r="J798" s="223"/>
      <c r="K798" s="223"/>
      <c r="L798" s="223"/>
      <c r="M798" s="223"/>
      <c r="N798" s="223"/>
      <c r="O798" s="223"/>
      <c r="P798" s="223"/>
      <c r="Q798" s="223"/>
      <c r="R798" s="223"/>
      <c r="S798" s="223"/>
      <c r="T798" s="223"/>
      <c r="U798" s="223"/>
      <c r="V798" s="223"/>
      <c r="W798" s="223"/>
      <c r="X798" s="223"/>
      <c r="Y798" s="223"/>
      <c r="Z798" s="223"/>
    </row>
    <row r="799" spans="1:26" ht="12" customHeight="1" x14ac:dyDescent="0.35">
      <c r="A799" s="223"/>
      <c r="B799" s="223"/>
      <c r="C799" s="223"/>
      <c r="D799" s="223"/>
      <c r="E799" s="223"/>
      <c r="F799" s="223"/>
      <c r="G799" s="223"/>
      <c r="H799" s="223"/>
      <c r="I799" s="223"/>
      <c r="J799" s="223"/>
      <c r="K799" s="223"/>
      <c r="L799" s="223"/>
      <c r="M799" s="223"/>
      <c r="N799" s="223"/>
      <c r="O799" s="223"/>
      <c r="P799" s="223"/>
      <c r="Q799" s="223"/>
      <c r="R799" s="223"/>
      <c r="S799" s="223"/>
      <c r="T799" s="223"/>
      <c r="U799" s="223"/>
      <c r="V799" s="223"/>
      <c r="W799" s="223"/>
      <c r="X799" s="223"/>
      <c r="Y799" s="223"/>
      <c r="Z799" s="223"/>
    </row>
    <row r="800" spans="1:26" ht="12" customHeight="1" x14ac:dyDescent="0.35">
      <c r="A800" s="223"/>
      <c r="B800" s="223"/>
      <c r="C800" s="223"/>
      <c r="D800" s="223"/>
      <c r="E800" s="223"/>
      <c r="F800" s="223"/>
      <c r="G800" s="223"/>
      <c r="H800" s="223"/>
      <c r="I800" s="223"/>
      <c r="J800" s="223"/>
      <c r="K800" s="223"/>
      <c r="L800" s="223"/>
      <c r="M800" s="223"/>
      <c r="N800" s="223"/>
      <c r="O800" s="223"/>
      <c r="P800" s="223"/>
      <c r="Q800" s="223"/>
      <c r="R800" s="223"/>
      <c r="S800" s="223"/>
      <c r="T800" s="223"/>
      <c r="U800" s="223"/>
      <c r="V800" s="223"/>
      <c r="W800" s="223"/>
      <c r="X800" s="223"/>
      <c r="Y800" s="223"/>
      <c r="Z800" s="223"/>
    </row>
    <row r="801" spans="1:26" ht="12" customHeight="1" x14ac:dyDescent="0.35">
      <c r="A801" s="223"/>
      <c r="B801" s="223"/>
      <c r="C801" s="223"/>
      <c r="D801" s="223"/>
      <c r="E801" s="223"/>
      <c r="F801" s="223"/>
      <c r="G801" s="223"/>
      <c r="H801" s="223"/>
      <c r="I801" s="223"/>
      <c r="J801" s="223"/>
      <c r="K801" s="223"/>
      <c r="L801" s="223"/>
      <c r="M801" s="223"/>
      <c r="N801" s="223"/>
      <c r="O801" s="223"/>
      <c r="P801" s="223"/>
      <c r="Q801" s="223"/>
      <c r="R801" s="223"/>
      <c r="S801" s="223"/>
      <c r="T801" s="223"/>
      <c r="U801" s="223"/>
      <c r="V801" s="223"/>
      <c r="W801" s="223"/>
      <c r="X801" s="223"/>
      <c r="Y801" s="223"/>
      <c r="Z801" s="223"/>
    </row>
    <row r="802" spans="1:26" ht="12" customHeight="1" x14ac:dyDescent="0.35">
      <c r="A802" s="223"/>
      <c r="B802" s="223"/>
      <c r="C802" s="223"/>
      <c r="D802" s="223"/>
      <c r="E802" s="223"/>
      <c r="F802" s="223"/>
      <c r="G802" s="223"/>
      <c r="H802" s="223"/>
      <c r="I802" s="223"/>
      <c r="J802" s="223"/>
      <c r="K802" s="223"/>
      <c r="L802" s="223"/>
      <c r="M802" s="223"/>
      <c r="N802" s="223"/>
      <c r="O802" s="223"/>
      <c r="P802" s="223"/>
      <c r="Q802" s="223"/>
      <c r="R802" s="223"/>
      <c r="S802" s="223"/>
      <c r="T802" s="223"/>
      <c r="U802" s="223"/>
      <c r="V802" s="223"/>
      <c r="W802" s="223"/>
      <c r="X802" s="223"/>
      <c r="Y802" s="223"/>
      <c r="Z802" s="223"/>
    </row>
    <row r="803" spans="1:26" ht="12" customHeight="1" x14ac:dyDescent="0.35">
      <c r="A803" s="223"/>
      <c r="B803" s="223"/>
      <c r="C803" s="223"/>
      <c r="D803" s="223"/>
      <c r="E803" s="223"/>
      <c r="F803" s="223"/>
      <c r="G803" s="223"/>
      <c r="H803" s="223"/>
      <c r="I803" s="223"/>
      <c r="J803" s="223"/>
      <c r="K803" s="223"/>
      <c r="L803" s="223"/>
      <c r="M803" s="223"/>
      <c r="N803" s="223"/>
      <c r="O803" s="223"/>
      <c r="P803" s="223"/>
      <c r="Q803" s="223"/>
      <c r="R803" s="223"/>
      <c r="S803" s="223"/>
      <c r="T803" s="223"/>
      <c r="U803" s="223"/>
      <c r="V803" s="223"/>
      <c r="W803" s="223"/>
      <c r="X803" s="223"/>
      <c r="Y803" s="223"/>
      <c r="Z803" s="223"/>
    </row>
    <row r="804" spans="1:26" ht="12" customHeight="1" x14ac:dyDescent="0.35">
      <c r="A804" s="223"/>
      <c r="B804" s="223"/>
      <c r="C804" s="223"/>
      <c r="D804" s="223"/>
      <c r="E804" s="223"/>
      <c r="F804" s="223"/>
      <c r="G804" s="223"/>
      <c r="H804" s="223"/>
      <c r="I804" s="223"/>
      <c r="J804" s="223"/>
      <c r="K804" s="223"/>
      <c r="L804" s="223"/>
      <c r="M804" s="223"/>
      <c r="N804" s="223"/>
      <c r="O804" s="223"/>
      <c r="P804" s="223"/>
      <c r="Q804" s="223"/>
      <c r="R804" s="223"/>
      <c r="S804" s="223"/>
      <c r="T804" s="223"/>
      <c r="U804" s="223"/>
      <c r="V804" s="223"/>
      <c r="W804" s="223"/>
      <c r="X804" s="223"/>
      <c r="Y804" s="223"/>
      <c r="Z804" s="223"/>
    </row>
    <row r="805" spans="1:26" ht="12" customHeight="1" x14ac:dyDescent="0.35">
      <c r="A805" s="223"/>
      <c r="B805" s="223"/>
      <c r="C805" s="223"/>
      <c r="D805" s="223"/>
      <c r="E805" s="223"/>
      <c r="F805" s="223"/>
      <c r="G805" s="223"/>
      <c r="H805" s="223"/>
      <c r="I805" s="223"/>
      <c r="J805" s="223"/>
      <c r="K805" s="223"/>
      <c r="L805" s="223"/>
      <c r="M805" s="223"/>
      <c r="N805" s="223"/>
      <c r="O805" s="223"/>
      <c r="P805" s="223"/>
      <c r="Q805" s="223"/>
      <c r="R805" s="223"/>
      <c r="S805" s="223"/>
      <c r="T805" s="223"/>
      <c r="U805" s="223"/>
      <c r="V805" s="223"/>
      <c r="W805" s="223"/>
      <c r="X805" s="223"/>
      <c r="Y805" s="223"/>
      <c r="Z805" s="223"/>
    </row>
    <row r="806" spans="1:26" ht="12" customHeight="1" x14ac:dyDescent="0.35">
      <c r="A806" s="223"/>
      <c r="B806" s="223"/>
      <c r="C806" s="223"/>
      <c r="D806" s="223"/>
      <c r="E806" s="223"/>
      <c r="F806" s="223"/>
      <c r="G806" s="223"/>
      <c r="H806" s="223"/>
      <c r="I806" s="223"/>
      <c r="J806" s="223"/>
      <c r="K806" s="223"/>
      <c r="L806" s="223"/>
      <c r="M806" s="223"/>
      <c r="N806" s="223"/>
      <c r="O806" s="223"/>
      <c r="P806" s="223"/>
      <c r="Q806" s="223"/>
      <c r="R806" s="223"/>
      <c r="S806" s="223"/>
      <c r="T806" s="223"/>
      <c r="U806" s="223"/>
      <c r="V806" s="223"/>
      <c r="W806" s="223"/>
      <c r="X806" s="223"/>
      <c r="Y806" s="223"/>
      <c r="Z806" s="223"/>
    </row>
    <row r="807" spans="1:26" ht="12" customHeight="1" x14ac:dyDescent="0.35">
      <c r="A807" s="223"/>
      <c r="B807" s="223"/>
      <c r="C807" s="223"/>
      <c r="D807" s="223"/>
      <c r="E807" s="223"/>
      <c r="F807" s="223"/>
      <c r="G807" s="223"/>
      <c r="H807" s="223"/>
      <c r="I807" s="223"/>
      <c r="J807" s="223"/>
      <c r="K807" s="223"/>
      <c r="L807" s="223"/>
      <c r="M807" s="223"/>
      <c r="N807" s="223"/>
      <c r="O807" s="223"/>
      <c r="P807" s="223"/>
      <c r="Q807" s="223"/>
      <c r="R807" s="223"/>
      <c r="S807" s="223"/>
      <c r="T807" s="223"/>
      <c r="U807" s="223"/>
      <c r="V807" s="223"/>
      <c r="W807" s="223"/>
      <c r="X807" s="223"/>
      <c r="Y807" s="223"/>
      <c r="Z807" s="223"/>
    </row>
    <row r="808" spans="1:26" ht="12" customHeight="1" x14ac:dyDescent="0.35">
      <c r="A808" s="223"/>
      <c r="B808" s="223"/>
      <c r="C808" s="223"/>
      <c r="D808" s="223"/>
      <c r="E808" s="223"/>
      <c r="F808" s="223"/>
      <c r="G808" s="223"/>
      <c r="H808" s="223"/>
      <c r="I808" s="223"/>
      <c r="J808" s="223"/>
      <c r="K808" s="223"/>
      <c r="L808" s="223"/>
      <c r="M808" s="223"/>
      <c r="N808" s="223"/>
      <c r="O808" s="223"/>
      <c r="P808" s="223"/>
      <c r="Q808" s="223"/>
      <c r="R808" s="223"/>
      <c r="S808" s="223"/>
      <c r="T808" s="223"/>
      <c r="U808" s="223"/>
      <c r="V808" s="223"/>
      <c r="W808" s="223"/>
      <c r="X808" s="223"/>
      <c r="Y808" s="223"/>
      <c r="Z808" s="223"/>
    </row>
    <row r="809" spans="1:26" ht="12" customHeight="1" x14ac:dyDescent="0.35">
      <c r="A809" s="223"/>
      <c r="B809" s="223"/>
      <c r="C809" s="223"/>
      <c r="D809" s="223"/>
      <c r="E809" s="223"/>
      <c r="F809" s="223"/>
      <c r="G809" s="223"/>
      <c r="H809" s="223"/>
      <c r="I809" s="223"/>
      <c r="J809" s="223"/>
      <c r="K809" s="223"/>
      <c r="L809" s="223"/>
      <c r="M809" s="223"/>
      <c r="N809" s="223"/>
      <c r="O809" s="223"/>
      <c r="P809" s="223"/>
      <c r="Q809" s="223"/>
      <c r="R809" s="223"/>
      <c r="S809" s="223"/>
      <c r="T809" s="223"/>
      <c r="U809" s="223"/>
      <c r="V809" s="223"/>
      <c r="W809" s="223"/>
      <c r="X809" s="223"/>
      <c r="Y809" s="223"/>
      <c r="Z809" s="223"/>
    </row>
    <row r="810" spans="1:26" ht="12" customHeight="1" x14ac:dyDescent="0.35">
      <c r="A810" s="223"/>
      <c r="B810" s="223"/>
      <c r="C810" s="223"/>
      <c r="D810" s="223"/>
      <c r="E810" s="223"/>
      <c r="F810" s="223"/>
      <c r="G810" s="223"/>
      <c r="H810" s="223"/>
      <c r="I810" s="223"/>
      <c r="J810" s="223"/>
      <c r="K810" s="223"/>
      <c r="L810" s="223"/>
      <c r="M810" s="223"/>
      <c r="N810" s="223"/>
      <c r="O810" s="223"/>
      <c r="P810" s="223"/>
      <c r="Q810" s="223"/>
      <c r="R810" s="223"/>
      <c r="S810" s="223"/>
      <c r="T810" s="223"/>
      <c r="U810" s="223"/>
      <c r="V810" s="223"/>
      <c r="W810" s="223"/>
      <c r="X810" s="223"/>
      <c r="Y810" s="223"/>
      <c r="Z810" s="223"/>
    </row>
    <row r="811" spans="1:26" ht="12" customHeight="1" x14ac:dyDescent="0.35">
      <c r="A811" s="223"/>
      <c r="B811" s="223"/>
      <c r="C811" s="223"/>
      <c r="D811" s="223"/>
      <c r="E811" s="223"/>
      <c r="F811" s="223"/>
      <c r="G811" s="223"/>
      <c r="H811" s="223"/>
      <c r="I811" s="223"/>
      <c r="J811" s="223"/>
      <c r="K811" s="223"/>
      <c r="L811" s="223"/>
      <c r="M811" s="223"/>
      <c r="N811" s="223"/>
      <c r="O811" s="223"/>
      <c r="P811" s="223"/>
      <c r="Q811" s="223"/>
      <c r="R811" s="223"/>
      <c r="S811" s="223"/>
      <c r="T811" s="223"/>
      <c r="U811" s="223"/>
      <c r="V811" s="223"/>
      <c r="W811" s="223"/>
      <c r="X811" s="223"/>
      <c r="Y811" s="223"/>
      <c r="Z811" s="223"/>
    </row>
    <row r="812" spans="1:26" ht="12" customHeight="1" x14ac:dyDescent="0.35">
      <c r="A812" s="223"/>
      <c r="B812" s="223"/>
      <c r="C812" s="223"/>
      <c r="D812" s="223"/>
      <c r="E812" s="223"/>
      <c r="F812" s="223"/>
      <c r="G812" s="223"/>
      <c r="H812" s="223"/>
      <c r="I812" s="223"/>
      <c r="J812" s="223"/>
      <c r="K812" s="223"/>
      <c r="L812" s="223"/>
      <c r="M812" s="223"/>
      <c r="N812" s="223"/>
      <c r="O812" s="223"/>
      <c r="P812" s="223"/>
      <c r="Q812" s="223"/>
      <c r="R812" s="223"/>
      <c r="S812" s="223"/>
      <c r="T812" s="223"/>
      <c r="U812" s="223"/>
      <c r="V812" s="223"/>
      <c r="W812" s="223"/>
      <c r="X812" s="223"/>
      <c r="Y812" s="223"/>
      <c r="Z812" s="223"/>
    </row>
    <row r="813" spans="1:26" ht="12" customHeight="1" x14ac:dyDescent="0.35">
      <c r="A813" s="223"/>
      <c r="B813" s="223"/>
      <c r="C813" s="223"/>
      <c r="D813" s="223"/>
      <c r="E813" s="223"/>
      <c r="F813" s="223"/>
      <c r="G813" s="223"/>
      <c r="H813" s="223"/>
      <c r="I813" s="223"/>
      <c r="J813" s="223"/>
      <c r="K813" s="223"/>
      <c r="L813" s="223"/>
      <c r="M813" s="223"/>
      <c r="N813" s="223"/>
      <c r="O813" s="223"/>
      <c r="P813" s="223"/>
      <c r="Q813" s="223"/>
      <c r="R813" s="223"/>
      <c r="S813" s="223"/>
      <c r="T813" s="223"/>
      <c r="U813" s="223"/>
      <c r="V813" s="223"/>
      <c r="W813" s="223"/>
      <c r="X813" s="223"/>
      <c r="Y813" s="223"/>
      <c r="Z813" s="223"/>
    </row>
    <row r="814" spans="1:26" ht="12" customHeight="1" x14ac:dyDescent="0.35">
      <c r="A814" s="223"/>
      <c r="B814" s="223"/>
      <c r="C814" s="223"/>
      <c r="D814" s="223"/>
      <c r="E814" s="223"/>
      <c r="F814" s="223"/>
      <c r="G814" s="223"/>
      <c r="H814" s="223"/>
      <c r="I814" s="223"/>
      <c r="J814" s="223"/>
      <c r="K814" s="223"/>
      <c r="L814" s="223"/>
      <c r="M814" s="223"/>
      <c r="N814" s="223"/>
      <c r="O814" s="223"/>
      <c r="P814" s="223"/>
      <c r="Q814" s="223"/>
      <c r="R814" s="223"/>
      <c r="S814" s="223"/>
      <c r="T814" s="223"/>
      <c r="U814" s="223"/>
      <c r="V814" s="223"/>
      <c r="W814" s="223"/>
      <c r="X814" s="223"/>
      <c r="Y814" s="223"/>
      <c r="Z814" s="223"/>
    </row>
    <row r="815" spans="1:26" ht="12" customHeight="1" x14ac:dyDescent="0.35">
      <c r="A815" s="223"/>
      <c r="B815" s="223"/>
      <c r="C815" s="223"/>
      <c r="D815" s="223"/>
      <c r="E815" s="223"/>
      <c r="F815" s="223"/>
      <c r="G815" s="223"/>
      <c r="H815" s="223"/>
      <c r="I815" s="223"/>
      <c r="J815" s="223"/>
      <c r="K815" s="223"/>
      <c r="L815" s="223"/>
      <c r="M815" s="223"/>
      <c r="N815" s="223"/>
      <c r="O815" s="223"/>
      <c r="P815" s="223"/>
      <c r="Q815" s="223"/>
      <c r="R815" s="223"/>
      <c r="S815" s="223"/>
      <c r="T815" s="223"/>
      <c r="U815" s="223"/>
      <c r="V815" s="223"/>
      <c r="W815" s="223"/>
      <c r="X815" s="223"/>
      <c r="Y815" s="223"/>
      <c r="Z815" s="223"/>
    </row>
    <row r="816" spans="1:26" ht="12" customHeight="1" x14ac:dyDescent="0.35">
      <c r="A816" s="223"/>
      <c r="B816" s="223"/>
      <c r="C816" s="223"/>
      <c r="D816" s="223"/>
      <c r="E816" s="223"/>
      <c r="F816" s="223"/>
      <c r="G816" s="223"/>
      <c r="H816" s="223"/>
      <c r="I816" s="223"/>
      <c r="J816" s="223"/>
      <c r="K816" s="223"/>
      <c r="L816" s="223"/>
      <c r="M816" s="223"/>
      <c r="N816" s="223"/>
      <c r="O816" s="223"/>
      <c r="P816" s="223"/>
      <c r="Q816" s="223"/>
      <c r="R816" s="223"/>
      <c r="S816" s="223"/>
      <c r="T816" s="223"/>
      <c r="U816" s="223"/>
      <c r="V816" s="223"/>
      <c r="W816" s="223"/>
      <c r="X816" s="223"/>
      <c r="Y816" s="223"/>
      <c r="Z816" s="223"/>
    </row>
    <row r="817" spans="1:26" ht="12" customHeight="1" x14ac:dyDescent="0.35">
      <c r="A817" s="223"/>
      <c r="B817" s="223"/>
      <c r="C817" s="223"/>
      <c r="D817" s="223"/>
      <c r="E817" s="223"/>
      <c r="F817" s="223"/>
      <c r="G817" s="223"/>
      <c r="H817" s="223"/>
      <c r="I817" s="223"/>
      <c r="J817" s="223"/>
      <c r="K817" s="223"/>
      <c r="L817" s="223"/>
      <c r="M817" s="223"/>
      <c r="N817" s="223"/>
      <c r="O817" s="223"/>
      <c r="P817" s="223"/>
      <c r="Q817" s="223"/>
      <c r="R817" s="223"/>
      <c r="S817" s="223"/>
      <c r="T817" s="223"/>
      <c r="U817" s="223"/>
      <c r="V817" s="223"/>
      <c r="W817" s="223"/>
      <c r="X817" s="223"/>
      <c r="Y817" s="223"/>
      <c r="Z817" s="223"/>
    </row>
    <row r="818" spans="1:26" ht="12" customHeight="1" x14ac:dyDescent="0.35">
      <c r="A818" s="223"/>
      <c r="B818" s="223"/>
      <c r="C818" s="223"/>
      <c r="D818" s="223"/>
      <c r="E818" s="223"/>
      <c r="F818" s="223"/>
      <c r="G818" s="223"/>
      <c r="H818" s="223"/>
      <c r="I818" s="223"/>
      <c r="J818" s="223"/>
      <c r="K818" s="223"/>
      <c r="L818" s="223"/>
      <c r="M818" s="223"/>
      <c r="N818" s="223"/>
      <c r="O818" s="223"/>
      <c r="P818" s="223"/>
      <c r="Q818" s="223"/>
      <c r="R818" s="223"/>
      <c r="S818" s="223"/>
      <c r="T818" s="223"/>
      <c r="U818" s="223"/>
      <c r="V818" s="223"/>
      <c r="W818" s="223"/>
      <c r="X818" s="223"/>
      <c r="Y818" s="223"/>
      <c r="Z818" s="223"/>
    </row>
    <row r="819" spans="1:26" ht="12" customHeight="1" x14ac:dyDescent="0.35">
      <c r="A819" s="223"/>
      <c r="B819" s="223"/>
      <c r="C819" s="223"/>
      <c r="D819" s="223"/>
      <c r="E819" s="223"/>
      <c r="F819" s="223"/>
      <c r="G819" s="223"/>
      <c r="H819" s="223"/>
      <c r="I819" s="223"/>
      <c r="J819" s="223"/>
      <c r="K819" s="223"/>
      <c r="L819" s="223"/>
      <c r="M819" s="223"/>
      <c r="N819" s="223"/>
      <c r="O819" s="223"/>
      <c r="P819" s="223"/>
      <c r="Q819" s="223"/>
      <c r="R819" s="223"/>
      <c r="S819" s="223"/>
      <c r="T819" s="223"/>
      <c r="U819" s="223"/>
      <c r="V819" s="223"/>
      <c r="W819" s="223"/>
      <c r="X819" s="223"/>
      <c r="Y819" s="223"/>
      <c r="Z819" s="223"/>
    </row>
    <row r="820" spans="1:26" ht="12" customHeight="1" x14ac:dyDescent="0.35">
      <c r="A820" s="223"/>
      <c r="B820" s="223"/>
      <c r="C820" s="223"/>
      <c r="D820" s="223"/>
      <c r="E820" s="223"/>
      <c r="F820" s="223"/>
      <c r="G820" s="223"/>
      <c r="H820" s="223"/>
      <c r="I820" s="223"/>
      <c r="J820" s="223"/>
      <c r="K820" s="223"/>
      <c r="L820" s="223"/>
      <c r="M820" s="223"/>
      <c r="N820" s="223"/>
      <c r="O820" s="223"/>
      <c r="P820" s="223"/>
      <c r="Q820" s="223"/>
      <c r="R820" s="223"/>
      <c r="S820" s="223"/>
      <c r="T820" s="223"/>
      <c r="U820" s="223"/>
      <c r="V820" s="223"/>
      <c r="W820" s="223"/>
      <c r="X820" s="223"/>
      <c r="Y820" s="223"/>
      <c r="Z820" s="223"/>
    </row>
    <row r="821" spans="1:26" ht="12" customHeight="1" x14ac:dyDescent="0.35">
      <c r="A821" s="223"/>
      <c r="B821" s="223"/>
      <c r="C821" s="223"/>
      <c r="D821" s="223"/>
      <c r="E821" s="223"/>
      <c r="F821" s="223"/>
      <c r="G821" s="223"/>
      <c r="H821" s="223"/>
      <c r="I821" s="223"/>
      <c r="J821" s="223"/>
      <c r="K821" s="223"/>
      <c r="L821" s="223"/>
      <c r="M821" s="223"/>
      <c r="N821" s="223"/>
      <c r="O821" s="223"/>
      <c r="P821" s="223"/>
      <c r="Q821" s="223"/>
      <c r="R821" s="223"/>
      <c r="S821" s="223"/>
      <c r="T821" s="223"/>
      <c r="U821" s="223"/>
      <c r="V821" s="223"/>
      <c r="W821" s="223"/>
      <c r="X821" s="223"/>
      <c r="Y821" s="223"/>
      <c r="Z821" s="223"/>
    </row>
    <row r="822" spans="1:26" ht="12" customHeight="1" x14ac:dyDescent="0.35">
      <c r="A822" s="223"/>
      <c r="B822" s="223"/>
      <c r="C822" s="223"/>
      <c r="D822" s="223"/>
      <c r="E822" s="223"/>
      <c r="F822" s="223"/>
      <c r="G822" s="223"/>
      <c r="H822" s="223"/>
      <c r="I822" s="223"/>
      <c r="J822" s="223"/>
      <c r="K822" s="223"/>
      <c r="L822" s="223"/>
      <c r="M822" s="223"/>
      <c r="N822" s="223"/>
      <c r="O822" s="223"/>
      <c r="P822" s="223"/>
      <c r="Q822" s="223"/>
      <c r="R822" s="223"/>
      <c r="S822" s="223"/>
      <c r="T822" s="223"/>
      <c r="U822" s="223"/>
      <c r="V822" s="223"/>
      <c r="W822" s="223"/>
      <c r="X822" s="223"/>
      <c r="Y822" s="223"/>
      <c r="Z822" s="223"/>
    </row>
    <row r="823" spans="1:26" ht="12" customHeight="1" x14ac:dyDescent="0.35">
      <c r="A823" s="223"/>
      <c r="B823" s="223"/>
      <c r="C823" s="223"/>
      <c r="D823" s="223"/>
      <c r="E823" s="223"/>
      <c r="F823" s="223"/>
      <c r="G823" s="223"/>
      <c r="H823" s="223"/>
      <c r="I823" s="223"/>
      <c r="J823" s="223"/>
      <c r="K823" s="223"/>
      <c r="L823" s="223"/>
      <c r="M823" s="223"/>
      <c r="N823" s="223"/>
      <c r="O823" s="223"/>
      <c r="P823" s="223"/>
      <c r="Q823" s="223"/>
      <c r="R823" s="223"/>
      <c r="S823" s="223"/>
      <c r="T823" s="223"/>
      <c r="U823" s="223"/>
      <c r="V823" s="223"/>
      <c r="W823" s="223"/>
      <c r="X823" s="223"/>
      <c r="Y823" s="223"/>
      <c r="Z823" s="223"/>
    </row>
    <row r="824" spans="1:26" ht="12" customHeight="1" x14ac:dyDescent="0.35">
      <c r="A824" s="223"/>
      <c r="B824" s="223"/>
      <c r="C824" s="223"/>
      <c r="D824" s="223"/>
      <c r="E824" s="223"/>
      <c r="F824" s="223"/>
      <c r="G824" s="223"/>
      <c r="H824" s="223"/>
      <c r="I824" s="223"/>
      <c r="J824" s="223"/>
      <c r="K824" s="223"/>
      <c r="L824" s="223"/>
      <c r="M824" s="223"/>
      <c r="N824" s="223"/>
      <c r="O824" s="223"/>
      <c r="P824" s="223"/>
      <c r="Q824" s="223"/>
      <c r="R824" s="223"/>
      <c r="S824" s="223"/>
      <c r="T824" s="223"/>
      <c r="U824" s="223"/>
      <c r="V824" s="223"/>
      <c r="W824" s="223"/>
      <c r="X824" s="223"/>
      <c r="Y824" s="223"/>
      <c r="Z824" s="223"/>
    </row>
    <row r="825" spans="1:26" ht="12" customHeight="1" x14ac:dyDescent="0.35">
      <c r="A825" s="223"/>
      <c r="B825" s="223"/>
      <c r="C825" s="223"/>
      <c r="D825" s="223"/>
      <c r="E825" s="223"/>
      <c r="F825" s="223"/>
      <c r="G825" s="223"/>
      <c r="H825" s="223"/>
      <c r="I825" s="223"/>
      <c r="J825" s="223"/>
      <c r="K825" s="223"/>
      <c r="L825" s="223"/>
      <c r="M825" s="223"/>
      <c r="N825" s="223"/>
      <c r="O825" s="223"/>
      <c r="P825" s="223"/>
      <c r="Q825" s="223"/>
      <c r="R825" s="223"/>
      <c r="S825" s="223"/>
      <c r="T825" s="223"/>
      <c r="U825" s="223"/>
      <c r="V825" s="223"/>
      <c r="W825" s="223"/>
      <c r="X825" s="223"/>
      <c r="Y825" s="223"/>
      <c r="Z825" s="223"/>
    </row>
    <row r="826" spans="1:26" ht="12" customHeight="1" x14ac:dyDescent="0.35">
      <c r="A826" s="223"/>
      <c r="B826" s="223"/>
      <c r="C826" s="223"/>
      <c r="D826" s="223"/>
      <c r="E826" s="223"/>
      <c r="F826" s="223"/>
      <c r="G826" s="223"/>
      <c r="H826" s="223"/>
      <c r="I826" s="223"/>
      <c r="J826" s="223"/>
      <c r="K826" s="223"/>
      <c r="L826" s="223"/>
      <c r="M826" s="223"/>
      <c r="N826" s="223"/>
      <c r="O826" s="223"/>
      <c r="P826" s="223"/>
      <c r="Q826" s="223"/>
      <c r="R826" s="223"/>
      <c r="S826" s="223"/>
      <c r="T826" s="223"/>
      <c r="U826" s="223"/>
      <c r="V826" s="223"/>
      <c r="W826" s="223"/>
      <c r="X826" s="223"/>
      <c r="Y826" s="223"/>
      <c r="Z826" s="223"/>
    </row>
    <row r="827" spans="1:26" ht="12" customHeight="1" x14ac:dyDescent="0.35">
      <c r="A827" s="223"/>
      <c r="B827" s="223"/>
      <c r="C827" s="223"/>
      <c r="D827" s="223"/>
      <c r="E827" s="223"/>
      <c r="F827" s="223"/>
      <c r="G827" s="223"/>
      <c r="H827" s="223"/>
      <c r="I827" s="223"/>
      <c r="J827" s="223"/>
      <c r="K827" s="223"/>
      <c r="L827" s="223"/>
      <c r="M827" s="223"/>
      <c r="N827" s="223"/>
      <c r="O827" s="223"/>
      <c r="P827" s="223"/>
      <c r="Q827" s="223"/>
      <c r="R827" s="223"/>
      <c r="S827" s="223"/>
      <c r="T827" s="223"/>
      <c r="U827" s="223"/>
      <c r="V827" s="223"/>
      <c r="W827" s="223"/>
      <c r="X827" s="223"/>
      <c r="Y827" s="223"/>
      <c r="Z827" s="223"/>
    </row>
    <row r="828" spans="1:26" ht="12" customHeight="1" x14ac:dyDescent="0.35">
      <c r="A828" s="223"/>
      <c r="B828" s="223"/>
      <c r="C828" s="223"/>
      <c r="D828" s="223"/>
      <c r="E828" s="223"/>
      <c r="F828" s="223"/>
      <c r="G828" s="223"/>
      <c r="H828" s="223"/>
      <c r="I828" s="223"/>
      <c r="J828" s="223"/>
      <c r="K828" s="223"/>
      <c r="L828" s="223"/>
      <c r="M828" s="223"/>
      <c r="N828" s="223"/>
      <c r="O828" s="223"/>
      <c r="P828" s="223"/>
      <c r="Q828" s="223"/>
      <c r="R828" s="223"/>
      <c r="S828" s="223"/>
      <c r="T828" s="223"/>
      <c r="U828" s="223"/>
      <c r="V828" s="223"/>
      <c r="W828" s="223"/>
      <c r="X828" s="223"/>
      <c r="Y828" s="223"/>
      <c r="Z828" s="223"/>
    </row>
    <row r="829" spans="1:26" ht="12" customHeight="1" x14ac:dyDescent="0.35">
      <c r="A829" s="223"/>
      <c r="B829" s="223"/>
      <c r="C829" s="223"/>
      <c r="D829" s="223"/>
      <c r="E829" s="223"/>
      <c r="F829" s="223"/>
      <c r="G829" s="223"/>
      <c r="H829" s="223"/>
      <c r="I829" s="223"/>
      <c r="J829" s="223"/>
      <c r="K829" s="223"/>
      <c r="L829" s="223"/>
      <c r="M829" s="223"/>
      <c r="N829" s="223"/>
      <c r="O829" s="223"/>
      <c r="P829" s="223"/>
      <c r="Q829" s="223"/>
      <c r="R829" s="223"/>
      <c r="S829" s="223"/>
      <c r="T829" s="223"/>
      <c r="U829" s="223"/>
      <c r="V829" s="223"/>
      <c r="W829" s="223"/>
      <c r="X829" s="223"/>
      <c r="Y829" s="223"/>
      <c r="Z829" s="223"/>
    </row>
    <row r="830" spans="1:26" ht="12" customHeight="1" x14ac:dyDescent="0.35">
      <c r="A830" s="223"/>
      <c r="B830" s="223"/>
      <c r="C830" s="223"/>
      <c r="D830" s="223"/>
      <c r="E830" s="223"/>
      <c r="F830" s="223"/>
      <c r="G830" s="223"/>
      <c r="H830" s="223"/>
      <c r="I830" s="223"/>
      <c r="J830" s="223"/>
      <c r="K830" s="223"/>
      <c r="L830" s="223"/>
      <c r="M830" s="223"/>
      <c r="N830" s="223"/>
      <c r="O830" s="223"/>
      <c r="P830" s="223"/>
      <c r="Q830" s="223"/>
      <c r="R830" s="223"/>
      <c r="S830" s="223"/>
      <c r="T830" s="223"/>
      <c r="U830" s="223"/>
      <c r="V830" s="223"/>
      <c r="W830" s="223"/>
      <c r="X830" s="223"/>
      <c r="Y830" s="223"/>
      <c r="Z830" s="223"/>
    </row>
    <row r="831" spans="1:26" ht="12" customHeight="1" x14ac:dyDescent="0.35">
      <c r="A831" s="223"/>
      <c r="B831" s="223"/>
      <c r="C831" s="223"/>
      <c r="D831" s="223"/>
      <c r="E831" s="223"/>
      <c r="F831" s="223"/>
      <c r="G831" s="223"/>
      <c r="H831" s="223"/>
      <c r="I831" s="223"/>
      <c r="J831" s="223"/>
      <c r="K831" s="223"/>
      <c r="L831" s="223"/>
      <c r="M831" s="223"/>
      <c r="N831" s="223"/>
      <c r="O831" s="223"/>
      <c r="P831" s="223"/>
      <c r="Q831" s="223"/>
      <c r="R831" s="223"/>
      <c r="S831" s="223"/>
      <c r="T831" s="223"/>
      <c r="U831" s="223"/>
      <c r="V831" s="223"/>
      <c r="W831" s="223"/>
      <c r="X831" s="223"/>
      <c r="Y831" s="223"/>
      <c r="Z831" s="223"/>
    </row>
    <row r="832" spans="1:26" ht="12" customHeight="1" x14ac:dyDescent="0.35">
      <c r="A832" s="223"/>
      <c r="B832" s="223"/>
      <c r="C832" s="223"/>
      <c r="D832" s="223"/>
      <c r="E832" s="223"/>
      <c r="F832" s="223"/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  <c r="S832" s="223"/>
      <c r="T832" s="223"/>
      <c r="U832" s="223"/>
      <c r="V832" s="223"/>
      <c r="W832" s="223"/>
      <c r="X832" s="223"/>
      <c r="Y832" s="223"/>
      <c r="Z832" s="223"/>
    </row>
    <row r="833" spans="1:26" ht="12" customHeight="1" x14ac:dyDescent="0.35">
      <c r="A833" s="223"/>
      <c r="B833" s="223"/>
      <c r="C833" s="223"/>
      <c r="D833" s="223"/>
      <c r="E833" s="223"/>
      <c r="F833" s="223"/>
      <c r="G833" s="223"/>
      <c r="H833" s="223"/>
      <c r="I833" s="223"/>
      <c r="J833" s="223"/>
      <c r="K833" s="223"/>
      <c r="L833" s="223"/>
      <c r="M833" s="223"/>
      <c r="N833" s="223"/>
      <c r="O833" s="223"/>
      <c r="P833" s="223"/>
      <c r="Q833" s="223"/>
      <c r="R833" s="223"/>
      <c r="S833" s="223"/>
      <c r="T833" s="223"/>
      <c r="U833" s="223"/>
      <c r="V833" s="223"/>
      <c r="W833" s="223"/>
      <c r="X833" s="223"/>
      <c r="Y833" s="223"/>
      <c r="Z833" s="223"/>
    </row>
    <row r="834" spans="1:26" ht="12" customHeight="1" x14ac:dyDescent="0.35">
      <c r="A834" s="223"/>
      <c r="B834" s="223"/>
      <c r="C834" s="223"/>
      <c r="D834" s="223"/>
      <c r="E834" s="223"/>
      <c r="F834" s="223"/>
      <c r="G834" s="223"/>
      <c r="H834" s="223"/>
      <c r="I834" s="223"/>
      <c r="J834" s="223"/>
      <c r="K834" s="223"/>
      <c r="L834" s="223"/>
      <c r="M834" s="223"/>
      <c r="N834" s="223"/>
      <c r="O834" s="223"/>
      <c r="P834" s="223"/>
      <c r="Q834" s="223"/>
      <c r="R834" s="223"/>
      <c r="S834" s="223"/>
      <c r="T834" s="223"/>
      <c r="U834" s="223"/>
      <c r="V834" s="223"/>
      <c r="W834" s="223"/>
      <c r="X834" s="223"/>
      <c r="Y834" s="223"/>
      <c r="Z834" s="223"/>
    </row>
    <row r="835" spans="1:26" ht="12" customHeight="1" x14ac:dyDescent="0.35">
      <c r="A835" s="223"/>
      <c r="B835" s="223"/>
      <c r="C835" s="223"/>
      <c r="D835" s="223"/>
      <c r="E835" s="223"/>
      <c r="F835" s="223"/>
      <c r="G835" s="223"/>
      <c r="H835" s="223"/>
      <c r="I835" s="223"/>
      <c r="J835" s="223"/>
      <c r="K835" s="223"/>
      <c r="L835" s="223"/>
      <c r="M835" s="223"/>
      <c r="N835" s="223"/>
      <c r="O835" s="223"/>
      <c r="P835" s="223"/>
      <c r="Q835" s="223"/>
      <c r="R835" s="223"/>
      <c r="S835" s="223"/>
      <c r="T835" s="223"/>
      <c r="U835" s="223"/>
      <c r="V835" s="223"/>
      <c r="W835" s="223"/>
      <c r="X835" s="223"/>
      <c r="Y835" s="223"/>
      <c r="Z835" s="223"/>
    </row>
    <row r="836" spans="1:26" ht="12" customHeight="1" x14ac:dyDescent="0.35">
      <c r="A836" s="223"/>
      <c r="B836" s="223"/>
      <c r="C836" s="223"/>
      <c r="D836" s="223"/>
      <c r="E836" s="223"/>
      <c r="F836" s="223"/>
      <c r="G836" s="223"/>
      <c r="H836" s="223"/>
      <c r="I836" s="223"/>
      <c r="J836" s="223"/>
      <c r="K836" s="223"/>
      <c r="L836" s="223"/>
      <c r="M836" s="223"/>
      <c r="N836" s="223"/>
      <c r="O836" s="223"/>
      <c r="P836" s="223"/>
      <c r="Q836" s="223"/>
      <c r="R836" s="223"/>
      <c r="S836" s="223"/>
      <c r="T836" s="223"/>
      <c r="U836" s="223"/>
      <c r="V836" s="223"/>
      <c r="W836" s="223"/>
      <c r="X836" s="223"/>
      <c r="Y836" s="223"/>
      <c r="Z836" s="223"/>
    </row>
    <row r="837" spans="1:26" ht="12" customHeight="1" x14ac:dyDescent="0.35">
      <c r="A837" s="223"/>
      <c r="B837" s="223"/>
      <c r="C837" s="223"/>
      <c r="D837" s="223"/>
      <c r="E837" s="223"/>
      <c r="F837" s="223"/>
      <c r="G837" s="223"/>
      <c r="H837" s="223"/>
      <c r="I837" s="223"/>
      <c r="J837" s="223"/>
      <c r="K837" s="223"/>
      <c r="L837" s="223"/>
      <c r="M837" s="223"/>
      <c r="N837" s="223"/>
      <c r="O837" s="223"/>
      <c r="P837" s="223"/>
      <c r="Q837" s="223"/>
      <c r="R837" s="223"/>
      <c r="S837" s="223"/>
      <c r="T837" s="223"/>
      <c r="U837" s="223"/>
      <c r="V837" s="223"/>
      <c r="W837" s="223"/>
      <c r="X837" s="223"/>
      <c r="Y837" s="223"/>
      <c r="Z837" s="223"/>
    </row>
    <row r="838" spans="1:26" ht="12" customHeight="1" x14ac:dyDescent="0.35">
      <c r="A838" s="223"/>
      <c r="B838" s="223"/>
      <c r="C838" s="223"/>
      <c r="D838" s="223"/>
      <c r="E838" s="223"/>
      <c r="F838" s="223"/>
      <c r="G838" s="223"/>
      <c r="H838" s="223"/>
      <c r="I838" s="223"/>
      <c r="J838" s="223"/>
      <c r="K838" s="223"/>
      <c r="L838" s="223"/>
      <c r="M838" s="223"/>
      <c r="N838" s="223"/>
      <c r="O838" s="223"/>
      <c r="P838" s="223"/>
      <c r="Q838" s="223"/>
      <c r="R838" s="223"/>
      <c r="S838" s="223"/>
      <c r="T838" s="223"/>
      <c r="U838" s="223"/>
      <c r="V838" s="223"/>
      <c r="W838" s="223"/>
      <c r="X838" s="223"/>
      <c r="Y838" s="223"/>
      <c r="Z838" s="223"/>
    </row>
    <row r="839" spans="1:26" ht="12" customHeight="1" x14ac:dyDescent="0.35">
      <c r="A839" s="223"/>
      <c r="B839" s="223"/>
      <c r="C839" s="223"/>
      <c r="D839" s="223"/>
      <c r="E839" s="223"/>
      <c r="F839" s="223"/>
      <c r="G839" s="223"/>
      <c r="H839" s="223"/>
      <c r="I839" s="223"/>
      <c r="J839" s="223"/>
      <c r="K839" s="223"/>
      <c r="L839" s="223"/>
      <c r="M839" s="223"/>
      <c r="N839" s="223"/>
      <c r="O839" s="223"/>
      <c r="P839" s="223"/>
      <c r="Q839" s="223"/>
      <c r="R839" s="223"/>
      <c r="S839" s="223"/>
      <c r="T839" s="223"/>
      <c r="U839" s="223"/>
      <c r="V839" s="223"/>
      <c r="W839" s="223"/>
      <c r="X839" s="223"/>
      <c r="Y839" s="223"/>
      <c r="Z839" s="223"/>
    </row>
    <row r="840" spans="1:26" ht="12" customHeight="1" x14ac:dyDescent="0.35">
      <c r="A840" s="223"/>
      <c r="B840" s="223"/>
      <c r="C840" s="223"/>
      <c r="D840" s="223"/>
      <c r="E840" s="223"/>
      <c r="F840" s="223"/>
      <c r="G840" s="223"/>
      <c r="H840" s="223"/>
      <c r="I840" s="223"/>
      <c r="J840" s="223"/>
      <c r="K840" s="223"/>
      <c r="L840" s="223"/>
      <c r="M840" s="223"/>
      <c r="N840" s="223"/>
      <c r="O840" s="223"/>
      <c r="P840" s="223"/>
      <c r="Q840" s="223"/>
      <c r="R840" s="223"/>
      <c r="S840" s="223"/>
      <c r="T840" s="223"/>
      <c r="U840" s="223"/>
      <c r="V840" s="223"/>
      <c r="W840" s="223"/>
      <c r="X840" s="223"/>
      <c r="Y840" s="223"/>
      <c r="Z840" s="223"/>
    </row>
    <row r="841" spans="1:26" ht="12" customHeight="1" x14ac:dyDescent="0.35">
      <c r="A841" s="223"/>
      <c r="B841" s="223"/>
      <c r="C841" s="223"/>
      <c r="D841" s="223"/>
      <c r="E841" s="223"/>
      <c r="F841" s="223"/>
      <c r="G841" s="223"/>
      <c r="H841" s="223"/>
      <c r="I841" s="223"/>
      <c r="J841" s="223"/>
      <c r="K841" s="223"/>
      <c r="L841" s="223"/>
      <c r="M841" s="223"/>
      <c r="N841" s="223"/>
      <c r="O841" s="223"/>
      <c r="P841" s="223"/>
      <c r="Q841" s="223"/>
      <c r="R841" s="223"/>
      <c r="S841" s="223"/>
      <c r="T841" s="223"/>
      <c r="U841" s="223"/>
      <c r="V841" s="223"/>
      <c r="W841" s="223"/>
      <c r="X841" s="223"/>
      <c r="Y841" s="223"/>
      <c r="Z841" s="223"/>
    </row>
    <row r="842" spans="1:26" ht="12" customHeight="1" x14ac:dyDescent="0.35">
      <c r="A842" s="223"/>
      <c r="B842" s="223"/>
      <c r="C842" s="223"/>
      <c r="D842" s="223"/>
      <c r="E842" s="223"/>
      <c r="F842" s="223"/>
      <c r="G842" s="223"/>
      <c r="H842" s="223"/>
      <c r="I842" s="223"/>
      <c r="J842" s="223"/>
      <c r="K842" s="223"/>
      <c r="L842" s="223"/>
      <c r="M842" s="223"/>
      <c r="N842" s="223"/>
      <c r="O842" s="223"/>
      <c r="P842" s="223"/>
      <c r="Q842" s="223"/>
      <c r="R842" s="223"/>
      <c r="S842" s="223"/>
      <c r="T842" s="223"/>
      <c r="U842" s="223"/>
      <c r="V842" s="223"/>
      <c r="W842" s="223"/>
      <c r="X842" s="223"/>
      <c r="Y842" s="223"/>
      <c r="Z842" s="223"/>
    </row>
    <row r="843" spans="1:26" ht="12" customHeight="1" x14ac:dyDescent="0.35">
      <c r="A843" s="223"/>
      <c r="B843" s="223"/>
      <c r="C843" s="223"/>
      <c r="D843" s="223"/>
      <c r="E843" s="223"/>
      <c r="F843" s="223"/>
      <c r="G843" s="223"/>
      <c r="H843" s="223"/>
      <c r="I843" s="223"/>
      <c r="J843" s="223"/>
      <c r="K843" s="223"/>
      <c r="L843" s="223"/>
      <c r="M843" s="223"/>
      <c r="N843" s="223"/>
      <c r="O843" s="223"/>
      <c r="P843" s="223"/>
      <c r="Q843" s="223"/>
      <c r="R843" s="223"/>
      <c r="S843" s="223"/>
      <c r="T843" s="223"/>
      <c r="U843" s="223"/>
      <c r="V843" s="223"/>
      <c r="W843" s="223"/>
      <c r="X843" s="223"/>
      <c r="Y843" s="223"/>
      <c r="Z843" s="223"/>
    </row>
    <row r="844" spans="1:26" ht="12" customHeight="1" x14ac:dyDescent="0.35">
      <c r="A844" s="223"/>
      <c r="B844" s="223"/>
      <c r="C844" s="223"/>
      <c r="D844" s="223"/>
      <c r="E844" s="223"/>
      <c r="F844" s="223"/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  <c r="S844" s="223"/>
      <c r="T844" s="223"/>
      <c r="U844" s="223"/>
      <c r="V844" s="223"/>
      <c r="W844" s="223"/>
      <c r="X844" s="223"/>
      <c r="Y844" s="223"/>
      <c r="Z844" s="223"/>
    </row>
    <row r="845" spans="1:26" ht="12" customHeight="1" x14ac:dyDescent="0.35">
      <c r="A845" s="223"/>
      <c r="B845" s="223"/>
      <c r="C845" s="223"/>
      <c r="D845" s="223"/>
      <c r="E845" s="223"/>
      <c r="F845" s="223"/>
      <c r="G845" s="223"/>
      <c r="H845" s="223"/>
      <c r="I845" s="223"/>
      <c r="J845" s="223"/>
      <c r="K845" s="223"/>
      <c r="L845" s="223"/>
      <c r="M845" s="223"/>
      <c r="N845" s="223"/>
      <c r="O845" s="223"/>
      <c r="P845" s="223"/>
      <c r="Q845" s="223"/>
      <c r="R845" s="223"/>
      <c r="S845" s="223"/>
      <c r="T845" s="223"/>
      <c r="U845" s="223"/>
      <c r="V845" s="223"/>
      <c r="W845" s="223"/>
      <c r="X845" s="223"/>
      <c r="Y845" s="223"/>
      <c r="Z845" s="223"/>
    </row>
    <row r="846" spans="1:26" ht="12" customHeight="1" x14ac:dyDescent="0.35">
      <c r="A846" s="223"/>
      <c r="B846" s="223"/>
      <c r="C846" s="223"/>
      <c r="D846" s="223"/>
      <c r="E846" s="223"/>
      <c r="F846" s="223"/>
      <c r="G846" s="223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  <c r="R846" s="223"/>
      <c r="S846" s="223"/>
      <c r="T846" s="223"/>
      <c r="U846" s="223"/>
      <c r="V846" s="223"/>
      <c r="W846" s="223"/>
      <c r="X846" s="223"/>
      <c r="Y846" s="223"/>
      <c r="Z846" s="223"/>
    </row>
    <row r="847" spans="1:26" ht="12" customHeight="1" x14ac:dyDescent="0.35">
      <c r="A847" s="223"/>
      <c r="B847" s="223"/>
      <c r="C847" s="223"/>
      <c r="D847" s="223"/>
      <c r="E847" s="223"/>
      <c r="F847" s="223"/>
      <c r="G847" s="223"/>
      <c r="H847" s="223"/>
      <c r="I847" s="223"/>
      <c r="J847" s="223"/>
      <c r="K847" s="223"/>
      <c r="L847" s="223"/>
      <c r="M847" s="223"/>
      <c r="N847" s="223"/>
      <c r="O847" s="223"/>
      <c r="P847" s="223"/>
      <c r="Q847" s="223"/>
      <c r="R847" s="223"/>
      <c r="S847" s="223"/>
      <c r="T847" s="223"/>
      <c r="U847" s="223"/>
      <c r="V847" s="223"/>
      <c r="W847" s="223"/>
      <c r="X847" s="223"/>
      <c r="Y847" s="223"/>
      <c r="Z847" s="223"/>
    </row>
    <row r="848" spans="1:26" ht="12" customHeight="1" x14ac:dyDescent="0.35">
      <c r="A848" s="223"/>
      <c r="B848" s="223"/>
      <c r="C848" s="223"/>
      <c r="D848" s="223"/>
      <c r="E848" s="223"/>
      <c r="F848" s="223"/>
      <c r="G848" s="223"/>
      <c r="H848" s="223"/>
      <c r="I848" s="223"/>
      <c r="J848" s="223"/>
      <c r="K848" s="223"/>
      <c r="L848" s="223"/>
      <c r="M848" s="223"/>
      <c r="N848" s="223"/>
      <c r="O848" s="223"/>
      <c r="P848" s="223"/>
      <c r="Q848" s="223"/>
      <c r="R848" s="223"/>
      <c r="S848" s="223"/>
      <c r="T848" s="223"/>
      <c r="U848" s="223"/>
      <c r="V848" s="223"/>
      <c r="W848" s="223"/>
      <c r="X848" s="223"/>
      <c r="Y848" s="223"/>
      <c r="Z848" s="223"/>
    </row>
    <row r="849" spans="1:26" ht="12" customHeight="1" x14ac:dyDescent="0.35">
      <c r="A849" s="223"/>
      <c r="B849" s="223"/>
      <c r="C849" s="223"/>
      <c r="D849" s="223"/>
      <c r="E849" s="223"/>
      <c r="F849" s="223"/>
      <c r="G849" s="223"/>
      <c r="H849" s="223"/>
      <c r="I849" s="223"/>
      <c r="J849" s="223"/>
      <c r="K849" s="223"/>
      <c r="L849" s="223"/>
      <c r="M849" s="223"/>
      <c r="N849" s="223"/>
      <c r="O849" s="223"/>
      <c r="P849" s="223"/>
      <c r="Q849" s="223"/>
      <c r="R849" s="223"/>
      <c r="S849" s="223"/>
      <c r="T849" s="223"/>
      <c r="U849" s="223"/>
      <c r="V849" s="223"/>
      <c r="W849" s="223"/>
      <c r="X849" s="223"/>
      <c r="Y849" s="223"/>
      <c r="Z849" s="223"/>
    </row>
    <row r="850" spans="1:26" ht="12" customHeight="1" x14ac:dyDescent="0.35">
      <c r="A850" s="223"/>
      <c r="B850" s="223"/>
      <c r="C850" s="223"/>
      <c r="D850" s="223"/>
      <c r="E850" s="223"/>
      <c r="F850" s="223"/>
      <c r="G850" s="223"/>
      <c r="H850" s="223"/>
      <c r="I850" s="223"/>
      <c r="J850" s="223"/>
      <c r="K850" s="223"/>
      <c r="L850" s="223"/>
      <c r="M850" s="223"/>
      <c r="N850" s="223"/>
      <c r="O850" s="223"/>
      <c r="P850" s="223"/>
      <c r="Q850" s="223"/>
      <c r="R850" s="223"/>
      <c r="S850" s="223"/>
      <c r="T850" s="223"/>
      <c r="U850" s="223"/>
      <c r="V850" s="223"/>
      <c r="W850" s="223"/>
      <c r="X850" s="223"/>
      <c r="Y850" s="223"/>
      <c r="Z850" s="223"/>
    </row>
    <row r="851" spans="1:26" ht="12" customHeight="1" x14ac:dyDescent="0.35">
      <c r="A851" s="223"/>
      <c r="B851" s="223"/>
      <c r="C851" s="223"/>
      <c r="D851" s="223"/>
      <c r="E851" s="223"/>
      <c r="F851" s="223"/>
      <c r="G851" s="223"/>
      <c r="H851" s="223"/>
      <c r="I851" s="223"/>
      <c r="J851" s="223"/>
      <c r="K851" s="223"/>
      <c r="L851" s="223"/>
      <c r="M851" s="223"/>
      <c r="N851" s="223"/>
      <c r="O851" s="223"/>
      <c r="P851" s="223"/>
      <c r="Q851" s="223"/>
      <c r="R851" s="223"/>
      <c r="S851" s="223"/>
      <c r="T851" s="223"/>
      <c r="U851" s="223"/>
      <c r="V851" s="223"/>
      <c r="W851" s="223"/>
      <c r="X851" s="223"/>
      <c r="Y851" s="223"/>
      <c r="Z851" s="223"/>
    </row>
    <row r="852" spans="1:26" ht="12" customHeight="1" x14ac:dyDescent="0.35">
      <c r="A852" s="223"/>
      <c r="B852" s="223"/>
      <c r="C852" s="223"/>
      <c r="D852" s="223"/>
      <c r="E852" s="223"/>
      <c r="F852" s="223"/>
      <c r="G852" s="223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  <c r="S852" s="223"/>
      <c r="T852" s="223"/>
      <c r="U852" s="223"/>
      <c r="V852" s="223"/>
      <c r="W852" s="223"/>
      <c r="X852" s="223"/>
      <c r="Y852" s="223"/>
      <c r="Z852" s="223"/>
    </row>
    <row r="853" spans="1:26" ht="12" customHeight="1" x14ac:dyDescent="0.35">
      <c r="A853" s="223"/>
      <c r="B853" s="223"/>
      <c r="C853" s="223"/>
      <c r="D853" s="223"/>
      <c r="E853" s="223"/>
      <c r="F853" s="223"/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  <c r="S853" s="223"/>
      <c r="T853" s="223"/>
      <c r="U853" s="223"/>
      <c r="V853" s="223"/>
      <c r="W853" s="223"/>
      <c r="X853" s="223"/>
      <c r="Y853" s="223"/>
      <c r="Z853" s="223"/>
    </row>
    <row r="854" spans="1:26" ht="12" customHeight="1" x14ac:dyDescent="0.35">
      <c r="A854" s="223"/>
      <c r="B854" s="223"/>
      <c r="C854" s="223"/>
      <c r="D854" s="223"/>
      <c r="E854" s="223"/>
      <c r="F854" s="223"/>
      <c r="G854" s="223"/>
      <c r="H854" s="223"/>
      <c r="I854" s="223"/>
      <c r="J854" s="223"/>
      <c r="K854" s="223"/>
      <c r="L854" s="223"/>
      <c r="M854" s="223"/>
      <c r="N854" s="223"/>
      <c r="O854" s="223"/>
      <c r="P854" s="223"/>
      <c r="Q854" s="223"/>
      <c r="R854" s="223"/>
      <c r="S854" s="223"/>
      <c r="T854" s="223"/>
      <c r="U854" s="223"/>
      <c r="V854" s="223"/>
      <c r="W854" s="223"/>
      <c r="X854" s="223"/>
      <c r="Y854" s="223"/>
      <c r="Z854" s="223"/>
    </row>
    <row r="855" spans="1:26" ht="12" customHeight="1" x14ac:dyDescent="0.35">
      <c r="A855" s="223"/>
      <c r="B855" s="223"/>
      <c r="C855" s="223"/>
      <c r="D855" s="223"/>
      <c r="E855" s="223"/>
      <c r="F855" s="223"/>
      <c r="G855" s="223"/>
      <c r="H855" s="223"/>
      <c r="I855" s="223"/>
      <c r="J855" s="223"/>
      <c r="K855" s="223"/>
      <c r="L855" s="223"/>
      <c r="M855" s="223"/>
      <c r="N855" s="223"/>
      <c r="O855" s="223"/>
      <c r="P855" s="223"/>
      <c r="Q855" s="223"/>
      <c r="R855" s="223"/>
      <c r="S855" s="223"/>
      <c r="T855" s="223"/>
      <c r="U855" s="223"/>
      <c r="V855" s="223"/>
      <c r="W855" s="223"/>
      <c r="X855" s="223"/>
      <c r="Y855" s="223"/>
      <c r="Z855" s="223"/>
    </row>
    <row r="856" spans="1:26" ht="12" customHeight="1" x14ac:dyDescent="0.35">
      <c r="A856" s="223"/>
      <c r="B856" s="223"/>
      <c r="C856" s="223"/>
      <c r="D856" s="223"/>
      <c r="E856" s="223"/>
      <c r="F856" s="223"/>
      <c r="G856" s="223"/>
      <c r="H856" s="223"/>
      <c r="I856" s="223"/>
      <c r="J856" s="223"/>
      <c r="K856" s="223"/>
      <c r="L856" s="223"/>
      <c r="M856" s="223"/>
      <c r="N856" s="223"/>
      <c r="O856" s="223"/>
      <c r="P856" s="223"/>
      <c r="Q856" s="223"/>
      <c r="R856" s="223"/>
      <c r="S856" s="223"/>
      <c r="T856" s="223"/>
      <c r="U856" s="223"/>
      <c r="V856" s="223"/>
      <c r="W856" s="223"/>
      <c r="X856" s="223"/>
      <c r="Y856" s="223"/>
      <c r="Z856" s="223"/>
    </row>
    <row r="857" spans="1:26" ht="12" customHeight="1" x14ac:dyDescent="0.35">
      <c r="A857" s="223"/>
      <c r="B857" s="223"/>
      <c r="C857" s="223"/>
      <c r="D857" s="223"/>
      <c r="E857" s="223"/>
      <c r="F857" s="223"/>
      <c r="G857" s="223"/>
      <c r="H857" s="223"/>
      <c r="I857" s="223"/>
      <c r="J857" s="223"/>
      <c r="K857" s="223"/>
      <c r="L857" s="223"/>
      <c r="M857" s="223"/>
      <c r="N857" s="223"/>
      <c r="O857" s="223"/>
      <c r="P857" s="223"/>
      <c r="Q857" s="223"/>
      <c r="R857" s="223"/>
      <c r="S857" s="223"/>
      <c r="T857" s="223"/>
      <c r="U857" s="223"/>
      <c r="V857" s="223"/>
      <c r="W857" s="223"/>
      <c r="X857" s="223"/>
      <c r="Y857" s="223"/>
      <c r="Z857" s="223"/>
    </row>
    <row r="858" spans="1:26" ht="12" customHeight="1" x14ac:dyDescent="0.35">
      <c r="A858" s="223"/>
      <c r="B858" s="223"/>
      <c r="C858" s="223"/>
      <c r="D858" s="223"/>
      <c r="E858" s="223"/>
      <c r="F858" s="223"/>
      <c r="G858" s="223"/>
      <c r="H858" s="223"/>
      <c r="I858" s="223"/>
      <c r="J858" s="223"/>
      <c r="K858" s="223"/>
      <c r="L858" s="223"/>
      <c r="M858" s="223"/>
      <c r="N858" s="223"/>
      <c r="O858" s="223"/>
      <c r="P858" s="223"/>
      <c r="Q858" s="223"/>
      <c r="R858" s="223"/>
      <c r="S858" s="223"/>
      <c r="T858" s="223"/>
      <c r="U858" s="223"/>
      <c r="V858" s="223"/>
      <c r="W858" s="223"/>
      <c r="X858" s="223"/>
      <c r="Y858" s="223"/>
      <c r="Z858" s="223"/>
    </row>
    <row r="859" spans="1:26" ht="12" customHeight="1" x14ac:dyDescent="0.35">
      <c r="A859" s="223"/>
      <c r="B859" s="223"/>
      <c r="C859" s="223"/>
      <c r="D859" s="223"/>
      <c r="E859" s="223"/>
      <c r="F859" s="223"/>
      <c r="G859" s="223"/>
      <c r="H859" s="223"/>
      <c r="I859" s="223"/>
      <c r="J859" s="223"/>
      <c r="K859" s="223"/>
      <c r="L859" s="223"/>
      <c r="M859" s="223"/>
      <c r="N859" s="223"/>
      <c r="O859" s="223"/>
      <c r="P859" s="223"/>
      <c r="Q859" s="223"/>
      <c r="R859" s="223"/>
      <c r="S859" s="223"/>
      <c r="T859" s="223"/>
      <c r="U859" s="223"/>
      <c r="V859" s="223"/>
      <c r="W859" s="223"/>
      <c r="X859" s="223"/>
      <c r="Y859" s="223"/>
      <c r="Z859" s="223"/>
    </row>
    <row r="860" spans="1:26" ht="12" customHeight="1" x14ac:dyDescent="0.35">
      <c r="A860" s="223"/>
      <c r="B860" s="223"/>
      <c r="C860" s="223"/>
      <c r="D860" s="223"/>
      <c r="E860" s="223"/>
      <c r="F860" s="223"/>
      <c r="G860" s="223"/>
      <c r="H860" s="223"/>
      <c r="I860" s="223"/>
      <c r="J860" s="223"/>
      <c r="K860" s="223"/>
      <c r="L860" s="223"/>
      <c r="M860" s="223"/>
      <c r="N860" s="223"/>
      <c r="O860" s="223"/>
      <c r="P860" s="223"/>
      <c r="Q860" s="223"/>
      <c r="R860" s="223"/>
      <c r="S860" s="223"/>
      <c r="T860" s="223"/>
      <c r="U860" s="223"/>
      <c r="V860" s="223"/>
      <c r="W860" s="223"/>
      <c r="X860" s="223"/>
      <c r="Y860" s="223"/>
      <c r="Z860" s="223"/>
    </row>
    <row r="861" spans="1:26" ht="12" customHeight="1" x14ac:dyDescent="0.35">
      <c r="A861" s="223"/>
      <c r="B861" s="223"/>
      <c r="C861" s="223"/>
      <c r="D861" s="223"/>
      <c r="E861" s="223"/>
      <c r="F861" s="223"/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  <c r="S861" s="223"/>
      <c r="T861" s="223"/>
      <c r="U861" s="223"/>
      <c r="V861" s="223"/>
      <c r="W861" s="223"/>
      <c r="X861" s="223"/>
      <c r="Y861" s="223"/>
      <c r="Z861" s="223"/>
    </row>
    <row r="862" spans="1:26" ht="12" customHeight="1" x14ac:dyDescent="0.35">
      <c r="A862" s="223"/>
      <c r="B862" s="223"/>
      <c r="C862" s="223"/>
      <c r="D862" s="223"/>
      <c r="E862" s="223"/>
      <c r="F862" s="223"/>
      <c r="G862" s="223"/>
      <c r="H862" s="223"/>
      <c r="I862" s="223"/>
      <c r="J862" s="223"/>
      <c r="K862" s="223"/>
      <c r="L862" s="223"/>
      <c r="M862" s="223"/>
      <c r="N862" s="223"/>
      <c r="O862" s="223"/>
      <c r="P862" s="223"/>
      <c r="Q862" s="223"/>
      <c r="R862" s="223"/>
      <c r="S862" s="223"/>
      <c r="T862" s="223"/>
      <c r="U862" s="223"/>
      <c r="V862" s="223"/>
      <c r="W862" s="223"/>
      <c r="X862" s="223"/>
      <c r="Y862" s="223"/>
      <c r="Z862" s="223"/>
    </row>
    <row r="863" spans="1:26" ht="12" customHeight="1" x14ac:dyDescent="0.35">
      <c r="A863" s="223"/>
      <c r="B863" s="223"/>
      <c r="C863" s="223"/>
      <c r="D863" s="223"/>
      <c r="E863" s="223"/>
      <c r="F863" s="223"/>
      <c r="G863" s="223"/>
      <c r="H863" s="223"/>
      <c r="I863" s="223"/>
      <c r="J863" s="223"/>
      <c r="K863" s="223"/>
      <c r="L863" s="223"/>
      <c r="M863" s="223"/>
      <c r="N863" s="223"/>
      <c r="O863" s="223"/>
      <c r="P863" s="223"/>
      <c r="Q863" s="223"/>
      <c r="R863" s="223"/>
      <c r="S863" s="223"/>
      <c r="T863" s="223"/>
      <c r="U863" s="223"/>
      <c r="V863" s="223"/>
      <c r="W863" s="223"/>
      <c r="X863" s="223"/>
      <c r="Y863" s="223"/>
      <c r="Z863" s="223"/>
    </row>
    <row r="864" spans="1:26" ht="12" customHeight="1" x14ac:dyDescent="0.35">
      <c r="A864" s="223"/>
      <c r="B864" s="223"/>
      <c r="C864" s="223"/>
      <c r="D864" s="223"/>
      <c r="E864" s="223"/>
      <c r="F864" s="223"/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  <c r="S864" s="223"/>
      <c r="T864" s="223"/>
      <c r="U864" s="223"/>
      <c r="V864" s="223"/>
      <c r="W864" s="223"/>
      <c r="X864" s="223"/>
      <c r="Y864" s="223"/>
      <c r="Z864" s="223"/>
    </row>
    <row r="865" spans="1:26" ht="12" customHeight="1" x14ac:dyDescent="0.35">
      <c r="A865" s="223"/>
      <c r="B865" s="223"/>
      <c r="C865" s="223"/>
      <c r="D865" s="223"/>
      <c r="E865" s="223"/>
      <c r="F865" s="223"/>
      <c r="G865" s="223"/>
      <c r="H865" s="223"/>
      <c r="I865" s="223"/>
      <c r="J865" s="223"/>
      <c r="K865" s="223"/>
      <c r="L865" s="223"/>
      <c r="M865" s="223"/>
      <c r="N865" s="223"/>
      <c r="O865" s="223"/>
      <c r="P865" s="223"/>
      <c r="Q865" s="223"/>
      <c r="R865" s="223"/>
      <c r="S865" s="223"/>
      <c r="T865" s="223"/>
      <c r="U865" s="223"/>
      <c r="V865" s="223"/>
      <c r="W865" s="223"/>
      <c r="X865" s="223"/>
      <c r="Y865" s="223"/>
      <c r="Z865" s="223"/>
    </row>
    <row r="866" spans="1:26" ht="12" customHeight="1" x14ac:dyDescent="0.35">
      <c r="A866" s="223"/>
      <c r="B866" s="223"/>
      <c r="C866" s="223"/>
      <c r="D866" s="223"/>
      <c r="E866" s="223"/>
      <c r="F866" s="223"/>
      <c r="G866" s="223"/>
      <c r="H866" s="223"/>
      <c r="I866" s="223"/>
      <c r="J866" s="223"/>
      <c r="K866" s="223"/>
      <c r="L866" s="223"/>
      <c r="M866" s="223"/>
      <c r="N866" s="223"/>
      <c r="O866" s="223"/>
      <c r="P866" s="223"/>
      <c r="Q866" s="223"/>
      <c r="R866" s="223"/>
      <c r="S866" s="223"/>
      <c r="T866" s="223"/>
      <c r="U866" s="223"/>
      <c r="V866" s="223"/>
      <c r="W866" s="223"/>
      <c r="X866" s="223"/>
      <c r="Y866" s="223"/>
      <c r="Z866" s="223"/>
    </row>
    <row r="867" spans="1:26" ht="12" customHeight="1" x14ac:dyDescent="0.35">
      <c r="A867" s="223"/>
      <c r="B867" s="223"/>
      <c r="C867" s="223"/>
      <c r="D867" s="223"/>
      <c r="E867" s="223"/>
      <c r="F867" s="223"/>
      <c r="G867" s="223"/>
      <c r="H867" s="223"/>
      <c r="I867" s="223"/>
      <c r="J867" s="223"/>
      <c r="K867" s="223"/>
      <c r="L867" s="223"/>
      <c r="M867" s="223"/>
      <c r="N867" s="223"/>
      <c r="O867" s="223"/>
      <c r="P867" s="223"/>
      <c r="Q867" s="223"/>
      <c r="R867" s="223"/>
      <c r="S867" s="223"/>
      <c r="T867" s="223"/>
      <c r="U867" s="223"/>
      <c r="V867" s="223"/>
      <c r="W867" s="223"/>
      <c r="X867" s="223"/>
      <c r="Y867" s="223"/>
      <c r="Z867" s="223"/>
    </row>
    <row r="868" spans="1:26" ht="12" customHeight="1" x14ac:dyDescent="0.35">
      <c r="A868" s="223"/>
      <c r="B868" s="223"/>
      <c r="C868" s="223"/>
      <c r="D868" s="223"/>
      <c r="E868" s="223"/>
      <c r="F868" s="223"/>
      <c r="G868" s="223"/>
      <c r="H868" s="223"/>
      <c r="I868" s="223"/>
      <c r="J868" s="223"/>
      <c r="K868" s="223"/>
      <c r="L868" s="223"/>
      <c r="M868" s="223"/>
      <c r="N868" s="223"/>
      <c r="O868" s="223"/>
      <c r="P868" s="223"/>
      <c r="Q868" s="223"/>
      <c r="R868" s="223"/>
      <c r="S868" s="223"/>
      <c r="T868" s="223"/>
      <c r="U868" s="223"/>
      <c r="V868" s="223"/>
      <c r="W868" s="223"/>
      <c r="X868" s="223"/>
      <c r="Y868" s="223"/>
      <c r="Z868" s="223"/>
    </row>
    <row r="869" spans="1:26" ht="12" customHeight="1" x14ac:dyDescent="0.35">
      <c r="A869" s="223"/>
      <c r="B869" s="223"/>
      <c r="C869" s="223"/>
      <c r="D869" s="223"/>
      <c r="E869" s="223"/>
      <c r="F869" s="223"/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  <c r="S869" s="223"/>
      <c r="T869" s="223"/>
      <c r="U869" s="223"/>
      <c r="V869" s="223"/>
      <c r="W869" s="223"/>
      <c r="X869" s="223"/>
      <c r="Y869" s="223"/>
      <c r="Z869" s="223"/>
    </row>
    <row r="870" spans="1:26" ht="12" customHeight="1" x14ac:dyDescent="0.35">
      <c r="A870" s="223"/>
      <c r="B870" s="223"/>
      <c r="C870" s="223"/>
      <c r="D870" s="223"/>
      <c r="E870" s="223"/>
      <c r="F870" s="223"/>
      <c r="G870" s="223"/>
      <c r="H870" s="223"/>
      <c r="I870" s="223"/>
      <c r="J870" s="223"/>
      <c r="K870" s="223"/>
      <c r="L870" s="223"/>
      <c r="M870" s="223"/>
      <c r="N870" s="223"/>
      <c r="O870" s="223"/>
      <c r="P870" s="223"/>
      <c r="Q870" s="223"/>
      <c r="R870" s="223"/>
      <c r="S870" s="223"/>
      <c r="T870" s="223"/>
      <c r="U870" s="223"/>
      <c r="V870" s="223"/>
      <c r="W870" s="223"/>
      <c r="X870" s="223"/>
      <c r="Y870" s="223"/>
      <c r="Z870" s="223"/>
    </row>
    <row r="871" spans="1:26" ht="12" customHeight="1" x14ac:dyDescent="0.35">
      <c r="A871" s="223"/>
      <c r="B871" s="223"/>
      <c r="C871" s="223"/>
      <c r="D871" s="223"/>
      <c r="E871" s="223"/>
      <c r="F871" s="223"/>
      <c r="G871" s="223"/>
      <c r="H871" s="223"/>
      <c r="I871" s="223"/>
      <c r="J871" s="223"/>
      <c r="K871" s="223"/>
      <c r="L871" s="223"/>
      <c r="M871" s="223"/>
      <c r="N871" s="223"/>
      <c r="O871" s="223"/>
      <c r="P871" s="223"/>
      <c r="Q871" s="223"/>
      <c r="R871" s="223"/>
      <c r="S871" s="223"/>
      <c r="T871" s="223"/>
      <c r="U871" s="223"/>
      <c r="V871" s="223"/>
      <c r="W871" s="223"/>
      <c r="X871" s="223"/>
      <c r="Y871" s="223"/>
      <c r="Z871" s="223"/>
    </row>
    <row r="872" spans="1:26" ht="12" customHeight="1" x14ac:dyDescent="0.35">
      <c r="A872" s="223"/>
      <c r="B872" s="223"/>
      <c r="C872" s="223"/>
      <c r="D872" s="223"/>
      <c r="E872" s="223"/>
      <c r="F872" s="223"/>
      <c r="G872" s="223"/>
      <c r="H872" s="223"/>
      <c r="I872" s="223"/>
      <c r="J872" s="223"/>
      <c r="K872" s="223"/>
      <c r="L872" s="223"/>
      <c r="M872" s="223"/>
      <c r="N872" s="223"/>
      <c r="O872" s="223"/>
      <c r="P872" s="223"/>
      <c r="Q872" s="223"/>
      <c r="R872" s="223"/>
      <c r="S872" s="223"/>
      <c r="T872" s="223"/>
      <c r="U872" s="223"/>
      <c r="V872" s="223"/>
      <c r="W872" s="223"/>
      <c r="X872" s="223"/>
      <c r="Y872" s="223"/>
      <c r="Z872" s="223"/>
    </row>
    <row r="873" spans="1:26" ht="12" customHeight="1" x14ac:dyDescent="0.35">
      <c r="A873" s="223"/>
      <c r="B873" s="223"/>
      <c r="C873" s="223"/>
      <c r="D873" s="223"/>
      <c r="E873" s="223"/>
      <c r="F873" s="223"/>
      <c r="G873" s="223"/>
      <c r="H873" s="223"/>
      <c r="I873" s="223"/>
      <c r="J873" s="223"/>
      <c r="K873" s="223"/>
      <c r="L873" s="223"/>
      <c r="M873" s="223"/>
      <c r="N873" s="223"/>
      <c r="O873" s="223"/>
      <c r="P873" s="223"/>
      <c r="Q873" s="223"/>
      <c r="R873" s="223"/>
      <c r="S873" s="223"/>
      <c r="T873" s="223"/>
      <c r="U873" s="223"/>
      <c r="V873" s="223"/>
      <c r="W873" s="223"/>
      <c r="X873" s="223"/>
      <c r="Y873" s="223"/>
      <c r="Z873" s="223"/>
    </row>
    <row r="874" spans="1:26" ht="12" customHeight="1" x14ac:dyDescent="0.35">
      <c r="A874" s="223"/>
      <c r="B874" s="223"/>
      <c r="C874" s="223"/>
      <c r="D874" s="223"/>
      <c r="E874" s="223"/>
      <c r="F874" s="223"/>
      <c r="G874" s="223"/>
      <c r="H874" s="223"/>
      <c r="I874" s="223"/>
      <c r="J874" s="223"/>
      <c r="K874" s="223"/>
      <c r="L874" s="223"/>
      <c r="M874" s="223"/>
      <c r="N874" s="223"/>
      <c r="O874" s="223"/>
      <c r="P874" s="223"/>
      <c r="Q874" s="223"/>
      <c r="R874" s="223"/>
      <c r="S874" s="223"/>
      <c r="T874" s="223"/>
      <c r="U874" s="223"/>
      <c r="V874" s="223"/>
      <c r="W874" s="223"/>
      <c r="X874" s="223"/>
      <c r="Y874" s="223"/>
      <c r="Z874" s="223"/>
    </row>
    <row r="875" spans="1:26" ht="12" customHeight="1" x14ac:dyDescent="0.35">
      <c r="A875" s="223"/>
      <c r="B875" s="223"/>
      <c r="C875" s="223"/>
      <c r="D875" s="223"/>
      <c r="E875" s="223"/>
      <c r="F875" s="223"/>
      <c r="G875" s="223"/>
      <c r="H875" s="223"/>
      <c r="I875" s="223"/>
      <c r="J875" s="223"/>
      <c r="K875" s="223"/>
      <c r="L875" s="223"/>
      <c r="M875" s="223"/>
      <c r="N875" s="223"/>
      <c r="O875" s="223"/>
      <c r="P875" s="223"/>
      <c r="Q875" s="223"/>
      <c r="R875" s="223"/>
      <c r="S875" s="223"/>
      <c r="T875" s="223"/>
      <c r="U875" s="223"/>
      <c r="V875" s="223"/>
      <c r="W875" s="223"/>
      <c r="X875" s="223"/>
      <c r="Y875" s="223"/>
      <c r="Z875" s="223"/>
    </row>
    <row r="876" spans="1:26" ht="12" customHeight="1" x14ac:dyDescent="0.35">
      <c r="A876" s="223"/>
      <c r="B876" s="223"/>
      <c r="C876" s="223"/>
      <c r="D876" s="223"/>
      <c r="E876" s="223"/>
      <c r="F876" s="223"/>
      <c r="G876" s="223"/>
      <c r="H876" s="223"/>
      <c r="I876" s="223"/>
      <c r="J876" s="223"/>
      <c r="K876" s="223"/>
      <c r="L876" s="223"/>
      <c r="M876" s="223"/>
      <c r="N876" s="223"/>
      <c r="O876" s="223"/>
      <c r="P876" s="223"/>
      <c r="Q876" s="223"/>
      <c r="R876" s="223"/>
      <c r="S876" s="223"/>
      <c r="T876" s="223"/>
      <c r="U876" s="223"/>
      <c r="V876" s="223"/>
      <c r="W876" s="223"/>
      <c r="X876" s="223"/>
      <c r="Y876" s="223"/>
      <c r="Z876" s="223"/>
    </row>
    <row r="877" spans="1:26" ht="12" customHeight="1" x14ac:dyDescent="0.35">
      <c r="A877" s="223"/>
      <c r="B877" s="223"/>
      <c r="C877" s="223"/>
      <c r="D877" s="223"/>
      <c r="E877" s="223"/>
      <c r="F877" s="223"/>
      <c r="G877" s="223"/>
      <c r="H877" s="223"/>
      <c r="I877" s="223"/>
      <c r="J877" s="223"/>
      <c r="K877" s="223"/>
      <c r="L877" s="223"/>
      <c r="M877" s="223"/>
      <c r="N877" s="223"/>
      <c r="O877" s="223"/>
      <c r="P877" s="223"/>
      <c r="Q877" s="223"/>
      <c r="R877" s="223"/>
      <c r="S877" s="223"/>
      <c r="T877" s="223"/>
      <c r="U877" s="223"/>
      <c r="V877" s="223"/>
      <c r="W877" s="223"/>
      <c r="X877" s="223"/>
      <c r="Y877" s="223"/>
      <c r="Z877" s="223"/>
    </row>
    <row r="878" spans="1:26" ht="12" customHeight="1" x14ac:dyDescent="0.35">
      <c r="A878" s="223"/>
      <c r="B878" s="223"/>
      <c r="C878" s="223"/>
      <c r="D878" s="223"/>
      <c r="E878" s="223"/>
      <c r="F878" s="223"/>
      <c r="G878" s="223"/>
      <c r="H878" s="223"/>
      <c r="I878" s="223"/>
      <c r="J878" s="223"/>
      <c r="K878" s="223"/>
      <c r="L878" s="223"/>
      <c r="M878" s="223"/>
      <c r="N878" s="223"/>
      <c r="O878" s="223"/>
      <c r="P878" s="223"/>
      <c r="Q878" s="223"/>
      <c r="R878" s="223"/>
      <c r="S878" s="223"/>
      <c r="T878" s="223"/>
      <c r="U878" s="223"/>
      <c r="V878" s="223"/>
      <c r="W878" s="223"/>
      <c r="X878" s="223"/>
      <c r="Y878" s="223"/>
      <c r="Z878" s="223"/>
    </row>
    <row r="879" spans="1:26" ht="12" customHeight="1" x14ac:dyDescent="0.35">
      <c r="A879" s="223"/>
      <c r="B879" s="223"/>
      <c r="C879" s="223"/>
      <c r="D879" s="223"/>
      <c r="E879" s="223"/>
      <c r="F879" s="223"/>
      <c r="G879" s="223"/>
      <c r="H879" s="223"/>
      <c r="I879" s="223"/>
      <c r="J879" s="223"/>
      <c r="K879" s="223"/>
      <c r="L879" s="223"/>
      <c r="M879" s="223"/>
      <c r="N879" s="223"/>
      <c r="O879" s="223"/>
      <c r="P879" s="223"/>
      <c r="Q879" s="223"/>
      <c r="R879" s="223"/>
      <c r="S879" s="223"/>
      <c r="T879" s="223"/>
      <c r="U879" s="223"/>
      <c r="V879" s="223"/>
      <c r="W879" s="223"/>
      <c r="X879" s="223"/>
      <c r="Y879" s="223"/>
      <c r="Z879" s="223"/>
    </row>
    <row r="880" spans="1:26" ht="12" customHeight="1" x14ac:dyDescent="0.35">
      <c r="A880" s="223"/>
      <c r="B880" s="223"/>
      <c r="C880" s="223"/>
      <c r="D880" s="223"/>
      <c r="E880" s="223"/>
      <c r="F880" s="223"/>
      <c r="G880" s="223"/>
      <c r="H880" s="223"/>
      <c r="I880" s="223"/>
      <c r="J880" s="223"/>
      <c r="K880" s="223"/>
      <c r="L880" s="223"/>
      <c r="M880" s="223"/>
      <c r="N880" s="223"/>
      <c r="O880" s="223"/>
      <c r="P880" s="223"/>
      <c r="Q880" s="223"/>
      <c r="R880" s="223"/>
      <c r="S880" s="223"/>
      <c r="T880" s="223"/>
      <c r="U880" s="223"/>
      <c r="V880" s="223"/>
      <c r="W880" s="223"/>
      <c r="X880" s="223"/>
      <c r="Y880" s="223"/>
      <c r="Z880" s="223"/>
    </row>
    <row r="881" spans="1:26" ht="12" customHeight="1" x14ac:dyDescent="0.35">
      <c r="A881" s="223"/>
      <c r="B881" s="223"/>
      <c r="C881" s="223"/>
      <c r="D881" s="223"/>
      <c r="E881" s="223"/>
      <c r="F881" s="223"/>
      <c r="G881" s="223"/>
      <c r="H881" s="223"/>
      <c r="I881" s="223"/>
      <c r="J881" s="223"/>
      <c r="K881" s="223"/>
      <c r="L881" s="223"/>
      <c r="M881" s="223"/>
      <c r="N881" s="223"/>
      <c r="O881" s="223"/>
      <c r="P881" s="223"/>
      <c r="Q881" s="223"/>
      <c r="R881" s="223"/>
      <c r="S881" s="223"/>
      <c r="T881" s="223"/>
      <c r="U881" s="223"/>
      <c r="V881" s="223"/>
      <c r="W881" s="223"/>
      <c r="X881" s="223"/>
      <c r="Y881" s="223"/>
      <c r="Z881" s="223"/>
    </row>
    <row r="882" spans="1:26" ht="12" customHeight="1" x14ac:dyDescent="0.35">
      <c r="A882" s="223"/>
      <c r="B882" s="223"/>
      <c r="C882" s="223"/>
      <c r="D882" s="223"/>
      <c r="E882" s="223"/>
      <c r="F882" s="223"/>
      <c r="G882" s="223"/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  <c r="S882" s="223"/>
      <c r="T882" s="223"/>
      <c r="U882" s="223"/>
      <c r="V882" s="223"/>
      <c r="W882" s="223"/>
      <c r="X882" s="223"/>
      <c r="Y882" s="223"/>
      <c r="Z882" s="223"/>
    </row>
    <row r="883" spans="1:26" ht="12" customHeight="1" x14ac:dyDescent="0.35">
      <c r="A883" s="223"/>
      <c r="B883" s="223"/>
      <c r="C883" s="223"/>
      <c r="D883" s="223"/>
      <c r="E883" s="223"/>
      <c r="F883" s="223"/>
      <c r="G883" s="223"/>
      <c r="H883" s="223"/>
      <c r="I883" s="223"/>
      <c r="J883" s="223"/>
      <c r="K883" s="223"/>
      <c r="L883" s="223"/>
      <c r="M883" s="223"/>
      <c r="N883" s="223"/>
      <c r="O883" s="223"/>
      <c r="P883" s="223"/>
      <c r="Q883" s="223"/>
      <c r="R883" s="223"/>
      <c r="S883" s="223"/>
      <c r="T883" s="223"/>
      <c r="U883" s="223"/>
      <c r="V883" s="223"/>
      <c r="W883" s="223"/>
      <c r="X883" s="223"/>
      <c r="Y883" s="223"/>
      <c r="Z883" s="223"/>
    </row>
    <row r="884" spans="1:26" ht="12" customHeight="1" x14ac:dyDescent="0.35">
      <c r="A884" s="223"/>
      <c r="B884" s="223"/>
      <c r="C884" s="223"/>
      <c r="D884" s="223"/>
      <c r="E884" s="223"/>
      <c r="F884" s="223"/>
      <c r="G884" s="223"/>
      <c r="H884" s="223"/>
      <c r="I884" s="223"/>
      <c r="J884" s="223"/>
      <c r="K884" s="223"/>
      <c r="L884" s="223"/>
      <c r="M884" s="223"/>
      <c r="N884" s="223"/>
      <c r="O884" s="223"/>
      <c r="P884" s="223"/>
      <c r="Q884" s="223"/>
      <c r="R884" s="223"/>
      <c r="S884" s="223"/>
      <c r="T884" s="223"/>
      <c r="U884" s="223"/>
      <c r="V884" s="223"/>
      <c r="W884" s="223"/>
      <c r="X884" s="223"/>
      <c r="Y884" s="223"/>
      <c r="Z884" s="223"/>
    </row>
    <row r="885" spans="1:26" ht="12" customHeight="1" x14ac:dyDescent="0.35">
      <c r="A885" s="223"/>
      <c r="B885" s="223"/>
      <c r="C885" s="223"/>
      <c r="D885" s="223"/>
      <c r="E885" s="223"/>
      <c r="F885" s="223"/>
      <c r="G885" s="223"/>
      <c r="H885" s="223"/>
      <c r="I885" s="223"/>
      <c r="J885" s="223"/>
      <c r="K885" s="223"/>
      <c r="L885" s="223"/>
      <c r="M885" s="223"/>
      <c r="N885" s="223"/>
      <c r="O885" s="223"/>
      <c r="P885" s="223"/>
      <c r="Q885" s="223"/>
      <c r="R885" s="223"/>
      <c r="S885" s="223"/>
      <c r="T885" s="223"/>
      <c r="U885" s="223"/>
      <c r="V885" s="223"/>
      <c r="W885" s="223"/>
      <c r="X885" s="223"/>
      <c r="Y885" s="223"/>
      <c r="Z885" s="223"/>
    </row>
    <row r="886" spans="1:26" ht="12" customHeight="1" x14ac:dyDescent="0.35">
      <c r="A886" s="223"/>
      <c r="B886" s="223"/>
      <c r="C886" s="223"/>
      <c r="D886" s="223"/>
      <c r="E886" s="223"/>
      <c r="F886" s="223"/>
      <c r="G886" s="223"/>
      <c r="H886" s="223"/>
      <c r="I886" s="223"/>
      <c r="J886" s="223"/>
      <c r="K886" s="223"/>
      <c r="L886" s="223"/>
      <c r="M886" s="223"/>
      <c r="N886" s="223"/>
      <c r="O886" s="223"/>
      <c r="P886" s="223"/>
      <c r="Q886" s="223"/>
      <c r="R886" s="223"/>
      <c r="S886" s="223"/>
      <c r="T886" s="223"/>
      <c r="U886" s="223"/>
      <c r="V886" s="223"/>
      <c r="W886" s="223"/>
      <c r="X886" s="223"/>
      <c r="Y886" s="223"/>
      <c r="Z886" s="223"/>
    </row>
    <row r="887" spans="1:26" ht="12" customHeight="1" x14ac:dyDescent="0.35">
      <c r="A887" s="223"/>
      <c r="B887" s="223"/>
      <c r="C887" s="223"/>
      <c r="D887" s="223"/>
      <c r="E887" s="223"/>
      <c r="F887" s="223"/>
      <c r="G887" s="223"/>
      <c r="H887" s="223"/>
      <c r="I887" s="223"/>
      <c r="J887" s="223"/>
      <c r="K887" s="223"/>
      <c r="L887" s="223"/>
      <c r="M887" s="223"/>
      <c r="N887" s="223"/>
      <c r="O887" s="223"/>
      <c r="P887" s="223"/>
      <c r="Q887" s="223"/>
      <c r="R887" s="223"/>
      <c r="S887" s="223"/>
      <c r="T887" s="223"/>
      <c r="U887" s="223"/>
      <c r="V887" s="223"/>
      <c r="W887" s="223"/>
      <c r="X887" s="223"/>
      <c r="Y887" s="223"/>
      <c r="Z887" s="223"/>
    </row>
    <row r="888" spans="1:26" ht="12" customHeight="1" x14ac:dyDescent="0.35">
      <c r="A888" s="223"/>
      <c r="B888" s="223"/>
      <c r="C888" s="223"/>
      <c r="D888" s="223"/>
      <c r="E888" s="223"/>
      <c r="F888" s="223"/>
      <c r="G888" s="223"/>
      <c r="H888" s="223"/>
      <c r="I888" s="223"/>
      <c r="J888" s="223"/>
      <c r="K888" s="223"/>
      <c r="L888" s="223"/>
      <c r="M888" s="223"/>
      <c r="N888" s="223"/>
      <c r="O888" s="223"/>
      <c r="P888" s="223"/>
      <c r="Q888" s="223"/>
      <c r="R888" s="223"/>
      <c r="S888" s="223"/>
      <c r="T888" s="223"/>
      <c r="U888" s="223"/>
      <c r="V888" s="223"/>
      <c r="W888" s="223"/>
      <c r="X888" s="223"/>
      <c r="Y888" s="223"/>
      <c r="Z888" s="223"/>
    </row>
    <row r="889" spans="1:26" ht="12" customHeight="1" x14ac:dyDescent="0.35">
      <c r="A889" s="223"/>
      <c r="B889" s="223"/>
      <c r="C889" s="223"/>
      <c r="D889" s="223"/>
      <c r="E889" s="223"/>
      <c r="F889" s="223"/>
      <c r="G889" s="223"/>
      <c r="H889" s="223"/>
      <c r="I889" s="223"/>
      <c r="J889" s="223"/>
      <c r="K889" s="223"/>
      <c r="L889" s="223"/>
      <c r="M889" s="223"/>
      <c r="N889" s="223"/>
      <c r="O889" s="223"/>
      <c r="P889" s="223"/>
      <c r="Q889" s="223"/>
      <c r="R889" s="223"/>
      <c r="S889" s="223"/>
      <c r="T889" s="223"/>
      <c r="U889" s="223"/>
      <c r="V889" s="223"/>
      <c r="W889" s="223"/>
      <c r="X889" s="223"/>
      <c r="Y889" s="223"/>
      <c r="Z889" s="223"/>
    </row>
    <row r="890" spans="1:26" ht="12" customHeight="1" x14ac:dyDescent="0.35">
      <c r="A890" s="223"/>
      <c r="B890" s="223"/>
      <c r="C890" s="223"/>
      <c r="D890" s="223"/>
      <c r="E890" s="223"/>
      <c r="F890" s="223"/>
      <c r="G890" s="223"/>
      <c r="H890" s="223"/>
      <c r="I890" s="223"/>
      <c r="J890" s="223"/>
      <c r="K890" s="223"/>
      <c r="L890" s="223"/>
      <c r="M890" s="223"/>
      <c r="N890" s="223"/>
      <c r="O890" s="223"/>
      <c r="P890" s="223"/>
      <c r="Q890" s="223"/>
      <c r="R890" s="223"/>
      <c r="S890" s="223"/>
      <c r="T890" s="223"/>
      <c r="U890" s="223"/>
      <c r="V890" s="223"/>
      <c r="W890" s="223"/>
      <c r="X890" s="223"/>
      <c r="Y890" s="223"/>
      <c r="Z890" s="223"/>
    </row>
    <row r="891" spans="1:26" ht="12" customHeight="1" x14ac:dyDescent="0.35">
      <c r="A891" s="223"/>
      <c r="B891" s="223"/>
      <c r="C891" s="223"/>
      <c r="D891" s="223"/>
      <c r="E891" s="223"/>
      <c r="F891" s="223"/>
      <c r="G891" s="223"/>
      <c r="H891" s="223"/>
      <c r="I891" s="223"/>
      <c r="J891" s="223"/>
      <c r="K891" s="223"/>
      <c r="L891" s="223"/>
      <c r="M891" s="223"/>
      <c r="N891" s="223"/>
      <c r="O891" s="223"/>
      <c r="P891" s="223"/>
      <c r="Q891" s="223"/>
      <c r="R891" s="223"/>
      <c r="S891" s="223"/>
      <c r="T891" s="223"/>
      <c r="U891" s="223"/>
      <c r="V891" s="223"/>
      <c r="W891" s="223"/>
      <c r="X891" s="223"/>
      <c r="Y891" s="223"/>
      <c r="Z891" s="223"/>
    </row>
    <row r="892" spans="1:26" ht="12" customHeight="1" x14ac:dyDescent="0.35">
      <c r="A892" s="223"/>
      <c r="B892" s="223"/>
      <c r="C892" s="223"/>
      <c r="D892" s="223"/>
      <c r="E892" s="223"/>
      <c r="F892" s="223"/>
      <c r="G892" s="223"/>
      <c r="H892" s="223"/>
      <c r="I892" s="223"/>
      <c r="J892" s="223"/>
      <c r="K892" s="223"/>
      <c r="L892" s="223"/>
      <c r="M892" s="223"/>
      <c r="N892" s="223"/>
      <c r="O892" s="223"/>
      <c r="P892" s="223"/>
      <c r="Q892" s="223"/>
      <c r="R892" s="223"/>
      <c r="S892" s="223"/>
      <c r="T892" s="223"/>
      <c r="U892" s="223"/>
      <c r="V892" s="223"/>
      <c r="W892" s="223"/>
      <c r="X892" s="223"/>
      <c r="Y892" s="223"/>
      <c r="Z892" s="223"/>
    </row>
    <row r="893" spans="1:26" ht="12" customHeight="1" x14ac:dyDescent="0.35">
      <c r="A893" s="223"/>
      <c r="B893" s="223"/>
      <c r="C893" s="223"/>
      <c r="D893" s="223"/>
      <c r="E893" s="223"/>
      <c r="F893" s="223"/>
      <c r="G893" s="223"/>
      <c r="H893" s="223"/>
      <c r="I893" s="223"/>
      <c r="J893" s="223"/>
      <c r="K893" s="223"/>
      <c r="L893" s="223"/>
      <c r="M893" s="223"/>
      <c r="N893" s="223"/>
      <c r="O893" s="223"/>
      <c r="P893" s="223"/>
      <c r="Q893" s="223"/>
      <c r="R893" s="223"/>
      <c r="S893" s="223"/>
      <c r="T893" s="223"/>
      <c r="U893" s="223"/>
      <c r="V893" s="223"/>
      <c r="W893" s="223"/>
      <c r="X893" s="223"/>
      <c r="Y893" s="223"/>
      <c r="Z893" s="223"/>
    </row>
    <row r="894" spans="1:26" ht="12" customHeight="1" x14ac:dyDescent="0.35">
      <c r="A894" s="223"/>
      <c r="B894" s="223"/>
      <c r="C894" s="223"/>
      <c r="D894" s="223"/>
      <c r="E894" s="223"/>
      <c r="F894" s="223"/>
      <c r="G894" s="223"/>
      <c r="H894" s="223"/>
      <c r="I894" s="223"/>
      <c r="J894" s="223"/>
      <c r="K894" s="223"/>
      <c r="L894" s="223"/>
      <c r="M894" s="223"/>
      <c r="N894" s="223"/>
      <c r="O894" s="223"/>
      <c r="P894" s="223"/>
      <c r="Q894" s="223"/>
      <c r="R894" s="223"/>
      <c r="S894" s="223"/>
      <c r="T894" s="223"/>
      <c r="U894" s="223"/>
      <c r="V894" s="223"/>
      <c r="W894" s="223"/>
      <c r="X894" s="223"/>
      <c r="Y894" s="223"/>
      <c r="Z894" s="223"/>
    </row>
    <row r="895" spans="1:26" ht="12" customHeight="1" x14ac:dyDescent="0.35">
      <c r="A895" s="223"/>
      <c r="B895" s="223"/>
      <c r="C895" s="223"/>
      <c r="D895" s="223"/>
      <c r="E895" s="223"/>
      <c r="F895" s="223"/>
      <c r="G895" s="223"/>
      <c r="H895" s="223"/>
      <c r="I895" s="223"/>
      <c r="J895" s="223"/>
      <c r="K895" s="223"/>
      <c r="L895" s="223"/>
      <c r="M895" s="223"/>
      <c r="N895" s="223"/>
      <c r="O895" s="223"/>
      <c r="P895" s="223"/>
      <c r="Q895" s="223"/>
      <c r="R895" s="223"/>
      <c r="S895" s="223"/>
      <c r="T895" s="223"/>
      <c r="U895" s="223"/>
      <c r="V895" s="223"/>
      <c r="W895" s="223"/>
      <c r="X895" s="223"/>
      <c r="Y895" s="223"/>
      <c r="Z895" s="223"/>
    </row>
    <row r="896" spans="1:26" ht="12" customHeight="1" x14ac:dyDescent="0.35">
      <c r="A896" s="223"/>
      <c r="B896" s="223"/>
      <c r="C896" s="223"/>
      <c r="D896" s="223"/>
      <c r="E896" s="223"/>
      <c r="F896" s="223"/>
      <c r="G896" s="223"/>
      <c r="H896" s="223"/>
      <c r="I896" s="223"/>
      <c r="J896" s="223"/>
      <c r="K896" s="223"/>
      <c r="L896" s="223"/>
      <c r="M896" s="223"/>
      <c r="N896" s="223"/>
      <c r="O896" s="223"/>
      <c r="P896" s="223"/>
      <c r="Q896" s="223"/>
      <c r="R896" s="223"/>
      <c r="S896" s="223"/>
      <c r="T896" s="223"/>
      <c r="U896" s="223"/>
      <c r="V896" s="223"/>
      <c r="W896" s="223"/>
      <c r="X896" s="223"/>
      <c r="Y896" s="223"/>
      <c r="Z896" s="223"/>
    </row>
    <row r="897" spans="1:26" ht="12" customHeight="1" x14ac:dyDescent="0.35">
      <c r="A897" s="223"/>
      <c r="B897" s="223"/>
      <c r="C897" s="223"/>
      <c r="D897" s="223"/>
      <c r="E897" s="223"/>
      <c r="F897" s="223"/>
      <c r="G897" s="223"/>
      <c r="H897" s="223"/>
      <c r="I897" s="223"/>
      <c r="J897" s="223"/>
      <c r="K897" s="223"/>
      <c r="L897" s="223"/>
      <c r="M897" s="223"/>
      <c r="N897" s="223"/>
      <c r="O897" s="223"/>
      <c r="P897" s="223"/>
      <c r="Q897" s="223"/>
      <c r="R897" s="223"/>
      <c r="S897" s="223"/>
      <c r="T897" s="223"/>
      <c r="U897" s="223"/>
      <c r="V897" s="223"/>
      <c r="W897" s="223"/>
      <c r="X897" s="223"/>
      <c r="Y897" s="223"/>
      <c r="Z897" s="223"/>
    </row>
    <row r="898" spans="1:26" ht="12" customHeight="1" x14ac:dyDescent="0.35">
      <c r="A898" s="223"/>
      <c r="B898" s="223"/>
      <c r="C898" s="223"/>
      <c r="D898" s="223"/>
      <c r="E898" s="223"/>
      <c r="F898" s="223"/>
      <c r="G898" s="223"/>
      <c r="H898" s="223"/>
      <c r="I898" s="223"/>
      <c r="J898" s="223"/>
      <c r="K898" s="223"/>
      <c r="L898" s="223"/>
      <c r="M898" s="223"/>
      <c r="N898" s="223"/>
      <c r="O898" s="223"/>
      <c r="P898" s="223"/>
      <c r="Q898" s="223"/>
      <c r="R898" s="223"/>
      <c r="S898" s="223"/>
      <c r="T898" s="223"/>
      <c r="U898" s="223"/>
      <c r="V898" s="223"/>
      <c r="W898" s="223"/>
      <c r="X898" s="223"/>
      <c r="Y898" s="223"/>
      <c r="Z898" s="223"/>
    </row>
    <row r="899" spans="1:26" ht="12" customHeight="1" x14ac:dyDescent="0.35">
      <c r="A899" s="223"/>
      <c r="B899" s="223"/>
      <c r="C899" s="223"/>
      <c r="D899" s="223"/>
      <c r="E899" s="223"/>
      <c r="F899" s="223"/>
      <c r="G899" s="223"/>
      <c r="H899" s="223"/>
      <c r="I899" s="223"/>
      <c r="J899" s="223"/>
      <c r="K899" s="223"/>
      <c r="L899" s="223"/>
      <c r="M899" s="223"/>
      <c r="N899" s="223"/>
      <c r="O899" s="223"/>
      <c r="P899" s="223"/>
      <c r="Q899" s="223"/>
      <c r="R899" s="223"/>
      <c r="S899" s="223"/>
      <c r="T899" s="223"/>
      <c r="U899" s="223"/>
      <c r="V899" s="223"/>
      <c r="W899" s="223"/>
      <c r="X899" s="223"/>
      <c r="Y899" s="223"/>
      <c r="Z899" s="223"/>
    </row>
    <row r="900" spans="1:26" ht="12" customHeight="1" x14ac:dyDescent="0.35">
      <c r="A900" s="223"/>
      <c r="B900" s="223"/>
      <c r="C900" s="223"/>
      <c r="D900" s="223"/>
      <c r="E900" s="223"/>
      <c r="F900" s="223"/>
      <c r="G900" s="223"/>
      <c r="H900" s="223"/>
      <c r="I900" s="223"/>
      <c r="J900" s="223"/>
      <c r="K900" s="223"/>
      <c r="L900" s="223"/>
      <c r="M900" s="223"/>
      <c r="N900" s="223"/>
      <c r="O900" s="223"/>
      <c r="P900" s="223"/>
      <c r="Q900" s="223"/>
      <c r="R900" s="223"/>
      <c r="S900" s="223"/>
      <c r="T900" s="223"/>
      <c r="U900" s="223"/>
      <c r="V900" s="223"/>
      <c r="W900" s="223"/>
      <c r="X900" s="223"/>
      <c r="Y900" s="223"/>
      <c r="Z900" s="223"/>
    </row>
    <row r="901" spans="1:26" ht="12" customHeight="1" x14ac:dyDescent="0.35">
      <c r="A901" s="223"/>
      <c r="B901" s="223"/>
      <c r="C901" s="223"/>
      <c r="D901" s="223"/>
      <c r="E901" s="223"/>
      <c r="F901" s="223"/>
      <c r="G901" s="223"/>
      <c r="H901" s="223"/>
      <c r="I901" s="223"/>
      <c r="J901" s="223"/>
      <c r="K901" s="223"/>
      <c r="L901" s="223"/>
      <c r="M901" s="223"/>
      <c r="N901" s="223"/>
      <c r="O901" s="223"/>
      <c r="P901" s="223"/>
      <c r="Q901" s="223"/>
      <c r="R901" s="223"/>
      <c r="S901" s="223"/>
      <c r="T901" s="223"/>
      <c r="U901" s="223"/>
      <c r="V901" s="223"/>
      <c r="W901" s="223"/>
      <c r="X901" s="223"/>
      <c r="Y901" s="223"/>
      <c r="Z901" s="223"/>
    </row>
    <row r="902" spans="1:26" ht="12" customHeight="1" x14ac:dyDescent="0.35">
      <c r="A902" s="223"/>
      <c r="B902" s="223"/>
      <c r="C902" s="223"/>
      <c r="D902" s="223"/>
      <c r="E902" s="223"/>
      <c r="F902" s="223"/>
      <c r="G902" s="223"/>
      <c r="H902" s="223"/>
      <c r="I902" s="223"/>
      <c r="J902" s="223"/>
      <c r="K902" s="223"/>
      <c r="L902" s="223"/>
      <c r="M902" s="223"/>
      <c r="N902" s="223"/>
      <c r="O902" s="223"/>
      <c r="P902" s="223"/>
      <c r="Q902" s="223"/>
      <c r="R902" s="223"/>
      <c r="S902" s="223"/>
      <c r="T902" s="223"/>
      <c r="U902" s="223"/>
      <c r="V902" s="223"/>
      <c r="W902" s="223"/>
      <c r="X902" s="223"/>
      <c r="Y902" s="223"/>
      <c r="Z902" s="223"/>
    </row>
    <row r="903" spans="1:26" ht="12" customHeight="1" x14ac:dyDescent="0.35">
      <c r="A903" s="223"/>
      <c r="B903" s="223"/>
      <c r="C903" s="223"/>
      <c r="D903" s="223"/>
      <c r="E903" s="223"/>
      <c r="F903" s="223"/>
      <c r="G903" s="223"/>
      <c r="H903" s="223"/>
      <c r="I903" s="223"/>
      <c r="J903" s="223"/>
      <c r="K903" s="223"/>
      <c r="L903" s="223"/>
      <c r="M903" s="223"/>
      <c r="N903" s="223"/>
      <c r="O903" s="223"/>
      <c r="P903" s="223"/>
      <c r="Q903" s="223"/>
      <c r="R903" s="223"/>
      <c r="S903" s="223"/>
      <c r="T903" s="223"/>
      <c r="U903" s="223"/>
      <c r="V903" s="223"/>
      <c r="W903" s="223"/>
      <c r="X903" s="223"/>
      <c r="Y903" s="223"/>
      <c r="Z903" s="223"/>
    </row>
    <row r="904" spans="1:26" ht="12" customHeight="1" x14ac:dyDescent="0.35">
      <c r="A904" s="223"/>
      <c r="B904" s="223"/>
      <c r="C904" s="223"/>
      <c r="D904" s="223"/>
      <c r="E904" s="223"/>
      <c r="F904" s="223"/>
      <c r="G904" s="223"/>
      <c r="H904" s="223"/>
      <c r="I904" s="223"/>
      <c r="J904" s="223"/>
      <c r="K904" s="223"/>
      <c r="L904" s="223"/>
      <c r="M904" s="223"/>
      <c r="N904" s="223"/>
      <c r="O904" s="223"/>
      <c r="P904" s="223"/>
      <c r="Q904" s="223"/>
      <c r="R904" s="223"/>
      <c r="S904" s="223"/>
      <c r="T904" s="223"/>
      <c r="U904" s="223"/>
      <c r="V904" s="223"/>
      <c r="W904" s="223"/>
      <c r="X904" s="223"/>
      <c r="Y904" s="223"/>
      <c r="Z904" s="223"/>
    </row>
    <row r="905" spans="1:26" ht="12" customHeight="1" x14ac:dyDescent="0.35">
      <c r="A905" s="223"/>
      <c r="B905" s="223"/>
      <c r="C905" s="223"/>
      <c r="D905" s="223"/>
      <c r="E905" s="223"/>
      <c r="F905" s="223"/>
      <c r="G905" s="223"/>
      <c r="H905" s="223"/>
      <c r="I905" s="223"/>
      <c r="J905" s="223"/>
      <c r="K905" s="223"/>
      <c r="L905" s="223"/>
      <c r="M905" s="223"/>
      <c r="N905" s="223"/>
      <c r="O905" s="223"/>
      <c r="P905" s="223"/>
      <c r="Q905" s="223"/>
      <c r="R905" s="223"/>
      <c r="S905" s="223"/>
      <c r="T905" s="223"/>
      <c r="U905" s="223"/>
      <c r="V905" s="223"/>
      <c r="W905" s="223"/>
      <c r="X905" s="223"/>
      <c r="Y905" s="223"/>
      <c r="Z905" s="223"/>
    </row>
    <row r="906" spans="1:26" ht="12" customHeight="1" x14ac:dyDescent="0.35">
      <c r="A906" s="223"/>
      <c r="B906" s="223"/>
      <c r="C906" s="223"/>
      <c r="D906" s="223"/>
      <c r="E906" s="223"/>
      <c r="F906" s="223"/>
      <c r="G906" s="223"/>
      <c r="H906" s="223"/>
      <c r="I906" s="223"/>
      <c r="J906" s="223"/>
      <c r="K906" s="223"/>
      <c r="L906" s="223"/>
      <c r="M906" s="223"/>
      <c r="N906" s="223"/>
      <c r="O906" s="223"/>
      <c r="P906" s="223"/>
      <c r="Q906" s="223"/>
      <c r="R906" s="223"/>
      <c r="S906" s="223"/>
      <c r="T906" s="223"/>
      <c r="U906" s="223"/>
      <c r="V906" s="223"/>
      <c r="W906" s="223"/>
      <c r="X906" s="223"/>
      <c r="Y906" s="223"/>
      <c r="Z906" s="223"/>
    </row>
    <row r="907" spans="1:26" ht="12" customHeight="1" x14ac:dyDescent="0.35">
      <c r="A907" s="223"/>
      <c r="B907" s="223"/>
      <c r="C907" s="223"/>
      <c r="D907" s="223"/>
      <c r="E907" s="223"/>
      <c r="F907" s="223"/>
      <c r="G907" s="223"/>
      <c r="H907" s="223"/>
      <c r="I907" s="223"/>
      <c r="J907" s="223"/>
      <c r="K907" s="223"/>
      <c r="L907" s="223"/>
      <c r="M907" s="223"/>
      <c r="N907" s="223"/>
      <c r="O907" s="223"/>
      <c r="P907" s="223"/>
      <c r="Q907" s="223"/>
      <c r="R907" s="223"/>
      <c r="S907" s="223"/>
      <c r="T907" s="223"/>
      <c r="U907" s="223"/>
      <c r="V907" s="223"/>
      <c r="W907" s="223"/>
      <c r="X907" s="223"/>
      <c r="Y907" s="223"/>
      <c r="Z907" s="223"/>
    </row>
    <row r="908" spans="1:26" ht="12" customHeight="1" x14ac:dyDescent="0.35">
      <c r="A908" s="223"/>
      <c r="B908" s="223"/>
      <c r="C908" s="223"/>
      <c r="D908" s="223"/>
      <c r="E908" s="223"/>
      <c r="F908" s="223"/>
      <c r="G908" s="223"/>
      <c r="H908" s="223"/>
      <c r="I908" s="223"/>
      <c r="J908" s="223"/>
      <c r="K908" s="223"/>
      <c r="L908" s="223"/>
      <c r="M908" s="223"/>
      <c r="N908" s="223"/>
      <c r="O908" s="223"/>
      <c r="P908" s="223"/>
      <c r="Q908" s="223"/>
      <c r="R908" s="223"/>
      <c r="S908" s="223"/>
      <c r="T908" s="223"/>
      <c r="U908" s="223"/>
      <c r="V908" s="223"/>
      <c r="W908" s="223"/>
      <c r="X908" s="223"/>
      <c r="Y908" s="223"/>
      <c r="Z908" s="223"/>
    </row>
    <row r="909" spans="1:26" ht="12" customHeight="1" x14ac:dyDescent="0.35">
      <c r="A909" s="223"/>
      <c r="B909" s="223"/>
      <c r="C909" s="223"/>
      <c r="D909" s="223"/>
      <c r="E909" s="223"/>
      <c r="F909" s="223"/>
      <c r="G909" s="223"/>
      <c r="H909" s="223"/>
      <c r="I909" s="223"/>
      <c r="J909" s="223"/>
      <c r="K909" s="223"/>
      <c r="L909" s="223"/>
      <c r="M909" s="223"/>
      <c r="N909" s="223"/>
      <c r="O909" s="223"/>
      <c r="P909" s="223"/>
      <c r="Q909" s="223"/>
      <c r="R909" s="223"/>
      <c r="S909" s="223"/>
      <c r="T909" s="223"/>
      <c r="U909" s="223"/>
      <c r="V909" s="223"/>
      <c r="W909" s="223"/>
      <c r="X909" s="223"/>
      <c r="Y909" s="223"/>
      <c r="Z909" s="223"/>
    </row>
    <row r="910" spans="1:26" ht="12" customHeight="1" x14ac:dyDescent="0.35">
      <c r="A910" s="223"/>
      <c r="B910" s="223"/>
      <c r="C910" s="223"/>
      <c r="D910" s="223"/>
      <c r="E910" s="223"/>
      <c r="F910" s="223"/>
      <c r="G910" s="223"/>
      <c r="H910" s="223"/>
      <c r="I910" s="223"/>
      <c r="J910" s="223"/>
      <c r="K910" s="223"/>
      <c r="L910" s="223"/>
      <c r="M910" s="223"/>
      <c r="N910" s="223"/>
      <c r="O910" s="223"/>
      <c r="P910" s="223"/>
      <c r="Q910" s="223"/>
      <c r="R910" s="223"/>
      <c r="S910" s="223"/>
      <c r="T910" s="223"/>
      <c r="U910" s="223"/>
      <c r="V910" s="223"/>
      <c r="W910" s="223"/>
      <c r="X910" s="223"/>
      <c r="Y910" s="223"/>
      <c r="Z910" s="223"/>
    </row>
    <row r="911" spans="1:26" ht="12" customHeight="1" x14ac:dyDescent="0.35">
      <c r="A911" s="223"/>
      <c r="B911" s="223"/>
      <c r="C911" s="223"/>
      <c r="D911" s="223"/>
      <c r="E911" s="223"/>
      <c r="F911" s="223"/>
      <c r="G911" s="223"/>
      <c r="H911" s="223"/>
      <c r="I911" s="223"/>
      <c r="J911" s="223"/>
      <c r="K911" s="223"/>
      <c r="L911" s="223"/>
      <c r="M911" s="223"/>
      <c r="N911" s="223"/>
      <c r="O911" s="223"/>
      <c r="P911" s="223"/>
      <c r="Q911" s="223"/>
      <c r="R911" s="223"/>
      <c r="S911" s="223"/>
      <c r="T911" s="223"/>
      <c r="U911" s="223"/>
      <c r="V911" s="223"/>
      <c r="W911" s="223"/>
      <c r="X911" s="223"/>
      <c r="Y911" s="223"/>
      <c r="Z911" s="223"/>
    </row>
    <row r="912" spans="1:26" ht="12" customHeight="1" x14ac:dyDescent="0.35">
      <c r="A912" s="223"/>
      <c r="B912" s="223"/>
      <c r="C912" s="223"/>
      <c r="D912" s="223"/>
      <c r="E912" s="223"/>
      <c r="F912" s="223"/>
      <c r="G912" s="223"/>
      <c r="H912" s="223"/>
      <c r="I912" s="223"/>
      <c r="J912" s="223"/>
      <c r="K912" s="223"/>
      <c r="L912" s="223"/>
      <c r="M912" s="223"/>
      <c r="N912" s="223"/>
      <c r="O912" s="223"/>
      <c r="P912" s="223"/>
      <c r="Q912" s="223"/>
      <c r="R912" s="223"/>
      <c r="S912" s="223"/>
      <c r="T912" s="223"/>
      <c r="U912" s="223"/>
      <c r="V912" s="223"/>
      <c r="W912" s="223"/>
      <c r="X912" s="223"/>
      <c r="Y912" s="223"/>
      <c r="Z912" s="223"/>
    </row>
    <row r="913" spans="1:26" ht="12" customHeight="1" x14ac:dyDescent="0.35">
      <c r="A913" s="223"/>
      <c r="B913" s="223"/>
      <c r="C913" s="223"/>
      <c r="D913" s="223"/>
      <c r="E913" s="223"/>
      <c r="F913" s="223"/>
      <c r="G913" s="223"/>
      <c r="H913" s="223"/>
      <c r="I913" s="223"/>
      <c r="J913" s="223"/>
      <c r="K913" s="223"/>
      <c r="L913" s="223"/>
      <c r="M913" s="223"/>
      <c r="N913" s="223"/>
      <c r="O913" s="223"/>
      <c r="P913" s="223"/>
      <c r="Q913" s="223"/>
      <c r="R913" s="223"/>
      <c r="S913" s="223"/>
      <c r="T913" s="223"/>
      <c r="U913" s="223"/>
      <c r="V913" s="223"/>
      <c r="W913" s="223"/>
      <c r="X913" s="223"/>
      <c r="Y913" s="223"/>
      <c r="Z913" s="223"/>
    </row>
    <row r="914" spans="1:26" ht="12" customHeight="1" x14ac:dyDescent="0.35">
      <c r="A914" s="223"/>
      <c r="B914" s="223"/>
      <c r="C914" s="223"/>
      <c r="D914" s="223"/>
      <c r="E914" s="223"/>
      <c r="F914" s="223"/>
      <c r="G914" s="223"/>
      <c r="H914" s="223"/>
      <c r="I914" s="223"/>
      <c r="J914" s="223"/>
      <c r="K914" s="223"/>
      <c r="L914" s="223"/>
      <c r="M914" s="223"/>
      <c r="N914" s="223"/>
      <c r="O914" s="223"/>
      <c r="P914" s="223"/>
      <c r="Q914" s="223"/>
      <c r="R914" s="223"/>
      <c r="S914" s="223"/>
      <c r="T914" s="223"/>
      <c r="U914" s="223"/>
      <c r="V914" s="223"/>
      <c r="W914" s="223"/>
      <c r="X914" s="223"/>
      <c r="Y914" s="223"/>
      <c r="Z914" s="223"/>
    </row>
    <row r="915" spans="1:26" ht="12" customHeight="1" x14ac:dyDescent="0.35">
      <c r="A915" s="223"/>
      <c r="B915" s="223"/>
      <c r="C915" s="223"/>
      <c r="D915" s="223"/>
      <c r="E915" s="223"/>
      <c r="F915" s="223"/>
      <c r="G915" s="223"/>
      <c r="H915" s="223"/>
      <c r="I915" s="223"/>
      <c r="J915" s="223"/>
      <c r="K915" s="223"/>
      <c r="L915" s="223"/>
      <c r="M915" s="223"/>
      <c r="N915" s="223"/>
      <c r="O915" s="223"/>
      <c r="P915" s="223"/>
      <c r="Q915" s="223"/>
      <c r="R915" s="223"/>
      <c r="S915" s="223"/>
      <c r="T915" s="223"/>
      <c r="U915" s="223"/>
      <c r="V915" s="223"/>
      <c r="W915" s="223"/>
      <c r="X915" s="223"/>
      <c r="Y915" s="223"/>
      <c r="Z915" s="223"/>
    </row>
    <row r="916" spans="1:26" ht="12" customHeight="1" x14ac:dyDescent="0.35">
      <c r="A916" s="223"/>
      <c r="B916" s="223"/>
      <c r="C916" s="223"/>
      <c r="D916" s="223"/>
      <c r="E916" s="223"/>
      <c r="F916" s="223"/>
      <c r="G916" s="223"/>
      <c r="H916" s="223"/>
      <c r="I916" s="223"/>
      <c r="J916" s="223"/>
      <c r="K916" s="223"/>
      <c r="L916" s="223"/>
      <c r="M916" s="223"/>
      <c r="N916" s="223"/>
      <c r="O916" s="223"/>
      <c r="P916" s="223"/>
      <c r="Q916" s="223"/>
      <c r="R916" s="223"/>
      <c r="S916" s="223"/>
      <c r="T916" s="223"/>
      <c r="U916" s="223"/>
      <c r="V916" s="223"/>
      <c r="W916" s="223"/>
      <c r="X916" s="223"/>
      <c r="Y916" s="223"/>
      <c r="Z916" s="223"/>
    </row>
    <row r="917" spans="1:26" ht="12" customHeight="1" x14ac:dyDescent="0.35">
      <c r="A917" s="223"/>
      <c r="B917" s="223"/>
      <c r="C917" s="223"/>
      <c r="D917" s="223"/>
      <c r="E917" s="223"/>
      <c r="F917" s="223"/>
      <c r="G917" s="223"/>
      <c r="H917" s="223"/>
      <c r="I917" s="223"/>
      <c r="J917" s="223"/>
      <c r="K917" s="223"/>
      <c r="L917" s="223"/>
      <c r="M917" s="223"/>
      <c r="N917" s="223"/>
      <c r="O917" s="223"/>
      <c r="P917" s="223"/>
      <c r="Q917" s="223"/>
      <c r="R917" s="223"/>
      <c r="S917" s="223"/>
      <c r="T917" s="223"/>
      <c r="U917" s="223"/>
      <c r="V917" s="223"/>
      <c r="W917" s="223"/>
      <c r="X917" s="223"/>
      <c r="Y917" s="223"/>
      <c r="Z917" s="223"/>
    </row>
    <row r="918" spans="1:26" ht="12" customHeight="1" x14ac:dyDescent="0.35">
      <c r="A918" s="223"/>
      <c r="B918" s="223"/>
      <c r="C918" s="223"/>
      <c r="D918" s="223"/>
      <c r="E918" s="223"/>
      <c r="F918" s="223"/>
      <c r="G918" s="223"/>
      <c r="H918" s="223"/>
      <c r="I918" s="223"/>
      <c r="J918" s="223"/>
      <c r="K918" s="223"/>
      <c r="L918" s="223"/>
      <c r="M918" s="223"/>
      <c r="N918" s="223"/>
      <c r="O918" s="223"/>
      <c r="P918" s="223"/>
      <c r="Q918" s="223"/>
      <c r="R918" s="223"/>
      <c r="S918" s="223"/>
      <c r="T918" s="223"/>
      <c r="U918" s="223"/>
      <c r="V918" s="223"/>
      <c r="W918" s="223"/>
      <c r="X918" s="223"/>
      <c r="Y918" s="223"/>
      <c r="Z918" s="223"/>
    </row>
    <row r="919" spans="1:26" ht="12" customHeight="1" x14ac:dyDescent="0.35">
      <c r="A919" s="223"/>
      <c r="B919" s="223"/>
      <c r="C919" s="223"/>
      <c r="D919" s="223"/>
      <c r="E919" s="223"/>
      <c r="F919" s="223"/>
      <c r="G919" s="223"/>
      <c r="H919" s="223"/>
      <c r="I919" s="223"/>
      <c r="J919" s="223"/>
      <c r="K919" s="223"/>
      <c r="L919" s="223"/>
      <c r="M919" s="223"/>
      <c r="N919" s="223"/>
      <c r="O919" s="223"/>
      <c r="P919" s="223"/>
      <c r="Q919" s="223"/>
      <c r="R919" s="223"/>
      <c r="S919" s="223"/>
      <c r="T919" s="223"/>
      <c r="U919" s="223"/>
      <c r="V919" s="223"/>
      <c r="W919" s="223"/>
      <c r="X919" s="223"/>
      <c r="Y919" s="223"/>
      <c r="Z919" s="223"/>
    </row>
    <row r="920" spans="1:26" ht="12" customHeight="1" x14ac:dyDescent="0.35">
      <c r="A920" s="223"/>
      <c r="B920" s="223"/>
      <c r="C920" s="223"/>
      <c r="D920" s="223"/>
      <c r="E920" s="223"/>
      <c r="F920" s="223"/>
      <c r="G920" s="223"/>
      <c r="H920" s="223"/>
      <c r="I920" s="223"/>
      <c r="J920" s="223"/>
      <c r="K920" s="223"/>
      <c r="L920" s="223"/>
      <c r="M920" s="223"/>
      <c r="N920" s="223"/>
      <c r="O920" s="223"/>
      <c r="P920" s="223"/>
      <c r="Q920" s="223"/>
      <c r="R920" s="223"/>
      <c r="S920" s="223"/>
      <c r="T920" s="223"/>
      <c r="U920" s="223"/>
      <c r="V920" s="223"/>
      <c r="W920" s="223"/>
      <c r="X920" s="223"/>
      <c r="Y920" s="223"/>
      <c r="Z920" s="223"/>
    </row>
    <row r="921" spans="1:26" ht="12" customHeight="1" x14ac:dyDescent="0.35">
      <c r="A921" s="223"/>
      <c r="B921" s="223"/>
      <c r="C921" s="223"/>
      <c r="D921" s="223"/>
      <c r="E921" s="223"/>
      <c r="F921" s="223"/>
      <c r="G921" s="223"/>
      <c r="H921" s="223"/>
      <c r="I921" s="223"/>
      <c r="J921" s="223"/>
      <c r="K921" s="223"/>
      <c r="L921" s="223"/>
      <c r="M921" s="223"/>
      <c r="N921" s="223"/>
      <c r="O921" s="223"/>
      <c r="P921" s="223"/>
      <c r="Q921" s="223"/>
      <c r="R921" s="223"/>
      <c r="S921" s="223"/>
      <c r="T921" s="223"/>
      <c r="U921" s="223"/>
      <c r="V921" s="223"/>
      <c r="W921" s="223"/>
      <c r="X921" s="223"/>
      <c r="Y921" s="223"/>
      <c r="Z921" s="223"/>
    </row>
    <row r="922" spans="1:26" ht="12" customHeight="1" x14ac:dyDescent="0.35">
      <c r="A922" s="223"/>
      <c r="B922" s="223"/>
      <c r="C922" s="223"/>
      <c r="D922" s="223"/>
      <c r="E922" s="223"/>
      <c r="F922" s="223"/>
      <c r="G922" s="223"/>
      <c r="H922" s="223"/>
      <c r="I922" s="223"/>
      <c r="J922" s="223"/>
      <c r="K922" s="223"/>
      <c r="L922" s="223"/>
      <c r="M922" s="223"/>
      <c r="N922" s="223"/>
      <c r="O922" s="223"/>
      <c r="P922" s="223"/>
      <c r="Q922" s="223"/>
      <c r="R922" s="223"/>
      <c r="S922" s="223"/>
      <c r="T922" s="223"/>
      <c r="U922" s="223"/>
      <c r="V922" s="223"/>
      <c r="W922" s="223"/>
      <c r="X922" s="223"/>
      <c r="Y922" s="223"/>
      <c r="Z922" s="223"/>
    </row>
    <row r="923" spans="1:26" ht="12" customHeight="1" x14ac:dyDescent="0.35">
      <c r="A923" s="223"/>
      <c r="B923" s="223"/>
      <c r="C923" s="223"/>
      <c r="D923" s="223"/>
      <c r="E923" s="223"/>
      <c r="F923" s="223"/>
      <c r="G923" s="223"/>
      <c r="H923" s="223"/>
      <c r="I923" s="223"/>
      <c r="J923" s="223"/>
      <c r="K923" s="223"/>
      <c r="L923" s="223"/>
      <c r="M923" s="223"/>
      <c r="N923" s="223"/>
      <c r="O923" s="223"/>
      <c r="P923" s="223"/>
      <c r="Q923" s="223"/>
      <c r="R923" s="223"/>
      <c r="S923" s="223"/>
      <c r="T923" s="223"/>
      <c r="U923" s="223"/>
      <c r="V923" s="223"/>
      <c r="W923" s="223"/>
      <c r="X923" s="223"/>
      <c r="Y923" s="223"/>
      <c r="Z923" s="223"/>
    </row>
    <row r="924" spans="1:26" ht="12" customHeight="1" x14ac:dyDescent="0.35">
      <c r="A924" s="223"/>
      <c r="B924" s="223"/>
      <c r="C924" s="223"/>
      <c r="D924" s="223"/>
      <c r="E924" s="223"/>
      <c r="F924" s="223"/>
      <c r="G924" s="223"/>
      <c r="H924" s="223"/>
      <c r="I924" s="223"/>
      <c r="J924" s="223"/>
      <c r="K924" s="223"/>
      <c r="L924" s="223"/>
      <c r="M924" s="223"/>
      <c r="N924" s="223"/>
      <c r="O924" s="223"/>
      <c r="P924" s="223"/>
      <c r="Q924" s="223"/>
      <c r="R924" s="223"/>
      <c r="S924" s="223"/>
      <c r="T924" s="223"/>
      <c r="U924" s="223"/>
      <c r="V924" s="223"/>
      <c r="W924" s="223"/>
      <c r="X924" s="223"/>
      <c r="Y924" s="223"/>
      <c r="Z924" s="223"/>
    </row>
    <row r="925" spans="1:26" ht="12" customHeight="1" x14ac:dyDescent="0.35">
      <c r="A925" s="223"/>
      <c r="B925" s="223"/>
      <c r="C925" s="223"/>
      <c r="D925" s="223"/>
      <c r="E925" s="223"/>
      <c r="F925" s="223"/>
      <c r="G925" s="223"/>
      <c r="H925" s="223"/>
      <c r="I925" s="223"/>
      <c r="J925" s="223"/>
      <c r="K925" s="223"/>
      <c r="L925" s="223"/>
      <c r="M925" s="223"/>
      <c r="N925" s="223"/>
      <c r="O925" s="223"/>
      <c r="P925" s="223"/>
      <c r="Q925" s="223"/>
      <c r="R925" s="223"/>
      <c r="S925" s="223"/>
      <c r="T925" s="223"/>
      <c r="U925" s="223"/>
      <c r="V925" s="223"/>
      <c r="W925" s="223"/>
      <c r="X925" s="223"/>
      <c r="Y925" s="223"/>
      <c r="Z925" s="223"/>
    </row>
    <row r="926" spans="1:26" ht="12" customHeight="1" x14ac:dyDescent="0.35">
      <c r="A926" s="223"/>
      <c r="B926" s="223"/>
      <c r="C926" s="223"/>
      <c r="D926" s="223"/>
      <c r="E926" s="223"/>
      <c r="F926" s="223"/>
      <c r="G926" s="223"/>
      <c r="H926" s="223"/>
      <c r="I926" s="223"/>
      <c r="J926" s="223"/>
      <c r="K926" s="223"/>
      <c r="L926" s="223"/>
      <c r="M926" s="223"/>
      <c r="N926" s="223"/>
      <c r="O926" s="223"/>
      <c r="P926" s="223"/>
      <c r="Q926" s="223"/>
      <c r="R926" s="223"/>
      <c r="S926" s="223"/>
      <c r="T926" s="223"/>
      <c r="U926" s="223"/>
      <c r="V926" s="223"/>
      <c r="W926" s="223"/>
      <c r="X926" s="223"/>
      <c r="Y926" s="223"/>
      <c r="Z926" s="223"/>
    </row>
    <row r="927" spans="1:26" ht="12" customHeight="1" x14ac:dyDescent="0.35">
      <c r="A927" s="223"/>
      <c r="B927" s="223"/>
      <c r="C927" s="223"/>
      <c r="D927" s="223"/>
      <c r="E927" s="223"/>
      <c r="F927" s="223"/>
      <c r="G927" s="223"/>
      <c r="H927" s="223"/>
      <c r="I927" s="223"/>
      <c r="J927" s="223"/>
      <c r="K927" s="223"/>
      <c r="L927" s="223"/>
      <c r="M927" s="223"/>
      <c r="N927" s="223"/>
      <c r="O927" s="223"/>
      <c r="P927" s="223"/>
      <c r="Q927" s="223"/>
      <c r="R927" s="223"/>
      <c r="S927" s="223"/>
      <c r="T927" s="223"/>
      <c r="U927" s="223"/>
      <c r="V927" s="223"/>
      <c r="W927" s="223"/>
      <c r="X927" s="223"/>
      <c r="Y927" s="223"/>
      <c r="Z927" s="223"/>
    </row>
    <row r="928" spans="1:26" ht="12" customHeight="1" x14ac:dyDescent="0.35">
      <c r="A928" s="223"/>
      <c r="B928" s="223"/>
      <c r="C928" s="223"/>
      <c r="D928" s="223"/>
      <c r="E928" s="223"/>
      <c r="F928" s="223"/>
      <c r="G928" s="223"/>
      <c r="H928" s="223"/>
      <c r="I928" s="223"/>
      <c r="J928" s="223"/>
      <c r="K928" s="223"/>
      <c r="L928" s="223"/>
      <c r="M928" s="223"/>
      <c r="N928" s="223"/>
      <c r="O928" s="223"/>
      <c r="P928" s="223"/>
      <c r="Q928" s="223"/>
      <c r="R928" s="223"/>
      <c r="S928" s="223"/>
      <c r="T928" s="223"/>
      <c r="U928" s="223"/>
      <c r="V928" s="223"/>
      <c r="W928" s="223"/>
      <c r="X928" s="223"/>
      <c r="Y928" s="223"/>
      <c r="Z928" s="223"/>
    </row>
    <row r="929" spans="1:26" ht="12" customHeight="1" x14ac:dyDescent="0.35">
      <c r="A929" s="223"/>
      <c r="B929" s="223"/>
      <c r="C929" s="223"/>
      <c r="D929" s="223"/>
      <c r="E929" s="223"/>
      <c r="F929" s="223"/>
      <c r="G929" s="223"/>
      <c r="H929" s="223"/>
      <c r="I929" s="223"/>
      <c r="J929" s="223"/>
      <c r="K929" s="223"/>
      <c r="L929" s="223"/>
      <c r="M929" s="223"/>
      <c r="N929" s="223"/>
      <c r="O929" s="223"/>
      <c r="P929" s="223"/>
      <c r="Q929" s="223"/>
      <c r="R929" s="223"/>
      <c r="S929" s="223"/>
      <c r="T929" s="223"/>
      <c r="U929" s="223"/>
      <c r="V929" s="223"/>
      <c r="W929" s="223"/>
      <c r="X929" s="223"/>
      <c r="Y929" s="223"/>
      <c r="Z929" s="223"/>
    </row>
    <row r="930" spans="1:26" ht="12" customHeight="1" x14ac:dyDescent="0.35">
      <c r="A930" s="223"/>
      <c r="B930" s="223"/>
      <c r="C930" s="223"/>
      <c r="D930" s="223"/>
      <c r="E930" s="223"/>
      <c r="F930" s="223"/>
      <c r="G930" s="223"/>
      <c r="H930" s="223"/>
      <c r="I930" s="223"/>
      <c r="J930" s="223"/>
      <c r="K930" s="223"/>
      <c r="L930" s="223"/>
      <c r="M930" s="223"/>
      <c r="N930" s="223"/>
      <c r="O930" s="223"/>
      <c r="P930" s="223"/>
      <c r="Q930" s="223"/>
      <c r="R930" s="223"/>
      <c r="S930" s="223"/>
      <c r="T930" s="223"/>
      <c r="U930" s="223"/>
      <c r="V930" s="223"/>
      <c r="W930" s="223"/>
      <c r="X930" s="223"/>
      <c r="Y930" s="223"/>
      <c r="Z930" s="223"/>
    </row>
    <row r="931" spans="1:26" ht="12" customHeight="1" x14ac:dyDescent="0.35">
      <c r="A931" s="223"/>
      <c r="B931" s="223"/>
      <c r="C931" s="223"/>
      <c r="D931" s="223"/>
      <c r="E931" s="223"/>
      <c r="F931" s="223"/>
      <c r="G931" s="223"/>
      <c r="H931" s="223"/>
      <c r="I931" s="223"/>
      <c r="J931" s="223"/>
      <c r="K931" s="223"/>
      <c r="L931" s="223"/>
      <c r="M931" s="223"/>
      <c r="N931" s="223"/>
      <c r="O931" s="223"/>
      <c r="P931" s="223"/>
      <c r="Q931" s="223"/>
      <c r="R931" s="223"/>
      <c r="S931" s="223"/>
      <c r="T931" s="223"/>
      <c r="U931" s="223"/>
      <c r="V931" s="223"/>
      <c r="W931" s="223"/>
      <c r="X931" s="223"/>
      <c r="Y931" s="223"/>
      <c r="Z931" s="223"/>
    </row>
    <row r="932" spans="1:26" ht="12" customHeight="1" x14ac:dyDescent="0.35">
      <c r="A932" s="223"/>
      <c r="B932" s="223"/>
      <c r="C932" s="223"/>
      <c r="D932" s="223"/>
      <c r="E932" s="223"/>
      <c r="F932" s="223"/>
      <c r="G932" s="223"/>
      <c r="H932" s="223"/>
      <c r="I932" s="223"/>
      <c r="J932" s="223"/>
      <c r="K932" s="223"/>
      <c r="L932" s="223"/>
      <c r="M932" s="223"/>
      <c r="N932" s="223"/>
      <c r="O932" s="223"/>
      <c r="P932" s="223"/>
      <c r="Q932" s="223"/>
      <c r="R932" s="223"/>
      <c r="S932" s="223"/>
      <c r="T932" s="223"/>
      <c r="U932" s="223"/>
      <c r="V932" s="223"/>
      <c r="W932" s="223"/>
      <c r="X932" s="223"/>
      <c r="Y932" s="223"/>
      <c r="Z932" s="223"/>
    </row>
  </sheetData>
  <mergeCells count="2">
    <mergeCell ref="C2:D2"/>
    <mergeCell ref="H78:I78"/>
  </mergeCells>
  <conditionalFormatting sqref="C86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geOrder="overThenDown" orientation="landscape"/>
  <colBreaks count="2" manualBreakCount="2">
    <brk id="4" man="1"/>
    <brk id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5B06-EA97-4487-9832-DF199341F712}">
  <sheetPr>
    <tabColor rgb="FFFFC000"/>
  </sheetPr>
  <dimension ref="A1:M50"/>
  <sheetViews>
    <sheetView topLeftCell="C1" workbookViewId="0">
      <selection activeCell="I7" sqref="I7"/>
    </sheetView>
  </sheetViews>
  <sheetFormatPr defaultRowHeight="14.5" x14ac:dyDescent="0.35"/>
  <cols>
    <col min="1" max="1" width="4" customWidth="1"/>
    <col min="2" max="2" width="25.81640625" customWidth="1"/>
    <col min="3" max="3" width="19.453125" customWidth="1"/>
    <col min="4" max="4" width="19" customWidth="1"/>
    <col min="5" max="5" width="29.7265625" customWidth="1"/>
    <col min="6" max="6" width="20.54296875" customWidth="1"/>
    <col min="7" max="7" width="17.81640625" customWidth="1"/>
    <col min="8" max="8" width="15.453125" customWidth="1"/>
    <col min="9" max="9" width="18.7265625" customWidth="1"/>
    <col min="10" max="10" width="16.26953125" customWidth="1"/>
  </cols>
  <sheetData>
    <row r="1" spans="1:13" x14ac:dyDescent="0.35">
      <c r="A1" s="745"/>
      <c r="B1" s="458"/>
      <c r="C1" s="458"/>
      <c r="D1" s="458"/>
      <c r="E1" s="458"/>
      <c r="F1" s="458"/>
      <c r="G1" s="458"/>
      <c r="H1" s="458"/>
      <c r="I1" s="458"/>
      <c r="J1" s="458"/>
      <c r="K1" s="747"/>
      <c r="L1" s="747"/>
      <c r="M1" s="747"/>
    </row>
    <row r="2" spans="1:13" ht="31.5" customHeight="1" x14ac:dyDescent="0.35">
      <c r="A2" s="458"/>
      <c r="B2" s="863" t="s">
        <v>0</v>
      </c>
      <c r="C2" s="745"/>
      <c r="D2" s="745"/>
      <c r="E2" s="745"/>
      <c r="F2" s="745"/>
      <c r="G2" s="745"/>
      <c r="H2" s="745"/>
      <c r="I2" s="745"/>
      <c r="J2" s="745"/>
      <c r="K2" s="511"/>
      <c r="L2" s="747"/>
      <c r="M2" s="747"/>
    </row>
    <row r="3" spans="1:13" x14ac:dyDescent="0.35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511"/>
      <c r="L3" s="747"/>
      <c r="M3" s="747"/>
    </row>
    <row r="4" spans="1:13" ht="20.25" customHeight="1" x14ac:dyDescent="0.35">
      <c r="A4" s="458"/>
      <c r="B4" s="929" t="s">
        <v>156</v>
      </c>
      <c r="C4" s="930"/>
      <c r="D4" s="930"/>
      <c r="E4" s="930"/>
      <c r="F4" s="930"/>
      <c r="G4" s="930"/>
      <c r="H4" s="930"/>
      <c r="I4" s="930"/>
      <c r="J4" s="931"/>
      <c r="K4" s="511"/>
      <c r="L4" s="747"/>
      <c r="M4" s="747"/>
    </row>
    <row r="5" spans="1:13" ht="20.25" customHeight="1" x14ac:dyDescent="0.35">
      <c r="A5" s="458"/>
      <c r="B5" s="864" t="s">
        <v>157</v>
      </c>
      <c r="C5" s="728" t="s">
        <v>158</v>
      </c>
      <c r="D5" s="728" t="s">
        <v>159</v>
      </c>
      <c r="E5" s="728" t="s">
        <v>160</v>
      </c>
      <c r="F5" s="728" t="s">
        <v>161</v>
      </c>
      <c r="G5" s="728" t="s">
        <v>162</v>
      </c>
      <c r="H5" s="728" t="s">
        <v>163</v>
      </c>
      <c r="I5" s="728" t="s">
        <v>164</v>
      </c>
      <c r="J5" s="729" t="s">
        <v>165</v>
      </c>
      <c r="K5" s="511"/>
      <c r="L5" s="747"/>
      <c r="M5" s="747"/>
    </row>
    <row r="6" spans="1:13" ht="54.75" customHeight="1" x14ac:dyDescent="0.35">
      <c r="A6" s="458"/>
      <c r="B6" s="865" t="s">
        <v>60</v>
      </c>
      <c r="C6" s="866">
        <f>SUM('Parcel Data'!D5:D9)</f>
        <v>31.01</v>
      </c>
      <c r="D6" s="867">
        <f>C6*43560</f>
        <v>1350795.6</v>
      </c>
      <c r="E6" s="868" t="s">
        <v>166</v>
      </c>
      <c r="F6" s="869">
        <f>'Phase I Financial'!B13</f>
        <v>1095.3091282051282</v>
      </c>
      <c r="G6" s="869">
        <v>0</v>
      </c>
      <c r="H6" s="870">
        <f>'Phase I Financial'!B20</f>
        <v>422950</v>
      </c>
      <c r="I6" s="871">
        <f>'Phase I Financial'!D45</f>
        <v>600036665.74007809</v>
      </c>
      <c r="J6" s="872">
        <f>'Phase I Financial'!C69</f>
        <v>462852052.56865907</v>
      </c>
      <c r="K6" s="511"/>
      <c r="L6" s="747"/>
      <c r="M6" s="747"/>
    </row>
    <row r="7" spans="1:13" ht="42" customHeight="1" x14ac:dyDescent="0.35">
      <c r="A7" s="745"/>
      <c r="B7" s="873" t="s">
        <v>61</v>
      </c>
      <c r="C7" s="874">
        <f>SUM('Parcel Data'!D10:D16)</f>
        <v>40.56</v>
      </c>
      <c r="D7" s="875">
        <f>C7*43560</f>
        <v>1766793.6</v>
      </c>
      <c r="E7" s="876" t="s">
        <v>167</v>
      </c>
      <c r="F7" s="877">
        <f>'Phase II Financial'!B12</f>
        <v>239.85430769230771</v>
      </c>
      <c r="G7" s="877">
        <f>'Phase II Financial'!B20</f>
        <v>112.35294117647059</v>
      </c>
      <c r="H7" s="878">
        <f>'Phase II Financial'!B28</f>
        <v>106850</v>
      </c>
      <c r="I7" s="879">
        <f>'Phase II Financial'!D54</f>
        <v>250340995.04173949</v>
      </c>
      <c r="J7" s="880">
        <f>'Phase II Financial'!C78</f>
        <v>209435982.38533103</v>
      </c>
      <c r="K7" s="747"/>
      <c r="L7" s="747"/>
      <c r="M7" s="747"/>
    </row>
    <row r="8" spans="1:13" x14ac:dyDescent="0.35">
      <c r="A8" s="745"/>
      <c r="B8" s="881" t="s">
        <v>63</v>
      </c>
      <c r="C8" s="882">
        <f>SUM(C6:C7)</f>
        <v>71.570000000000007</v>
      </c>
      <c r="D8" s="883">
        <f>SUM(D6:D7)</f>
        <v>3117589.2</v>
      </c>
      <c r="E8" s="884"/>
      <c r="F8" s="885">
        <f>SUM(F6:F7)</f>
        <v>1335.1634358974359</v>
      </c>
      <c r="G8" s="886">
        <f>SUM(G6:G7)</f>
        <v>112.35294117647059</v>
      </c>
      <c r="H8" s="887">
        <f>SUM(H6:H7)</f>
        <v>529800</v>
      </c>
      <c r="I8" s="888">
        <f>SUM(I6:I7)</f>
        <v>850377660.78181756</v>
      </c>
      <c r="J8" s="889">
        <f>SUM(J6:J7)</f>
        <v>672288034.9539901</v>
      </c>
      <c r="K8" s="747"/>
      <c r="L8" s="747"/>
      <c r="M8" s="747"/>
    </row>
    <row r="9" spans="1:13" ht="27" customHeight="1" x14ac:dyDescent="0.35">
      <c r="A9" s="458"/>
      <c r="B9" s="458"/>
      <c r="C9" s="458"/>
      <c r="D9" s="458"/>
      <c r="E9" s="458"/>
      <c r="F9" s="458"/>
      <c r="G9" s="458"/>
      <c r="H9" s="458"/>
      <c r="I9" s="458"/>
      <c r="J9" s="458"/>
      <c r="K9" s="747"/>
      <c r="L9" s="747"/>
      <c r="M9" s="747"/>
    </row>
    <row r="10" spans="1:13" ht="33" customHeight="1" x14ac:dyDescent="0.35">
      <c r="A10" s="458"/>
      <c r="B10" s="458"/>
      <c r="C10" s="458"/>
      <c r="D10" s="458"/>
      <c r="E10" s="458"/>
      <c r="F10" s="458"/>
      <c r="G10" s="745"/>
      <c r="H10" s="745"/>
      <c r="I10" s="745"/>
      <c r="J10" s="745"/>
      <c r="K10" s="747"/>
      <c r="L10" s="747"/>
      <c r="M10" s="747"/>
    </row>
    <row r="11" spans="1:13" ht="21.75" customHeight="1" x14ac:dyDescent="0.35">
      <c r="A11" s="458"/>
      <c r="B11" s="890" t="s">
        <v>168</v>
      </c>
      <c r="C11" s="891"/>
      <c r="D11" s="891"/>
      <c r="E11" s="891"/>
      <c r="F11" s="892"/>
      <c r="G11" s="458"/>
      <c r="H11" s="745"/>
      <c r="I11" s="745"/>
      <c r="J11" s="745"/>
      <c r="K11" s="747"/>
      <c r="L11" s="747"/>
      <c r="M11" s="747"/>
    </row>
    <row r="12" spans="1:13" ht="22.5" customHeight="1" x14ac:dyDescent="0.35">
      <c r="A12" s="458"/>
      <c r="B12" s="893" t="s">
        <v>157</v>
      </c>
      <c r="C12" s="894" t="s">
        <v>169</v>
      </c>
      <c r="D12" s="895" t="s">
        <v>170</v>
      </c>
      <c r="E12" s="895" t="s">
        <v>171</v>
      </c>
      <c r="F12" s="896" t="s">
        <v>172</v>
      </c>
      <c r="G12" s="458"/>
      <c r="H12" s="745"/>
      <c r="I12" s="745"/>
      <c r="J12" s="745"/>
      <c r="K12" s="747"/>
      <c r="L12" s="747"/>
      <c r="M12" s="747"/>
    </row>
    <row r="13" spans="1:13" x14ac:dyDescent="0.35">
      <c r="A13" s="745"/>
      <c r="B13" s="897" t="s">
        <v>61</v>
      </c>
      <c r="C13" s="898" t="str">
        <f>Assumptions!H80</f>
        <v>1/1/24 to 12/31/25</v>
      </c>
      <c r="D13" s="898" t="str">
        <f>Assumptions!H81</f>
        <v>1/1/26 to 6/30/26</v>
      </c>
      <c r="E13" s="898" t="str">
        <f>Assumptions!H82</f>
        <v>7/1/26 to 6/30/29</v>
      </c>
      <c r="F13" s="899" t="str">
        <f>Assumptions!H83</f>
        <v>7/1/29 to 12/31/29</v>
      </c>
      <c r="G13" s="458"/>
      <c r="H13" s="745"/>
      <c r="I13" s="745"/>
      <c r="J13" s="745"/>
      <c r="K13" s="747"/>
      <c r="L13" s="747"/>
      <c r="M13" s="747"/>
    </row>
    <row r="14" spans="1:13" x14ac:dyDescent="0.35">
      <c r="A14" s="745"/>
      <c r="B14" s="900" t="s">
        <v>61</v>
      </c>
      <c r="C14" s="901" t="str">
        <f>Assumptions!I80</f>
        <v>1/1/24 to 12/31/27</v>
      </c>
      <c r="D14" s="901" t="str">
        <f>Assumptions!I81</f>
        <v>1/1/28 to 6/30/28</v>
      </c>
      <c r="E14" s="901" t="str">
        <f>Assumptions!I82</f>
        <v>7/1/28 to 6/30/31</v>
      </c>
      <c r="F14" s="902" t="str">
        <f>Assumptions!I83</f>
        <v>7/1/31 to 12/31/31</v>
      </c>
      <c r="G14" s="458"/>
      <c r="H14" s="745"/>
      <c r="I14" s="745"/>
      <c r="J14" s="745"/>
      <c r="K14" s="747"/>
      <c r="L14" s="747"/>
      <c r="M14" s="747"/>
    </row>
    <row r="15" spans="1:13" x14ac:dyDescent="0.35">
      <c r="A15" s="747"/>
      <c r="B15" s="747"/>
      <c r="C15" s="747"/>
      <c r="D15" s="747"/>
      <c r="E15" s="747"/>
      <c r="F15" s="747"/>
      <c r="G15" s="747"/>
      <c r="H15" s="747"/>
      <c r="I15" s="747"/>
      <c r="J15" s="747"/>
      <c r="K15" s="747"/>
      <c r="L15" s="747"/>
      <c r="M15" s="747"/>
    </row>
    <row r="16" spans="1:13" x14ac:dyDescent="0.35">
      <c r="A16" s="747"/>
      <c r="B16" s="747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</row>
    <row r="17" spans="1:13" x14ac:dyDescent="0.35">
      <c r="A17" s="747"/>
      <c r="B17" s="747"/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7"/>
    </row>
    <row r="18" spans="1:13" x14ac:dyDescent="0.35">
      <c r="A18" s="747"/>
      <c r="B18" s="747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</row>
    <row r="19" spans="1:13" x14ac:dyDescent="0.35">
      <c r="A19" s="747"/>
      <c r="B19" s="747"/>
      <c r="C19" s="747"/>
      <c r="D19" s="747"/>
      <c r="E19" s="747"/>
      <c r="F19" s="747"/>
      <c r="G19" s="747"/>
      <c r="H19" s="747"/>
      <c r="I19" s="747"/>
      <c r="J19" s="747"/>
      <c r="K19" s="747"/>
      <c r="L19" s="747"/>
      <c r="M19" s="747"/>
    </row>
    <row r="20" spans="1:13" x14ac:dyDescent="0.35">
      <c r="A20" s="747"/>
      <c r="B20" s="747"/>
      <c r="C20" s="747"/>
      <c r="D20" s="747"/>
      <c r="E20" s="747"/>
      <c r="F20" s="747"/>
      <c r="G20" s="747"/>
      <c r="H20" s="747"/>
      <c r="I20" s="747"/>
      <c r="J20" s="747"/>
      <c r="K20" s="747"/>
      <c r="L20" s="747"/>
      <c r="M20" s="747"/>
    </row>
    <row r="21" spans="1:13" x14ac:dyDescent="0.35">
      <c r="A21" s="747"/>
      <c r="B21" s="747"/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</row>
    <row r="22" spans="1:13" x14ac:dyDescent="0.35">
      <c r="A22" s="747"/>
      <c r="B22" s="747"/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</row>
    <row r="23" spans="1:13" x14ac:dyDescent="0.35">
      <c r="A23" s="747"/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747"/>
    </row>
    <row r="24" spans="1:13" x14ac:dyDescent="0.35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</row>
    <row r="25" spans="1:13" x14ac:dyDescent="0.35">
      <c r="A25" s="747"/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</row>
    <row r="26" spans="1:13" x14ac:dyDescent="0.35">
      <c r="A26" s="747"/>
      <c r="B26" s="747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</row>
    <row r="27" spans="1:13" x14ac:dyDescent="0.35">
      <c r="A27" s="747"/>
      <c r="B27" s="747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</row>
    <row r="28" spans="1:13" x14ac:dyDescent="0.35">
      <c r="A28" s="747"/>
      <c r="B28" s="747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</row>
    <row r="29" spans="1:13" x14ac:dyDescent="0.35">
      <c r="A29" s="747"/>
      <c r="B29" s="747"/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</row>
    <row r="30" spans="1:13" x14ac:dyDescent="0.35">
      <c r="A30" s="747"/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</row>
    <row r="31" spans="1:13" x14ac:dyDescent="0.35">
      <c r="A31" s="747"/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</row>
    <row r="32" spans="1:13" x14ac:dyDescent="0.35">
      <c r="A32" s="747"/>
      <c r="B32" s="747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</row>
    <row r="33" spans="1:13" x14ac:dyDescent="0.35">
      <c r="A33" s="747"/>
      <c r="B33" s="747"/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</row>
    <row r="34" spans="1:13" x14ac:dyDescent="0.35">
      <c r="A34" s="747"/>
      <c r="B34" s="747"/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</row>
    <row r="35" spans="1:13" x14ac:dyDescent="0.35">
      <c r="A35" s="747"/>
      <c r="B35" s="747"/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</row>
    <row r="36" spans="1:13" x14ac:dyDescent="0.35">
      <c r="A36" s="747"/>
      <c r="B36" s="747"/>
      <c r="C36" s="747"/>
      <c r="D36" s="747"/>
      <c r="E36" s="747"/>
      <c r="F36" s="747"/>
      <c r="G36" s="747"/>
      <c r="H36" s="747"/>
      <c r="I36" s="747"/>
      <c r="J36" s="747"/>
      <c r="K36" s="747"/>
      <c r="L36" s="747"/>
      <c r="M36" s="747"/>
    </row>
    <row r="37" spans="1:13" x14ac:dyDescent="0.35">
      <c r="A37" s="747"/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</row>
    <row r="38" spans="1:13" x14ac:dyDescent="0.35">
      <c r="A38" s="747"/>
      <c r="B38" s="747"/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7"/>
    </row>
    <row r="39" spans="1:13" x14ac:dyDescent="0.35">
      <c r="A39" s="747"/>
      <c r="B39" s="747"/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</row>
    <row r="40" spans="1:13" x14ac:dyDescent="0.35">
      <c r="A40" s="747"/>
      <c r="B40" s="747"/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</row>
    <row r="41" spans="1:13" x14ac:dyDescent="0.35">
      <c r="A41" s="747"/>
      <c r="B41" s="747"/>
      <c r="C41" s="747"/>
      <c r="D41" s="747"/>
      <c r="E41" s="747"/>
      <c r="F41" s="747"/>
      <c r="G41" s="747"/>
      <c r="H41" s="747"/>
      <c r="I41" s="747"/>
      <c r="J41" s="747"/>
      <c r="K41" s="747"/>
      <c r="L41" s="747"/>
      <c r="M41" s="747"/>
    </row>
    <row r="42" spans="1:13" x14ac:dyDescent="0.35">
      <c r="A42" s="747"/>
      <c r="B42" s="747"/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</row>
    <row r="43" spans="1:13" x14ac:dyDescent="0.35">
      <c r="A43" s="747"/>
      <c r="B43" s="747"/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</row>
    <row r="44" spans="1:13" x14ac:dyDescent="0.35">
      <c r="A44" s="747"/>
      <c r="B44" s="747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</row>
    <row r="45" spans="1:13" x14ac:dyDescent="0.35">
      <c r="A45" s="747"/>
      <c r="B45" s="747"/>
      <c r="C45" s="747"/>
      <c r="D45" s="747"/>
      <c r="E45" s="747"/>
      <c r="F45" s="747"/>
      <c r="G45" s="747"/>
      <c r="H45" s="747"/>
      <c r="I45" s="747"/>
      <c r="J45" s="747"/>
      <c r="K45" s="747"/>
      <c r="L45" s="747"/>
      <c r="M45" s="747"/>
    </row>
    <row r="46" spans="1:13" x14ac:dyDescent="0.35">
      <c r="A46" s="747"/>
      <c r="B46" s="747"/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</row>
    <row r="47" spans="1:13" x14ac:dyDescent="0.35">
      <c r="A47" s="747"/>
      <c r="B47" s="747"/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</row>
    <row r="48" spans="1:13" x14ac:dyDescent="0.35">
      <c r="A48" s="747"/>
      <c r="B48" s="747"/>
      <c r="C48" s="747"/>
      <c r="D48" s="747"/>
      <c r="E48" s="747"/>
      <c r="F48" s="747"/>
      <c r="G48" s="747"/>
      <c r="H48" s="747"/>
      <c r="I48" s="747"/>
      <c r="J48" s="747"/>
      <c r="K48" s="747"/>
      <c r="L48" s="747"/>
      <c r="M48" s="747"/>
    </row>
    <row r="49" spans="1:13" x14ac:dyDescent="0.35">
      <c r="A49" s="747"/>
      <c r="B49" s="747"/>
      <c r="C49" s="747"/>
      <c r="D49" s="747"/>
      <c r="E49" s="747"/>
      <c r="F49" s="747"/>
      <c r="G49" s="747"/>
      <c r="H49" s="747"/>
      <c r="I49" s="747"/>
      <c r="J49" s="747"/>
      <c r="K49" s="747"/>
      <c r="L49" s="747"/>
      <c r="M49" s="747"/>
    </row>
    <row r="50" spans="1:13" x14ac:dyDescent="0.35">
      <c r="A50" s="747"/>
      <c r="B50" s="747"/>
      <c r="C50" s="747"/>
      <c r="D50" s="747"/>
      <c r="E50" s="747"/>
      <c r="F50" s="747"/>
      <c r="G50" s="747"/>
      <c r="H50" s="747"/>
      <c r="I50" s="747"/>
      <c r="J50" s="747"/>
      <c r="K50" s="747"/>
      <c r="L50" s="747"/>
      <c r="M50" s="747"/>
    </row>
  </sheetData>
  <mergeCells count="1">
    <mergeCell ref="B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A579-210C-4A68-9C64-A98CCEF08C9E}">
  <sheetPr>
    <tabColor rgb="FF8EA9DB"/>
  </sheetPr>
  <dimension ref="A1:BW100"/>
  <sheetViews>
    <sheetView workbookViewId="0">
      <selection activeCell="C4" sqref="C4"/>
    </sheetView>
  </sheetViews>
  <sheetFormatPr defaultRowHeight="14.5" x14ac:dyDescent="0.35"/>
  <cols>
    <col min="1" max="1" width="17.7265625" customWidth="1"/>
    <col min="2" max="2" width="37.7265625" customWidth="1"/>
    <col min="3" max="3" width="29.26953125" customWidth="1"/>
    <col min="4" max="4" width="24.7265625" customWidth="1"/>
    <col min="5" max="5" width="29.26953125" customWidth="1"/>
    <col min="6" max="6" width="27.7265625" customWidth="1"/>
    <col min="7" max="7" width="32.7265625" customWidth="1"/>
    <col min="8" max="8" width="42.7265625" customWidth="1"/>
    <col min="9" max="9" width="34.26953125" customWidth="1"/>
  </cols>
  <sheetData>
    <row r="1" spans="1:75" x14ac:dyDescent="0.35">
      <c r="A1" s="745"/>
      <c r="B1" s="725" t="s">
        <v>0</v>
      </c>
      <c r="C1" s="745"/>
      <c r="D1" s="745"/>
      <c r="E1" s="745"/>
      <c r="F1" s="745"/>
      <c r="G1" s="745"/>
      <c r="H1" s="745"/>
      <c r="I1" s="458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</row>
    <row r="2" spans="1:75" x14ac:dyDescent="0.35">
      <c r="A2" s="458"/>
      <c r="B2" s="458"/>
      <c r="C2" s="458"/>
      <c r="D2" s="458"/>
      <c r="E2" s="458"/>
      <c r="F2" s="458"/>
      <c r="G2" s="458"/>
      <c r="H2" s="458"/>
      <c r="I2" s="458"/>
      <c r="J2" s="226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</row>
    <row r="3" spans="1:75" x14ac:dyDescent="0.35">
      <c r="A3" s="591" t="s">
        <v>173</v>
      </c>
      <c r="B3" s="592"/>
      <c r="C3" s="592"/>
      <c r="D3" s="592"/>
      <c r="E3" s="592"/>
      <c r="F3" s="592"/>
      <c r="G3" s="592"/>
      <c r="H3" s="593"/>
      <c r="I3" s="746"/>
      <c r="J3" s="226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</row>
    <row r="4" spans="1:75" x14ac:dyDescent="0.35">
      <c r="A4" s="594" t="s">
        <v>174</v>
      </c>
      <c r="B4" s="595" t="s">
        <v>175</v>
      </c>
      <c r="C4" s="596" t="s">
        <v>176</v>
      </c>
      <c r="D4" s="596" t="s">
        <v>177</v>
      </c>
      <c r="E4" s="596" t="s">
        <v>178</v>
      </c>
      <c r="F4" s="596" t="s">
        <v>179</v>
      </c>
      <c r="G4" s="596" t="s">
        <v>180</v>
      </c>
      <c r="H4" s="597" t="s">
        <v>181</v>
      </c>
      <c r="I4" s="511"/>
      <c r="J4" s="226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</row>
    <row r="5" spans="1:75" x14ac:dyDescent="0.35">
      <c r="A5" s="517" t="s">
        <v>182</v>
      </c>
      <c r="B5" s="324" t="s">
        <v>183</v>
      </c>
      <c r="C5" s="324" t="s">
        <v>184</v>
      </c>
      <c r="D5" s="346">
        <v>9.0299999999999994</v>
      </c>
      <c r="E5" s="347">
        <v>395231</v>
      </c>
      <c r="F5" s="340">
        <v>84455</v>
      </c>
      <c r="G5" s="327">
        <v>1690000</v>
      </c>
      <c r="H5" s="341"/>
      <c r="I5" s="511"/>
      <c r="J5" s="226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</row>
    <row r="6" spans="1:75" x14ac:dyDescent="0.35">
      <c r="A6" s="517" t="s">
        <v>185</v>
      </c>
      <c r="B6" s="324" t="s">
        <v>186</v>
      </c>
      <c r="C6" s="324" t="s">
        <v>184</v>
      </c>
      <c r="D6" s="346">
        <v>0.08</v>
      </c>
      <c r="E6" s="347">
        <v>3715</v>
      </c>
      <c r="F6" s="340">
        <v>0</v>
      </c>
      <c r="G6" s="327">
        <v>0</v>
      </c>
      <c r="H6" s="341"/>
      <c r="I6" s="511"/>
      <c r="J6" s="226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</row>
    <row r="7" spans="1:75" x14ac:dyDescent="0.35">
      <c r="A7" s="517" t="s">
        <v>187</v>
      </c>
      <c r="B7" s="324" t="s">
        <v>186</v>
      </c>
      <c r="C7" s="324" t="s">
        <v>184</v>
      </c>
      <c r="D7" s="346">
        <v>13.64</v>
      </c>
      <c r="E7" s="347">
        <v>593020</v>
      </c>
      <c r="F7" s="340">
        <v>52830</v>
      </c>
      <c r="G7" s="327">
        <v>5</v>
      </c>
      <c r="H7" s="341"/>
      <c r="I7" s="511"/>
      <c r="J7" s="226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</row>
    <row r="8" spans="1:75" x14ac:dyDescent="0.35">
      <c r="A8" s="517" t="s">
        <v>188</v>
      </c>
      <c r="B8" s="324" t="s">
        <v>186</v>
      </c>
      <c r="C8" s="324" t="s">
        <v>189</v>
      </c>
      <c r="D8" s="346">
        <v>1.23</v>
      </c>
      <c r="E8" s="347">
        <v>53143</v>
      </c>
      <c r="F8" s="340">
        <v>0</v>
      </c>
      <c r="G8" s="327">
        <v>5</v>
      </c>
      <c r="H8" s="341"/>
      <c r="I8" s="511"/>
      <c r="J8" s="226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</row>
    <row r="9" spans="1:75" x14ac:dyDescent="0.35">
      <c r="A9" s="517" t="s">
        <v>190</v>
      </c>
      <c r="B9" s="324" t="s">
        <v>186</v>
      </c>
      <c r="C9" s="324" t="s">
        <v>184</v>
      </c>
      <c r="D9" s="346">
        <v>7.03</v>
      </c>
      <c r="E9" s="347">
        <v>306109</v>
      </c>
      <c r="F9" s="340">
        <v>0</v>
      </c>
      <c r="G9" s="327">
        <v>5</v>
      </c>
      <c r="H9" s="341" t="s">
        <v>191</v>
      </c>
      <c r="I9" s="511"/>
      <c r="J9" s="226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</row>
    <row r="10" spans="1:75" x14ac:dyDescent="0.35">
      <c r="A10" s="517" t="s">
        <v>192</v>
      </c>
      <c r="B10" s="324" t="s">
        <v>186</v>
      </c>
      <c r="C10" s="324" t="s">
        <v>193</v>
      </c>
      <c r="D10" s="346">
        <v>3</v>
      </c>
      <c r="E10" s="347">
        <v>73763</v>
      </c>
      <c r="F10" s="340">
        <v>21698</v>
      </c>
      <c r="G10" s="327">
        <v>5</v>
      </c>
      <c r="H10" s="341"/>
      <c r="I10" s="511"/>
      <c r="J10" s="226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</row>
    <row r="11" spans="1:75" x14ac:dyDescent="0.35">
      <c r="A11" s="517" t="s">
        <v>194</v>
      </c>
      <c r="B11" s="324" t="s">
        <v>186</v>
      </c>
      <c r="C11" s="324" t="s">
        <v>184</v>
      </c>
      <c r="D11" s="339">
        <v>6.49</v>
      </c>
      <c r="E11" s="347">
        <v>282300</v>
      </c>
      <c r="F11" s="340">
        <v>0</v>
      </c>
      <c r="G11" s="327">
        <v>0</v>
      </c>
      <c r="H11" s="341" t="s">
        <v>195</v>
      </c>
      <c r="I11" s="511"/>
      <c r="J11" s="226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</row>
    <row r="12" spans="1:75" x14ac:dyDescent="0.35">
      <c r="A12" s="517" t="s">
        <v>196</v>
      </c>
      <c r="B12" s="324" t="s">
        <v>186</v>
      </c>
      <c r="C12" s="324" t="s">
        <v>197</v>
      </c>
      <c r="D12" s="339">
        <v>11.08</v>
      </c>
      <c r="E12" s="347">
        <v>482604</v>
      </c>
      <c r="F12" s="340">
        <v>0</v>
      </c>
      <c r="G12" s="327">
        <v>0</v>
      </c>
      <c r="H12" s="341"/>
      <c r="I12" s="511"/>
      <c r="J12" s="226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</row>
    <row r="13" spans="1:75" x14ac:dyDescent="0.35">
      <c r="A13" s="517" t="s">
        <v>198</v>
      </c>
      <c r="B13" s="324" t="s">
        <v>186</v>
      </c>
      <c r="C13" s="324" t="s">
        <v>199</v>
      </c>
      <c r="D13" s="339">
        <v>6.49</v>
      </c>
      <c r="E13" s="347">
        <v>318024</v>
      </c>
      <c r="F13" s="340">
        <v>96662</v>
      </c>
      <c r="G13" s="327">
        <v>5</v>
      </c>
      <c r="H13" s="341" t="s">
        <v>195</v>
      </c>
      <c r="I13" s="511"/>
      <c r="J13" s="226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</row>
    <row r="14" spans="1:75" x14ac:dyDescent="0.35">
      <c r="A14" s="517" t="s">
        <v>200</v>
      </c>
      <c r="B14" s="324" t="s">
        <v>183</v>
      </c>
      <c r="C14" s="324" t="s">
        <v>184</v>
      </c>
      <c r="D14" s="339">
        <v>1.07</v>
      </c>
      <c r="E14" s="347">
        <v>46369</v>
      </c>
      <c r="F14" s="340">
        <v>12372</v>
      </c>
      <c r="G14" s="327">
        <v>313000</v>
      </c>
      <c r="H14" s="341" t="s">
        <v>201</v>
      </c>
      <c r="I14" s="511"/>
      <c r="J14" s="226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</row>
    <row r="15" spans="1:75" x14ac:dyDescent="0.35">
      <c r="A15" s="517" t="s">
        <v>202</v>
      </c>
      <c r="B15" s="324" t="s">
        <v>186</v>
      </c>
      <c r="C15" s="324" t="s">
        <v>184</v>
      </c>
      <c r="D15" s="339">
        <v>11.08</v>
      </c>
      <c r="E15" s="347">
        <v>10349</v>
      </c>
      <c r="F15" s="340">
        <v>0</v>
      </c>
      <c r="G15" s="327">
        <v>0</v>
      </c>
      <c r="H15" s="341"/>
      <c r="I15" s="511"/>
      <c r="J15" s="226"/>
      <c r="K15" s="226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</row>
    <row r="16" spans="1:75" x14ac:dyDescent="0.35">
      <c r="A16" s="518" t="s">
        <v>203</v>
      </c>
      <c r="B16" s="342" t="s">
        <v>186</v>
      </c>
      <c r="C16" s="342" t="s">
        <v>204</v>
      </c>
      <c r="D16" s="343">
        <v>1.35</v>
      </c>
      <c r="E16" s="348">
        <v>58627</v>
      </c>
      <c r="F16" s="344">
        <v>2415</v>
      </c>
      <c r="G16" s="333">
        <v>5</v>
      </c>
      <c r="H16" s="345" t="s">
        <v>205</v>
      </c>
      <c r="I16" s="511"/>
      <c r="J16" s="226"/>
      <c r="K16" s="312"/>
      <c r="L16" s="226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</row>
    <row r="17" spans="1:75" x14ac:dyDescent="0.35">
      <c r="A17" s="226"/>
      <c r="B17" s="226"/>
      <c r="C17" s="226"/>
      <c r="D17" s="226"/>
      <c r="E17" s="226"/>
      <c r="F17" s="226"/>
      <c r="G17" s="226"/>
      <c r="H17" s="311"/>
      <c r="I17" s="458"/>
      <c r="J17" s="226"/>
      <c r="K17" s="226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</row>
    <row r="18" spans="1:75" x14ac:dyDescent="0.35">
      <c r="A18" s="591" t="s">
        <v>206</v>
      </c>
      <c r="B18" s="592"/>
      <c r="C18" s="592"/>
      <c r="D18" s="592"/>
      <c r="E18" s="592"/>
      <c r="F18" s="592"/>
      <c r="G18" s="592"/>
      <c r="H18" s="598"/>
      <c r="I18" s="458"/>
      <c r="J18" s="226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</row>
    <row r="19" spans="1:75" x14ac:dyDescent="0.35">
      <c r="A19" s="594" t="s">
        <v>174</v>
      </c>
      <c r="B19" s="595" t="s">
        <v>207</v>
      </c>
      <c r="C19" s="596" t="s">
        <v>176</v>
      </c>
      <c r="D19" s="596" t="s">
        <v>177</v>
      </c>
      <c r="E19" s="596" t="s">
        <v>178</v>
      </c>
      <c r="F19" s="596" t="s">
        <v>208</v>
      </c>
      <c r="G19" s="596" t="s">
        <v>180</v>
      </c>
      <c r="H19" s="597" t="s">
        <v>181</v>
      </c>
      <c r="I19" s="511"/>
      <c r="J19" s="226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</row>
    <row r="20" spans="1:75" x14ac:dyDescent="0.35">
      <c r="A20" s="517" t="s">
        <v>209</v>
      </c>
      <c r="B20" s="324" t="s">
        <v>210</v>
      </c>
      <c r="C20" s="324" t="s">
        <v>184</v>
      </c>
      <c r="D20" s="339">
        <v>7.01</v>
      </c>
      <c r="E20" s="326">
        <v>305684</v>
      </c>
      <c r="F20" s="340">
        <v>0</v>
      </c>
      <c r="G20" s="327">
        <v>0</v>
      </c>
      <c r="H20" s="341"/>
      <c r="I20" s="511"/>
      <c r="J20" s="226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</row>
    <row r="21" spans="1:75" x14ac:dyDescent="0.35">
      <c r="A21" s="518" t="s">
        <v>211</v>
      </c>
      <c r="B21" s="342" t="s">
        <v>212</v>
      </c>
      <c r="C21" s="342" t="s">
        <v>189</v>
      </c>
      <c r="D21" s="343">
        <v>21.26</v>
      </c>
      <c r="E21" s="332">
        <v>923665</v>
      </c>
      <c r="F21" s="344">
        <v>275669</v>
      </c>
      <c r="G21" s="333">
        <v>0</v>
      </c>
      <c r="H21" s="345" t="s">
        <v>213</v>
      </c>
      <c r="I21" s="511"/>
      <c r="J21" s="226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</row>
    <row r="22" spans="1:75" x14ac:dyDescent="0.35">
      <c r="A22" s="222"/>
      <c r="B22" s="222"/>
      <c r="C22" s="226"/>
      <c r="D22" s="226"/>
      <c r="E22" s="226"/>
      <c r="F22" s="226"/>
      <c r="G22" s="226"/>
      <c r="H22" s="226"/>
      <c r="I22" s="458"/>
      <c r="J22" s="226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</row>
    <row r="23" spans="1:75" x14ac:dyDescent="0.35">
      <c r="A23" s="599" t="s">
        <v>214</v>
      </c>
      <c r="B23" s="592"/>
      <c r="C23" s="592"/>
      <c r="D23" s="592"/>
      <c r="E23" s="592"/>
      <c r="F23" s="592"/>
      <c r="G23" s="592"/>
      <c r="H23" s="598"/>
      <c r="I23" s="458"/>
      <c r="J23" s="226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</row>
    <row r="24" spans="1:75" x14ac:dyDescent="0.35">
      <c r="A24" s="600" t="s">
        <v>174</v>
      </c>
      <c r="B24" s="601"/>
      <c r="C24" s="602" t="s">
        <v>176</v>
      </c>
      <c r="D24" s="602" t="s">
        <v>177</v>
      </c>
      <c r="E24" s="602" t="s">
        <v>215</v>
      </c>
      <c r="F24" s="602" t="s">
        <v>216</v>
      </c>
      <c r="G24" s="602" t="s">
        <v>180</v>
      </c>
      <c r="H24" s="603" t="s">
        <v>217</v>
      </c>
      <c r="I24" s="511"/>
      <c r="J24" s="226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</row>
    <row r="25" spans="1:75" x14ac:dyDescent="0.35">
      <c r="A25" s="519" t="s">
        <v>218</v>
      </c>
      <c r="B25" s="313"/>
      <c r="C25" s="318" t="s">
        <v>219</v>
      </c>
      <c r="D25" s="319">
        <v>14.8</v>
      </c>
      <c r="E25" s="320">
        <f t="shared" ref="E25:E36" si="0">D25*43560</f>
        <v>644688</v>
      </c>
      <c r="F25" s="321">
        <f t="shared" ref="F25:F36" si="1">G25/E25</f>
        <v>9.1155256496165595</v>
      </c>
      <c r="G25" s="321">
        <v>5876670</v>
      </c>
      <c r="H25" s="322">
        <f t="shared" ref="H25:H36" si="2">F25*43560</f>
        <v>397072.29729729734</v>
      </c>
      <c r="I25" s="511"/>
      <c r="J25" s="226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</row>
    <row r="26" spans="1:75" x14ac:dyDescent="0.35">
      <c r="A26" s="517" t="s">
        <v>220</v>
      </c>
      <c r="B26" s="314"/>
      <c r="C26" s="324" t="s">
        <v>219</v>
      </c>
      <c r="D26" s="325">
        <v>21.26</v>
      </c>
      <c r="E26" s="326">
        <f t="shared" si="0"/>
        <v>926085.60000000009</v>
      </c>
      <c r="F26" s="327">
        <f t="shared" si="1"/>
        <v>8.4495428932271484</v>
      </c>
      <c r="G26" s="327">
        <v>7825000</v>
      </c>
      <c r="H26" s="328">
        <f t="shared" si="2"/>
        <v>368062.08842897456</v>
      </c>
      <c r="I26" s="511"/>
      <c r="J26" s="226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</row>
    <row r="27" spans="1:75" x14ac:dyDescent="0.35">
      <c r="A27" s="517" t="s">
        <v>221</v>
      </c>
      <c r="B27" s="314"/>
      <c r="C27" s="324" t="s">
        <v>222</v>
      </c>
      <c r="D27" s="329">
        <v>20.68</v>
      </c>
      <c r="E27" s="326">
        <f t="shared" si="0"/>
        <v>900820.79999999993</v>
      </c>
      <c r="F27" s="327">
        <f t="shared" si="1"/>
        <v>12.211085712052832</v>
      </c>
      <c r="G27" s="327">
        <v>11000000</v>
      </c>
      <c r="H27" s="328">
        <f t="shared" si="2"/>
        <v>531914.89361702139</v>
      </c>
      <c r="I27" s="511"/>
      <c r="J27" s="226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</row>
    <row r="28" spans="1:75" x14ac:dyDescent="0.35">
      <c r="A28" s="517" t="s">
        <v>223</v>
      </c>
      <c r="B28" s="314"/>
      <c r="C28" s="324" t="s">
        <v>184</v>
      </c>
      <c r="D28" s="329">
        <v>93.95</v>
      </c>
      <c r="E28" s="326">
        <f t="shared" si="0"/>
        <v>4092462</v>
      </c>
      <c r="F28" s="327">
        <f t="shared" si="1"/>
        <v>2.19916519689126</v>
      </c>
      <c r="G28" s="327">
        <v>9000000</v>
      </c>
      <c r="H28" s="328">
        <f t="shared" si="2"/>
        <v>95795.635976583289</v>
      </c>
      <c r="I28" s="511"/>
      <c r="J28" s="226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</row>
    <row r="29" spans="1:75" x14ac:dyDescent="0.35">
      <c r="A29" s="517" t="s">
        <v>224</v>
      </c>
      <c r="B29" s="314"/>
      <c r="C29" s="324" t="s">
        <v>204</v>
      </c>
      <c r="D29" s="329">
        <v>12.66</v>
      </c>
      <c r="E29" s="326">
        <f t="shared" si="0"/>
        <v>551469.6</v>
      </c>
      <c r="F29" s="327">
        <f t="shared" si="1"/>
        <v>45.333414570812245</v>
      </c>
      <c r="G29" s="327">
        <v>25000000</v>
      </c>
      <c r="H29" s="328">
        <f t="shared" si="2"/>
        <v>1974723.5387045813</v>
      </c>
      <c r="I29" s="511"/>
      <c r="J29" s="226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</row>
    <row r="30" spans="1:75" x14ac:dyDescent="0.35">
      <c r="A30" s="517" t="s">
        <v>225</v>
      </c>
      <c r="B30" s="314"/>
      <c r="C30" s="324" t="s">
        <v>184</v>
      </c>
      <c r="D30" s="329">
        <v>6.82</v>
      </c>
      <c r="E30" s="326">
        <f t="shared" si="0"/>
        <v>297079.2</v>
      </c>
      <c r="F30" s="327">
        <f t="shared" si="1"/>
        <v>4.2581237595900348</v>
      </c>
      <c r="G30" s="327">
        <v>1265000</v>
      </c>
      <c r="H30" s="328">
        <f t="shared" si="2"/>
        <v>185483.87096774191</v>
      </c>
      <c r="I30" s="511"/>
      <c r="J30" s="226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</row>
    <row r="31" spans="1:75" x14ac:dyDescent="0.35">
      <c r="A31" s="517" t="s">
        <v>226</v>
      </c>
      <c r="B31" s="314"/>
      <c r="C31" s="324" t="s">
        <v>184</v>
      </c>
      <c r="D31" s="329">
        <v>3.05</v>
      </c>
      <c r="E31" s="326">
        <f t="shared" si="0"/>
        <v>132858</v>
      </c>
      <c r="F31" s="327">
        <f t="shared" si="1"/>
        <v>9.5214439476734558</v>
      </c>
      <c r="G31" s="327">
        <v>1265000</v>
      </c>
      <c r="H31" s="328">
        <f t="shared" si="2"/>
        <v>414754.09836065571</v>
      </c>
      <c r="I31" s="511"/>
      <c r="J31" s="226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</row>
    <row r="32" spans="1:75" x14ac:dyDescent="0.35">
      <c r="A32" s="517" t="s">
        <v>227</v>
      </c>
      <c r="B32" s="314"/>
      <c r="C32" s="324" t="s">
        <v>199</v>
      </c>
      <c r="D32" s="329">
        <v>41.64</v>
      </c>
      <c r="E32" s="326">
        <f t="shared" si="0"/>
        <v>1813838.4000000001</v>
      </c>
      <c r="F32" s="327">
        <f t="shared" si="1"/>
        <v>5.6785654113398412</v>
      </c>
      <c r="G32" s="327">
        <v>10300000</v>
      </c>
      <c r="H32" s="328">
        <f t="shared" si="2"/>
        <v>247358.30931796349</v>
      </c>
      <c r="I32" s="511"/>
      <c r="J32" s="226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</row>
    <row r="33" spans="1:75" x14ac:dyDescent="0.35">
      <c r="A33" s="517" t="s">
        <v>228</v>
      </c>
      <c r="B33" s="314"/>
      <c r="C33" s="324" t="s">
        <v>219</v>
      </c>
      <c r="D33" s="329">
        <v>44.73</v>
      </c>
      <c r="E33" s="326">
        <f t="shared" si="0"/>
        <v>1948438.7999999998</v>
      </c>
      <c r="F33" s="327">
        <f t="shared" si="1"/>
        <v>3.0160916524552892</v>
      </c>
      <c r="G33" s="327">
        <v>5876670</v>
      </c>
      <c r="H33" s="328">
        <f t="shared" si="2"/>
        <v>131380.9523809524</v>
      </c>
      <c r="I33" s="511"/>
      <c r="J33" s="226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</row>
    <row r="34" spans="1:75" x14ac:dyDescent="0.35">
      <c r="A34" s="517" t="s">
        <v>229</v>
      </c>
      <c r="B34" s="314"/>
      <c r="C34" s="324" t="s">
        <v>204</v>
      </c>
      <c r="D34" s="329">
        <v>2.1800000000000002</v>
      </c>
      <c r="E34" s="326">
        <f t="shared" si="0"/>
        <v>94960.8</v>
      </c>
      <c r="F34" s="327">
        <f t="shared" si="1"/>
        <v>66.159667989317697</v>
      </c>
      <c r="G34" s="327">
        <v>6282575</v>
      </c>
      <c r="H34" s="328">
        <f t="shared" si="2"/>
        <v>2881915.1376146791</v>
      </c>
      <c r="I34" s="511"/>
      <c r="J34" s="226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</row>
    <row r="35" spans="1:75" x14ac:dyDescent="0.35">
      <c r="A35" s="517" t="s">
        <v>230</v>
      </c>
      <c r="B35" s="314"/>
      <c r="C35" s="324" t="s">
        <v>193</v>
      </c>
      <c r="D35" s="329">
        <v>2.17</v>
      </c>
      <c r="E35" s="326">
        <f t="shared" si="0"/>
        <v>94525.2</v>
      </c>
      <c r="F35" s="327">
        <f t="shared" si="1"/>
        <v>37.027163126869873</v>
      </c>
      <c r="G35" s="327">
        <v>3500000</v>
      </c>
      <c r="H35" s="328">
        <f t="shared" si="2"/>
        <v>1612903.2258064516</v>
      </c>
      <c r="I35" s="511"/>
      <c r="J35" s="226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</row>
    <row r="36" spans="1:75" x14ac:dyDescent="0.35">
      <c r="A36" s="518" t="s">
        <v>231</v>
      </c>
      <c r="B36" s="315"/>
      <c r="C36" s="330" t="s">
        <v>184</v>
      </c>
      <c r="D36" s="331">
        <v>3.06</v>
      </c>
      <c r="E36" s="332">
        <f t="shared" si="0"/>
        <v>133293.6</v>
      </c>
      <c r="F36" s="333">
        <f t="shared" si="1"/>
        <v>11.253353499342804</v>
      </c>
      <c r="G36" s="333">
        <v>1500000</v>
      </c>
      <c r="H36" s="334">
        <f t="shared" si="2"/>
        <v>490196.07843137253</v>
      </c>
      <c r="I36" s="511"/>
      <c r="J36" s="226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</row>
    <row r="37" spans="1:75" x14ac:dyDescent="0.35">
      <c r="A37" s="316" t="s">
        <v>232</v>
      </c>
      <c r="B37" s="315"/>
      <c r="C37" s="315"/>
      <c r="D37" s="335">
        <f>AVERAGE(D25:D36)</f>
        <v>22.250000000000004</v>
      </c>
      <c r="E37" s="336">
        <f>AVERAGE(E25:E36)</f>
        <v>969209.99999999988</v>
      </c>
      <c r="F37" s="337">
        <f>AVERAGE(F25:F36)</f>
        <v>17.851928617432424</v>
      </c>
      <c r="G37" s="337">
        <f>AVERAGE(G25:G36)</f>
        <v>7390909.583333333</v>
      </c>
      <c r="H37" s="338">
        <f>AVERAGE(H25:H36)</f>
        <v>777630.01057535631</v>
      </c>
      <c r="I37" s="511"/>
      <c r="J37" s="226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</row>
    <row r="38" spans="1:75" x14ac:dyDescent="0.35">
      <c r="A38" s="226"/>
      <c r="B38" s="226"/>
      <c r="C38" s="226"/>
      <c r="D38" s="226"/>
      <c r="E38" s="226"/>
      <c r="F38" s="226"/>
      <c r="G38" s="458"/>
      <c r="H38" s="458"/>
      <c r="I38" s="458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</row>
    <row r="39" spans="1:75" x14ac:dyDescent="0.35">
      <c r="A39" s="582" t="s">
        <v>233</v>
      </c>
      <c r="B39" s="604"/>
      <c r="C39" s="561"/>
      <c r="D39" s="561"/>
      <c r="E39" s="604"/>
      <c r="F39" s="605"/>
      <c r="G39" s="458"/>
      <c r="H39" s="745"/>
      <c r="I39" s="74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</row>
    <row r="40" spans="1:75" x14ac:dyDescent="0.35">
      <c r="A40" s="591" t="s">
        <v>2</v>
      </c>
      <c r="B40" s="592" t="s">
        <v>234</v>
      </c>
      <c r="C40" s="606" t="s">
        <v>235</v>
      </c>
      <c r="D40" s="606" t="s">
        <v>236</v>
      </c>
      <c r="E40" s="606" t="s">
        <v>237</v>
      </c>
      <c r="F40" s="560" t="s">
        <v>238</v>
      </c>
      <c r="G40" s="458"/>
      <c r="H40" s="745"/>
      <c r="I40" s="74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</row>
    <row r="41" spans="1:75" x14ac:dyDescent="0.35">
      <c r="A41" s="317" t="s">
        <v>60</v>
      </c>
      <c r="B41" s="458"/>
      <c r="C41" s="458"/>
      <c r="D41" s="458"/>
      <c r="E41" s="458"/>
      <c r="F41" s="459"/>
      <c r="G41" s="458"/>
      <c r="H41" s="745"/>
      <c r="I41" s="74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</row>
    <row r="42" spans="1:75" x14ac:dyDescent="0.35">
      <c r="A42" s="460"/>
      <c r="B42" s="463" t="s">
        <v>239</v>
      </c>
      <c r="C42" s="469">
        <f>G5</f>
        <v>1690000</v>
      </c>
      <c r="D42" s="508">
        <f>F5</f>
        <v>84455</v>
      </c>
      <c r="E42" s="464"/>
      <c r="F42" s="470">
        <f>C42*1.2</f>
        <v>2028000</v>
      </c>
      <c r="G42" s="458"/>
      <c r="H42" s="745"/>
      <c r="I42" s="74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</row>
    <row r="43" spans="1:75" x14ac:dyDescent="0.35">
      <c r="A43" s="457"/>
      <c r="B43" s="463" t="s">
        <v>240</v>
      </c>
      <c r="C43" s="467"/>
      <c r="D43" s="510">
        <f>SUM(E6:E9)</f>
        <v>955987</v>
      </c>
      <c r="E43" s="467">
        <f>F37</f>
        <v>17.851928617432424</v>
      </c>
      <c r="F43" s="470">
        <f>D43*E43*1.2</f>
        <v>20479454.019832045</v>
      </c>
      <c r="G43" s="458"/>
      <c r="H43" s="745"/>
      <c r="I43" s="74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</row>
    <row r="44" spans="1:75" x14ac:dyDescent="0.35">
      <c r="A44" s="515" t="s">
        <v>241</v>
      </c>
      <c r="B44" s="324"/>
      <c r="C44" s="509"/>
      <c r="D44" s="465">
        <f>D42+D43</f>
        <v>1040442</v>
      </c>
      <c r="E44" s="327"/>
      <c r="F44" s="471"/>
      <c r="G44" s="458"/>
      <c r="H44" s="745"/>
      <c r="I44" s="74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</row>
    <row r="45" spans="1:75" x14ac:dyDescent="0.35">
      <c r="A45" s="323" t="s">
        <v>61</v>
      </c>
      <c r="B45" s="458"/>
      <c r="C45" s="318"/>
      <c r="D45" s="458"/>
      <c r="E45" s="468"/>
      <c r="F45" s="459"/>
      <c r="G45" s="458"/>
      <c r="H45" s="745"/>
      <c r="I45" s="74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</row>
    <row r="46" spans="1:75" x14ac:dyDescent="0.35">
      <c r="A46" s="457"/>
      <c r="B46" s="466" t="s">
        <v>239</v>
      </c>
      <c r="C46" s="461">
        <f>G14</f>
        <v>313000</v>
      </c>
      <c r="D46" s="508">
        <f>F14</f>
        <v>12372</v>
      </c>
      <c r="E46" s="464"/>
      <c r="F46" s="470">
        <f>C46*1.2</f>
        <v>375600</v>
      </c>
      <c r="G46" s="458"/>
      <c r="H46" s="745"/>
      <c r="I46" s="74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</row>
    <row r="47" spans="1:75" x14ac:dyDescent="0.35">
      <c r="A47" s="457"/>
      <c r="B47" s="466" t="s">
        <v>240</v>
      </c>
      <c r="C47" s="512"/>
      <c r="D47" s="513">
        <f>SUM(E10:E16)</f>
        <v>1272036</v>
      </c>
      <c r="E47" s="467">
        <f>F37</f>
        <v>17.851928617432424</v>
      </c>
      <c r="F47" s="470">
        <f>D47*E47*1.2</f>
        <v>27249955.044965126</v>
      </c>
      <c r="G47" s="458"/>
      <c r="H47" s="745"/>
      <c r="I47" s="74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</row>
    <row r="48" spans="1:75" x14ac:dyDescent="0.35">
      <c r="A48" s="516" t="s">
        <v>242</v>
      </c>
      <c r="B48" s="342"/>
      <c r="C48" s="472"/>
      <c r="D48" s="473">
        <f>D46+D47</f>
        <v>1284408</v>
      </c>
      <c r="E48" s="333"/>
      <c r="F48" s="514"/>
      <c r="G48" s="458"/>
      <c r="H48" s="745"/>
      <c r="I48" s="74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</row>
    <row r="49" spans="1:75" x14ac:dyDescent="0.35">
      <c r="A49" s="458"/>
      <c r="B49" s="458"/>
      <c r="C49" s="458"/>
      <c r="D49" s="458"/>
      <c r="E49" s="458"/>
      <c r="F49" s="458"/>
      <c r="G49" s="745"/>
      <c r="H49" s="745"/>
      <c r="I49" s="74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</row>
    <row r="50" spans="1:75" x14ac:dyDescent="0.35">
      <c r="A50" s="745"/>
      <c r="B50" s="745"/>
      <c r="C50" s="745"/>
      <c r="D50" s="745"/>
      <c r="E50" s="745"/>
      <c r="F50" s="745"/>
      <c r="G50" s="745"/>
      <c r="H50" s="745"/>
      <c r="I50" s="74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</row>
    <row r="51" spans="1:75" x14ac:dyDescent="0.35">
      <c r="A51" s="745"/>
      <c r="B51" s="745"/>
      <c r="C51" s="745"/>
      <c r="D51" s="745"/>
      <c r="E51" s="745"/>
      <c r="F51" s="745"/>
      <c r="G51" s="745"/>
      <c r="H51" s="745"/>
      <c r="I51" s="74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</row>
    <row r="52" spans="1:75" x14ac:dyDescent="0.35">
      <c r="A52" s="745"/>
      <c r="B52" s="745"/>
      <c r="C52" s="745"/>
      <c r="D52" s="745"/>
      <c r="E52" s="745"/>
      <c r="F52" s="745"/>
      <c r="G52" s="745"/>
      <c r="H52" s="745"/>
      <c r="I52" s="74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</row>
    <row r="53" spans="1:75" x14ac:dyDescent="0.35">
      <c r="A53" s="745"/>
      <c r="B53" s="745"/>
      <c r="C53" s="745"/>
      <c r="D53" s="745"/>
      <c r="E53" s="745"/>
      <c r="F53" s="745"/>
      <c r="G53" s="745"/>
      <c r="H53" s="745"/>
      <c r="I53" s="74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</row>
    <row r="54" spans="1:75" x14ac:dyDescent="0.35">
      <c r="A54" s="745"/>
      <c r="B54" s="745"/>
      <c r="C54" s="745"/>
      <c r="D54" s="745"/>
      <c r="E54" s="745"/>
      <c r="F54" s="745"/>
      <c r="G54" s="745"/>
      <c r="H54" s="745"/>
      <c r="I54" s="74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</row>
    <row r="55" spans="1:75" x14ac:dyDescent="0.35">
      <c r="A55" s="745"/>
      <c r="B55" s="745"/>
      <c r="C55" s="745"/>
      <c r="D55" s="745"/>
      <c r="E55" s="745"/>
      <c r="F55" s="745"/>
      <c r="G55" s="745"/>
      <c r="H55" s="745"/>
      <c r="I55" s="74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</row>
    <row r="56" spans="1:75" x14ac:dyDescent="0.35">
      <c r="A56" s="745"/>
      <c r="B56" s="745"/>
      <c r="C56" s="745"/>
      <c r="D56" s="745"/>
      <c r="E56" s="745"/>
      <c r="F56" s="745"/>
      <c r="G56" s="745"/>
      <c r="H56" s="745"/>
      <c r="I56" s="74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</row>
    <row r="57" spans="1:75" x14ac:dyDescent="0.35">
      <c r="A57" s="745"/>
      <c r="B57" s="745"/>
      <c r="C57" s="745"/>
      <c r="D57" s="745"/>
      <c r="E57" s="745"/>
      <c r="F57" s="745"/>
      <c r="G57" s="745"/>
      <c r="H57" s="745"/>
      <c r="I57" s="74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</row>
    <row r="58" spans="1:75" x14ac:dyDescent="0.35">
      <c r="A58" s="745"/>
      <c r="B58" s="745"/>
      <c r="C58" s="745"/>
      <c r="D58" s="745"/>
      <c r="E58" s="745"/>
      <c r="F58" s="745"/>
      <c r="G58" s="745"/>
      <c r="H58" s="745"/>
      <c r="I58" s="74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</row>
    <row r="59" spans="1:75" x14ac:dyDescent="0.35">
      <c r="A59" s="745"/>
      <c r="B59" s="745"/>
      <c r="C59" s="745"/>
      <c r="D59" s="745"/>
      <c r="E59" s="745"/>
      <c r="F59" s="745"/>
      <c r="G59" s="745"/>
      <c r="H59" s="745"/>
      <c r="I59" s="74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</row>
    <row r="60" spans="1:75" x14ac:dyDescent="0.35">
      <c r="A60" s="745"/>
      <c r="B60" s="745"/>
      <c r="C60" s="745"/>
      <c r="D60" s="745"/>
      <c r="E60" s="745"/>
      <c r="F60" s="745"/>
      <c r="G60" s="745"/>
      <c r="H60" s="745"/>
      <c r="I60" s="74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</row>
    <row r="61" spans="1:75" x14ac:dyDescent="0.35">
      <c r="A61" s="745"/>
      <c r="B61" s="745"/>
      <c r="C61" s="745"/>
      <c r="D61" s="745"/>
      <c r="E61" s="745"/>
      <c r="F61" s="745"/>
      <c r="G61" s="745"/>
      <c r="H61" s="745"/>
      <c r="I61" s="74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</row>
    <row r="62" spans="1:75" x14ac:dyDescent="0.35">
      <c r="A62" s="745"/>
      <c r="B62" s="745"/>
      <c r="C62" s="745"/>
      <c r="D62" s="745"/>
      <c r="E62" s="745"/>
      <c r="F62" s="745"/>
      <c r="G62" s="745"/>
      <c r="H62" s="745"/>
      <c r="I62" s="74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</row>
    <row r="63" spans="1:75" x14ac:dyDescent="0.35">
      <c r="A63" s="745"/>
      <c r="B63" s="745"/>
      <c r="C63" s="745"/>
      <c r="D63" s="745"/>
      <c r="E63" s="745"/>
      <c r="F63" s="745"/>
      <c r="G63" s="745"/>
      <c r="H63" s="745"/>
      <c r="I63" s="74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</row>
    <row r="64" spans="1:75" x14ac:dyDescent="0.35">
      <c r="A64" s="745"/>
      <c r="B64" s="745"/>
      <c r="C64" s="745"/>
      <c r="D64" s="745"/>
      <c r="E64" s="745"/>
      <c r="F64" s="745"/>
      <c r="G64" s="745"/>
      <c r="H64" s="745"/>
      <c r="I64" s="74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</row>
    <row r="65" spans="1:75" x14ac:dyDescent="0.35">
      <c r="A65" s="745"/>
      <c r="B65" s="745"/>
      <c r="C65" s="745"/>
      <c r="D65" s="745"/>
      <c r="E65" s="745"/>
      <c r="F65" s="745"/>
      <c r="G65" s="745"/>
      <c r="H65" s="745"/>
      <c r="I65" s="74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5"/>
      <c r="AY65" s="225"/>
      <c r="AZ65" s="225"/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</row>
    <row r="66" spans="1:75" x14ac:dyDescent="0.35">
      <c r="A66" s="745"/>
      <c r="B66" s="745"/>
      <c r="C66" s="745"/>
      <c r="D66" s="745"/>
      <c r="E66" s="745"/>
      <c r="F66" s="745"/>
      <c r="G66" s="745"/>
      <c r="H66" s="745"/>
      <c r="I66" s="74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 s="225"/>
      <c r="BF66" s="225"/>
      <c r="BG66" s="225"/>
      <c r="BH66" s="225"/>
      <c r="BI66" s="225"/>
      <c r="BJ66" s="225"/>
      <c r="BK66" s="225"/>
      <c r="BL66" s="225"/>
      <c r="BM66" s="225"/>
      <c r="BN66" s="225"/>
      <c r="BO66" s="225"/>
      <c r="BP66" s="225"/>
      <c r="BQ66" s="225"/>
      <c r="BR66" s="225"/>
      <c r="BS66" s="225"/>
      <c r="BT66" s="225"/>
      <c r="BU66" s="225"/>
      <c r="BV66" s="225"/>
      <c r="BW66" s="225"/>
    </row>
    <row r="67" spans="1:75" x14ac:dyDescent="0.35">
      <c r="A67" s="745"/>
      <c r="B67" s="745"/>
      <c r="C67" s="745"/>
      <c r="D67" s="745"/>
      <c r="E67" s="745"/>
      <c r="F67" s="745"/>
      <c r="G67" s="745"/>
      <c r="H67" s="745"/>
      <c r="I67" s="74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5"/>
      <c r="BU67" s="225"/>
      <c r="BV67" s="225"/>
      <c r="BW67" s="225"/>
    </row>
    <row r="68" spans="1:75" x14ac:dyDescent="0.35">
      <c r="A68" s="745"/>
      <c r="B68" s="745"/>
      <c r="C68" s="745"/>
      <c r="D68" s="745"/>
      <c r="E68" s="745"/>
      <c r="F68" s="745"/>
      <c r="G68" s="745"/>
      <c r="H68" s="745"/>
      <c r="I68" s="74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</row>
    <row r="69" spans="1:75" x14ac:dyDescent="0.35">
      <c r="A69" s="745"/>
      <c r="B69" s="745"/>
      <c r="C69" s="745"/>
      <c r="D69" s="745"/>
      <c r="E69" s="745"/>
      <c r="F69" s="745"/>
      <c r="G69" s="745"/>
      <c r="H69" s="745"/>
      <c r="I69" s="74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</row>
    <row r="70" spans="1:75" x14ac:dyDescent="0.35">
      <c r="A70" s="745"/>
      <c r="B70" s="745"/>
      <c r="C70" s="745"/>
      <c r="D70" s="745"/>
      <c r="E70" s="745"/>
      <c r="F70" s="745"/>
      <c r="G70" s="745"/>
      <c r="H70" s="745"/>
      <c r="I70" s="74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</row>
    <row r="71" spans="1:75" x14ac:dyDescent="0.35">
      <c r="A71" s="745"/>
      <c r="B71" s="745"/>
      <c r="C71" s="745"/>
      <c r="D71" s="745"/>
      <c r="E71" s="745"/>
      <c r="F71" s="745"/>
      <c r="G71" s="745"/>
      <c r="H71" s="745"/>
      <c r="I71" s="74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</row>
    <row r="72" spans="1:75" x14ac:dyDescent="0.35">
      <c r="A72" s="745"/>
      <c r="B72" s="745"/>
      <c r="C72" s="745"/>
      <c r="D72" s="745"/>
      <c r="E72" s="745"/>
      <c r="F72" s="745"/>
      <c r="G72" s="745"/>
      <c r="H72" s="745"/>
      <c r="I72" s="74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</row>
    <row r="73" spans="1:75" x14ac:dyDescent="0.35">
      <c r="A73" s="745"/>
      <c r="B73" s="745"/>
      <c r="C73" s="745"/>
      <c r="D73" s="745"/>
      <c r="E73" s="745"/>
      <c r="F73" s="745"/>
      <c r="G73" s="745"/>
      <c r="H73" s="745"/>
      <c r="I73" s="74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</row>
    <row r="74" spans="1:75" x14ac:dyDescent="0.35">
      <c r="A74" s="745"/>
      <c r="B74" s="745"/>
      <c r="C74" s="745"/>
      <c r="D74" s="745"/>
      <c r="E74" s="745"/>
      <c r="F74" s="745"/>
      <c r="G74" s="745"/>
      <c r="H74" s="745"/>
      <c r="I74" s="74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</row>
    <row r="75" spans="1:75" x14ac:dyDescent="0.35">
      <c r="A75" s="745"/>
      <c r="B75" s="745"/>
      <c r="C75" s="745"/>
      <c r="D75" s="745"/>
      <c r="E75" s="745"/>
      <c r="F75" s="745"/>
      <c r="G75" s="745"/>
      <c r="H75" s="745"/>
      <c r="I75" s="74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</row>
    <row r="76" spans="1:75" x14ac:dyDescent="0.35">
      <c r="A76" s="745"/>
      <c r="B76" s="745"/>
      <c r="C76" s="745"/>
      <c r="D76" s="745"/>
      <c r="E76" s="745"/>
      <c r="F76" s="745"/>
      <c r="G76" s="745"/>
      <c r="H76" s="745"/>
      <c r="I76" s="74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</row>
    <row r="77" spans="1:75" x14ac:dyDescent="0.35">
      <c r="A77" s="745"/>
      <c r="B77" s="745"/>
      <c r="C77" s="745"/>
      <c r="D77" s="745"/>
      <c r="E77" s="745"/>
      <c r="F77" s="745"/>
      <c r="G77" s="745"/>
      <c r="H77" s="745"/>
      <c r="I77" s="74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</row>
    <row r="78" spans="1:75" x14ac:dyDescent="0.35">
      <c r="A78" s="745"/>
      <c r="B78" s="745"/>
      <c r="C78" s="745"/>
      <c r="D78" s="745"/>
      <c r="E78" s="745"/>
      <c r="F78" s="745"/>
      <c r="G78" s="745"/>
      <c r="H78" s="745"/>
      <c r="I78" s="74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</row>
    <row r="79" spans="1:75" x14ac:dyDescent="0.35">
      <c r="A79" s="745"/>
      <c r="B79" s="745"/>
      <c r="C79" s="745"/>
      <c r="D79" s="745"/>
      <c r="E79" s="745"/>
      <c r="F79" s="745"/>
      <c r="G79" s="745"/>
      <c r="H79" s="745"/>
      <c r="I79" s="74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</row>
    <row r="80" spans="1:75" x14ac:dyDescent="0.35">
      <c r="A80" s="745"/>
      <c r="B80" s="745"/>
      <c r="C80" s="745"/>
      <c r="D80" s="745"/>
      <c r="E80" s="745"/>
      <c r="F80" s="745"/>
      <c r="G80" s="745"/>
      <c r="H80" s="745"/>
      <c r="I80" s="74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</row>
    <row r="81" spans="1:75" x14ac:dyDescent="0.35">
      <c r="A81" s="745"/>
      <c r="B81" s="745"/>
      <c r="C81" s="745"/>
      <c r="D81" s="745"/>
      <c r="E81" s="745"/>
      <c r="F81" s="745"/>
      <c r="G81" s="745"/>
      <c r="H81" s="745"/>
      <c r="I81" s="74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</row>
    <row r="82" spans="1:75" x14ac:dyDescent="0.35">
      <c r="A82" s="745"/>
      <c r="B82" s="745"/>
      <c r="C82" s="745"/>
      <c r="D82" s="745"/>
      <c r="E82" s="745"/>
      <c r="F82" s="745"/>
      <c r="G82" s="745"/>
      <c r="H82" s="745"/>
      <c r="I82" s="74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</row>
    <row r="83" spans="1:75" x14ac:dyDescent="0.35">
      <c r="A83" s="747"/>
      <c r="B83" s="747"/>
      <c r="C83" s="747"/>
      <c r="D83" s="747"/>
      <c r="E83" s="747"/>
      <c r="F83" s="747"/>
      <c r="G83" s="747"/>
      <c r="H83" s="747"/>
      <c r="I83" s="747"/>
    </row>
    <row r="84" spans="1:75" x14ac:dyDescent="0.35">
      <c r="A84" s="747"/>
      <c r="B84" s="747"/>
      <c r="C84" s="747"/>
      <c r="D84" s="747"/>
      <c r="E84" s="747"/>
      <c r="F84" s="747"/>
      <c r="G84" s="747"/>
      <c r="H84" s="747"/>
      <c r="I84" s="747"/>
    </row>
    <row r="85" spans="1:75" x14ac:dyDescent="0.35">
      <c r="A85" s="747"/>
      <c r="B85" s="747"/>
      <c r="C85" s="747"/>
      <c r="D85" s="747"/>
      <c r="E85" s="747"/>
      <c r="F85" s="747"/>
      <c r="G85" s="747"/>
      <c r="H85" s="747"/>
      <c r="I85" s="747"/>
    </row>
    <row r="86" spans="1:75" x14ac:dyDescent="0.35">
      <c r="A86" s="747"/>
      <c r="B86" s="747"/>
      <c r="C86" s="747"/>
      <c r="D86" s="747"/>
      <c r="E86" s="747"/>
      <c r="F86" s="747"/>
      <c r="G86" s="747"/>
      <c r="H86" s="747"/>
      <c r="I86" s="747"/>
    </row>
    <row r="87" spans="1:75" x14ac:dyDescent="0.35">
      <c r="A87" s="747"/>
      <c r="B87" s="747"/>
      <c r="C87" s="747"/>
      <c r="D87" s="747"/>
      <c r="E87" s="747"/>
      <c r="F87" s="747"/>
      <c r="G87" s="747"/>
      <c r="H87" s="747"/>
      <c r="I87" s="747"/>
    </row>
    <row r="88" spans="1:75" x14ac:dyDescent="0.35">
      <c r="A88" s="747"/>
      <c r="B88" s="747"/>
      <c r="C88" s="747"/>
      <c r="D88" s="747"/>
      <c r="E88" s="747"/>
      <c r="F88" s="747"/>
      <c r="G88" s="747"/>
      <c r="H88" s="747"/>
      <c r="I88" s="747"/>
    </row>
    <row r="89" spans="1:75" x14ac:dyDescent="0.35">
      <c r="A89" s="747"/>
      <c r="B89" s="747"/>
      <c r="C89" s="747"/>
      <c r="D89" s="747"/>
      <c r="E89" s="747"/>
      <c r="F89" s="747"/>
      <c r="G89" s="747"/>
      <c r="H89" s="747"/>
      <c r="I89" s="747"/>
    </row>
    <row r="90" spans="1:75" x14ac:dyDescent="0.35">
      <c r="A90" s="747"/>
      <c r="B90" s="747"/>
      <c r="C90" s="747"/>
      <c r="D90" s="747"/>
      <c r="E90" s="747"/>
      <c r="F90" s="747"/>
      <c r="G90" s="747"/>
      <c r="H90" s="747"/>
      <c r="I90" s="747"/>
    </row>
    <row r="91" spans="1:75" x14ac:dyDescent="0.35">
      <c r="A91" s="747"/>
      <c r="B91" s="747"/>
      <c r="C91" s="747"/>
      <c r="D91" s="747"/>
      <c r="E91" s="747"/>
      <c r="F91" s="747"/>
      <c r="G91" s="747"/>
      <c r="H91" s="747"/>
      <c r="I91" s="747"/>
    </row>
    <row r="92" spans="1:75" x14ac:dyDescent="0.35">
      <c r="A92" s="747"/>
      <c r="B92" s="747"/>
      <c r="C92" s="747"/>
      <c r="D92" s="747"/>
      <c r="E92" s="747"/>
      <c r="F92" s="747"/>
      <c r="G92" s="747"/>
      <c r="H92" s="747"/>
      <c r="I92" s="747"/>
    </row>
    <row r="93" spans="1:75" x14ac:dyDescent="0.35">
      <c r="A93" s="747"/>
      <c r="B93" s="747"/>
      <c r="C93" s="747"/>
      <c r="D93" s="747"/>
      <c r="E93" s="747"/>
      <c r="F93" s="747"/>
      <c r="G93" s="747"/>
      <c r="H93" s="747"/>
      <c r="I93" s="747"/>
    </row>
    <row r="94" spans="1:75" x14ac:dyDescent="0.35">
      <c r="A94" s="747"/>
      <c r="B94" s="747"/>
      <c r="C94" s="747"/>
      <c r="D94" s="747"/>
      <c r="E94" s="747"/>
      <c r="F94" s="747"/>
      <c r="G94" s="747"/>
      <c r="H94" s="747"/>
      <c r="I94" s="747"/>
    </row>
    <row r="95" spans="1:75" x14ac:dyDescent="0.35">
      <c r="A95" s="747"/>
      <c r="B95" s="747"/>
      <c r="C95" s="747"/>
      <c r="D95" s="747"/>
      <c r="E95" s="747"/>
      <c r="F95" s="747"/>
      <c r="G95" s="747"/>
      <c r="H95" s="747"/>
      <c r="I95" s="747"/>
    </row>
    <row r="96" spans="1:75" x14ac:dyDescent="0.35">
      <c r="A96" s="747"/>
      <c r="B96" s="747"/>
      <c r="C96" s="747"/>
      <c r="D96" s="747"/>
      <c r="E96" s="747"/>
      <c r="F96" s="747"/>
      <c r="G96" s="747"/>
      <c r="H96" s="747"/>
      <c r="I96" s="747"/>
    </row>
    <row r="97" spans="1:9" x14ac:dyDescent="0.35">
      <c r="A97" s="747"/>
      <c r="B97" s="747"/>
      <c r="C97" s="747"/>
      <c r="D97" s="747"/>
      <c r="E97" s="747"/>
      <c r="F97" s="747"/>
      <c r="G97" s="747"/>
      <c r="H97" s="747"/>
      <c r="I97" s="747"/>
    </row>
    <row r="98" spans="1:9" x14ac:dyDescent="0.35">
      <c r="A98" s="747"/>
      <c r="B98" s="747"/>
      <c r="C98" s="747"/>
      <c r="D98" s="747"/>
      <c r="E98" s="747"/>
      <c r="F98" s="747"/>
      <c r="G98" s="747"/>
      <c r="H98" s="747"/>
      <c r="I98" s="747"/>
    </row>
    <row r="99" spans="1:9" x14ac:dyDescent="0.35">
      <c r="A99" s="747"/>
      <c r="B99" s="747"/>
      <c r="C99" s="747"/>
      <c r="D99" s="747"/>
      <c r="E99" s="747"/>
      <c r="F99" s="747"/>
      <c r="G99" s="747"/>
      <c r="H99" s="747"/>
      <c r="I99" s="747"/>
    </row>
    <row r="100" spans="1:9" x14ac:dyDescent="0.35">
      <c r="A100" s="747"/>
      <c r="B100" s="747"/>
      <c r="C100" s="747"/>
      <c r="D100" s="747"/>
      <c r="E100" s="747"/>
      <c r="F100" s="747"/>
      <c r="G100" s="747"/>
      <c r="H100" s="747"/>
      <c r="I100" s="7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6923C"/>
    <pageSetUpPr fitToPage="1"/>
  </sheetPr>
  <dimension ref="A1:BU1005"/>
  <sheetViews>
    <sheetView showGridLines="0" tabSelected="1" topLeftCell="A14" workbookViewId="0">
      <selection activeCell="B24" sqref="B24"/>
    </sheetView>
  </sheetViews>
  <sheetFormatPr defaultColWidth="14.453125" defaultRowHeight="15" customHeight="1" x14ac:dyDescent="0.35"/>
  <cols>
    <col min="1" max="1" width="38.1796875" customWidth="1"/>
    <col min="2" max="2" width="26.7265625" customWidth="1"/>
    <col min="3" max="3" width="22.453125" customWidth="1"/>
    <col min="4" max="4" width="15.7265625" customWidth="1"/>
    <col min="5" max="5" width="18.1796875" customWidth="1"/>
    <col min="6" max="6" width="26.1796875" customWidth="1"/>
    <col min="7" max="7" width="14.81640625" customWidth="1"/>
    <col min="8" max="73" width="8.81640625" customWidth="1"/>
  </cols>
  <sheetData>
    <row r="1" spans="1:73" ht="23.25" customHeight="1" x14ac:dyDescent="0.35">
      <c r="A1" s="617"/>
      <c r="B1" s="618"/>
      <c r="C1" s="410"/>
      <c r="D1" s="619"/>
      <c r="E1" s="22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23.25" customHeight="1" x14ac:dyDescent="0.35">
      <c r="A2" s="939" t="s">
        <v>243</v>
      </c>
      <c r="B2" s="940"/>
      <c r="C2" s="940"/>
      <c r="D2" s="941" t="s">
        <v>60</v>
      </c>
      <c r="E2" s="942"/>
      <c r="F2" s="2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23.25" customHeight="1" x14ac:dyDescent="0.35">
      <c r="A3" s="540"/>
      <c r="B3" s="541"/>
      <c r="C3" s="541"/>
      <c r="D3" s="620">
        <v>0</v>
      </c>
      <c r="E3" s="621" t="s">
        <v>244</v>
      </c>
      <c r="F3" s="22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23.25" customHeight="1" x14ac:dyDescent="0.35">
      <c r="A4" s="614" t="s">
        <v>245</v>
      </c>
      <c r="B4" s="615" t="s">
        <v>66</v>
      </c>
      <c r="C4" s="622" t="s">
        <v>246</v>
      </c>
      <c r="D4" s="615" t="s">
        <v>247</v>
      </c>
      <c r="E4" s="616" t="s">
        <v>248</v>
      </c>
      <c r="F4" s="2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23.25" customHeight="1" x14ac:dyDescent="0.35">
      <c r="A5" s="230" t="s">
        <v>249</v>
      </c>
      <c r="B5" s="303">
        <f>Assumptions!D6</f>
        <v>291.584</v>
      </c>
      <c r="C5" s="231">
        <f>Assumptions!D7</f>
        <v>400</v>
      </c>
      <c r="D5" s="623">
        <f>Assumptions!D8*(1+D$3)</f>
        <v>2.9</v>
      </c>
      <c r="E5" s="624">
        <f>12*B5*C5*D5</f>
        <v>4058849.2799999998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23.25" customHeight="1" x14ac:dyDescent="0.35">
      <c r="A6" s="10" t="s">
        <v>250</v>
      </c>
      <c r="B6" s="302">
        <f>Assumptions!D11</f>
        <v>291.584</v>
      </c>
      <c r="C6" s="12">
        <f>Assumptions!D12</f>
        <v>600</v>
      </c>
      <c r="D6" s="13">
        <f>Assumptions!D13*(1+D$3)</f>
        <v>2.8</v>
      </c>
      <c r="E6" s="14">
        <f t="shared" ref="E6:E8" si="0">12*B6*C6*D6</f>
        <v>5878333.4399999995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23.25" customHeight="1" x14ac:dyDescent="0.35">
      <c r="A7" s="230" t="s">
        <v>251</v>
      </c>
      <c r="B7" s="303">
        <f>Assumptions!D16</f>
        <v>223.54773333333333</v>
      </c>
      <c r="C7" s="231">
        <f>Assumptions!D17</f>
        <v>900</v>
      </c>
      <c r="D7" s="13">
        <f>Assumptions!D18*(1+D$3)</f>
        <v>2.65</v>
      </c>
      <c r="E7" s="14">
        <f t="shared" si="0"/>
        <v>6397936.1279999996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23.25" customHeight="1" x14ac:dyDescent="0.35">
      <c r="A8" s="230" t="s">
        <v>252</v>
      </c>
      <c r="B8" s="302">
        <f>Assumptions!D21</f>
        <v>69.531569230769236</v>
      </c>
      <c r="C8" s="12">
        <f>Assumptions!D22</f>
        <v>1300</v>
      </c>
      <c r="D8" s="13">
        <f>Assumptions!D23*(1+D$3)</f>
        <v>2.4</v>
      </c>
      <c r="E8" s="14">
        <f t="shared" si="0"/>
        <v>2603261.952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3.25" customHeight="1" x14ac:dyDescent="0.35">
      <c r="A9" s="230" t="s">
        <v>253</v>
      </c>
      <c r="B9" s="302">
        <f>Assumptions!D28</f>
        <v>72.896000000000001</v>
      </c>
      <c r="C9" s="12">
        <f>Assumptions!D29</f>
        <v>400</v>
      </c>
      <c r="D9" s="13">
        <f>Assumptions!D30*(1+D$3)</f>
        <v>0.93303125000000009</v>
      </c>
      <c r="E9" s="14">
        <f>12*B9*C9*D9</f>
        <v>326468.38080000004</v>
      </c>
      <c r="F9" s="2"/>
      <c r="G9" s="7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23.25" customHeight="1" x14ac:dyDescent="0.35">
      <c r="A10" s="230" t="s">
        <v>254</v>
      </c>
      <c r="B10" s="302">
        <f>Assumptions!D33</f>
        <v>72.896000000000001</v>
      </c>
      <c r="C10" s="12">
        <f>Assumptions!D34</f>
        <v>600</v>
      </c>
      <c r="D10" s="13">
        <f>Assumptions!D35*(1+D$3)</f>
        <v>0.85542708333333339</v>
      </c>
      <c r="E10" s="14">
        <f>12*B10*C10*D10</f>
        <v>448971.93119999999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23.25" customHeight="1" x14ac:dyDescent="0.35">
      <c r="A11" s="230" t="s">
        <v>255</v>
      </c>
      <c r="B11" s="302">
        <f>Assumptions!D38</f>
        <v>55.886933333333332</v>
      </c>
      <c r="C11" s="12">
        <f>Assumptions!D39</f>
        <v>900</v>
      </c>
      <c r="D11" s="13">
        <f>Assumptions!D40*(1+D$3)</f>
        <v>0.72588888888888881</v>
      </c>
      <c r="E11" s="14">
        <f>12*B11*C11*D11</f>
        <v>438131.20255999995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3.25" customHeight="1" x14ac:dyDescent="0.35">
      <c r="A12" s="230" t="s">
        <v>256</v>
      </c>
      <c r="B12" s="302">
        <f>Assumptions!D43</f>
        <v>17.382892307692309</v>
      </c>
      <c r="C12" s="12">
        <f>Assumptions!D44</f>
        <v>1300</v>
      </c>
      <c r="D12" s="13">
        <f>Assumptions!D45*(1+D$3)</f>
        <v>0.62817307692307689</v>
      </c>
      <c r="E12" s="14">
        <f>12*B12*C12*D12</f>
        <v>170343.65316923076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23.25" customHeight="1" x14ac:dyDescent="0.35">
      <c r="A13" s="16" t="s">
        <v>257</v>
      </c>
      <c r="B13" s="17">
        <f>SUM(B5:B12)</f>
        <v>1095.3091282051282</v>
      </c>
      <c r="C13" s="18">
        <f>(B5*C5)+(B6*C6)+(B7*C7)+(B8*C8)+(B9*C9)+(B10*C10)+(B11*C11)+(B12*C12)</f>
        <v>728960</v>
      </c>
      <c r="D13" s="580"/>
      <c r="E13" s="19">
        <f>SUM(E5:E12)</f>
        <v>20322295.967729229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3.25" customHeight="1" x14ac:dyDescent="0.35">
      <c r="A14" s="20" t="s">
        <v>258</v>
      </c>
      <c r="B14" s="579"/>
      <c r="C14" s="21">
        <f>C13/B13</f>
        <v>665.52901023890786</v>
      </c>
      <c r="D14" s="22">
        <f>(E13/12)/C13</f>
        <v>2.3232065737179486</v>
      </c>
      <c r="E14" s="581"/>
      <c r="F14" s="2"/>
      <c r="G14" s="2"/>
      <c r="H14" s="2"/>
      <c r="I14" s="2"/>
      <c r="J14" s="2"/>
      <c r="K14" s="2"/>
      <c r="L14" s="2"/>
      <c r="M14" s="2"/>
      <c r="N14" s="2"/>
      <c r="O14" s="2" t="s">
        <v>259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23.25" customHeight="1" x14ac:dyDescent="0.35">
      <c r="A15" s="232"/>
      <c r="B15" s="233"/>
      <c r="C15" s="234"/>
      <c r="D15" s="235"/>
      <c r="E15" s="2"/>
      <c r="F15" s="2"/>
      <c r="G15" s="7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23.25" customHeight="1" x14ac:dyDescent="0.35">
      <c r="A16" s="542" t="s">
        <v>260</v>
      </c>
      <c r="B16" s="543" t="s">
        <v>261</v>
      </c>
      <c r="C16" s="543" t="s">
        <v>262</v>
      </c>
      <c r="D16" s="543" t="s">
        <v>248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23.25" customHeight="1" x14ac:dyDescent="0.35">
      <c r="A17" s="23" t="s">
        <v>39</v>
      </c>
      <c r="B17" s="307">
        <f>Assumptions!D50</f>
        <v>187950</v>
      </c>
      <c r="C17" s="24">
        <f>Assumptions!D51</f>
        <v>38</v>
      </c>
      <c r="D17" s="4">
        <f t="shared" ref="D17" si="1">B17*C17</f>
        <v>7142100</v>
      </c>
      <c r="E17" s="2"/>
      <c r="F17" s="2"/>
      <c r="G17" s="2"/>
      <c r="H17" s="7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3.25" customHeight="1" x14ac:dyDescent="0.35">
      <c r="A18" s="300" t="s">
        <v>151</v>
      </c>
      <c r="B18" s="308">
        <f>Assumptions!D62</f>
        <v>141350</v>
      </c>
      <c r="C18" s="301">
        <f>Assumptions!D63</f>
        <v>25</v>
      </c>
      <c r="D18" s="4">
        <f>B18*C18</f>
        <v>3533750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3.25" customHeight="1" x14ac:dyDescent="0.35">
      <c r="A19" s="25" t="s">
        <v>43</v>
      </c>
      <c r="B19" s="309">
        <f>Assumptions!D56</f>
        <v>93650</v>
      </c>
      <c r="C19" s="26">
        <f>Assumptions!D57</f>
        <v>28</v>
      </c>
      <c r="D19" s="7">
        <f>B19*C19</f>
        <v>2622200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3.25" customHeight="1" x14ac:dyDescent="0.35">
      <c r="A20" s="27" t="s">
        <v>263</v>
      </c>
      <c r="B20" s="236">
        <f>SUM(B17:B19)</f>
        <v>422950</v>
      </c>
      <c r="C20" s="237">
        <f>IF(B20=0,0,D20/B20)</f>
        <v>31.441186901525004</v>
      </c>
      <c r="D20" s="228">
        <f>SUM(D17:D19)</f>
        <v>13298050</v>
      </c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23.25" customHeight="1" x14ac:dyDescent="0.35">
      <c r="A21" s="544" t="s">
        <v>264</v>
      </c>
      <c r="B21" s="545" t="str">
        <f>D2</f>
        <v>Phase I</v>
      </c>
      <c r="C21" s="22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23.25" customHeight="1" x14ac:dyDescent="0.35">
      <c r="A22" s="3" t="s">
        <v>49</v>
      </c>
      <c r="B22" s="507">
        <f>((Assumptions!D6+Assumptions!D28)*Assumptions!B81)+((Assumptions!D11+Assumptions!D33)*Assumptions!B82)+((Assumptions!D16+Assumptions!D21+Assumptions!D38+Assumptions!D43)*Assumptions!B83)</f>
        <v>1552.7782564102565</v>
      </c>
      <c r="C22" s="456"/>
      <c r="D22" s="2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23.25" customHeight="1" x14ac:dyDescent="0.35">
      <c r="A23" s="6" t="s">
        <v>50</v>
      </c>
      <c r="B23" s="507">
        <f>(Assumptions!D50*Assumptions!H50*Assumptions!B84)+(Assumptions!D50*Assumptions!H51*Assumptions!B85)+(Assumptions!D56*Assumptions!B87)+(Assumptions!D64*Assumptions!B88)</f>
        <v>1911.0333333333335</v>
      </c>
      <c r="C23" s="456"/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23.25" customHeight="1" x14ac:dyDescent="0.35">
      <c r="A24" s="238" t="s">
        <v>265</v>
      </c>
      <c r="B24" s="239">
        <f>SUM(B22:B23)</f>
        <v>3463.81158974359</v>
      </c>
      <c r="C24" s="456"/>
      <c r="D24" s="2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23.25" hidden="1" customHeight="1" x14ac:dyDescent="0.35">
      <c r="A25" s="418"/>
      <c r="B25" s="419"/>
      <c r="C25" s="22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23.25" hidden="1" customHeight="1" x14ac:dyDescent="0.35">
      <c r="A26" s="420"/>
      <c r="B26" s="410"/>
      <c r="C26" s="411"/>
      <c r="D26" s="3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23.25" hidden="1" customHeight="1" x14ac:dyDescent="0.35">
      <c r="A27" s="420"/>
      <c r="B27" s="410"/>
      <c r="C27" s="222"/>
      <c r="D27" s="3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23.25" hidden="1" customHeight="1" x14ac:dyDescent="0.35">
      <c r="A28" s="421"/>
      <c r="B28" s="410"/>
      <c r="C28" s="411"/>
      <c r="D28" s="3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23.25" hidden="1" customHeight="1" x14ac:dyDescent="0.35">
      <c r="A29" s="422"/>
      <c r="B29" s="410"/>
      <c r="C29" s="411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23.25" customHeight="1" x14ac:dyDescent="0.35">
      <c r="A30" s="423"/>
      <c r="B30" s="410"/>
      <c r="C30" s="411"/>
      <c r="D30" s="40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5" customHeight="1" x14ac:dyDescent="0.35">
      <c r="A31" s="943" t="s">
        <v>266</v>
      </c>
      <c r="B31" s="940"/>
      <c r="C31" s="577" t="str">
        <f>D2</f>
        <v>Phase I</v>
      </c>
      <c r="D31" s="578"/>
      <c r="E31" s="22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23.25" customHeight="1" x14ac:dyDescent="0.35">
      <c r="A32" s="614" t="s">
        <v>267</v>
      </c>
      <c r="B32" s="615" t="s">
        <v>268</v>
      </c>
      <c r="C32" s="615" t="s">
        <v>269</v>
      </c>
      <c r="D32" s="616" t="s">
        <v>270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23.25" customHeight="1" x14ac:dyDescent="0.35">
      <c r="A33" s="32" t="s">
        <v>271</v>
      </c>
      <c r="B33" s="33">
        <f>D33/B13</f>
        <v>18553.936459044366</v>
      </c>
      <c r="C33" s="34">
        <f>D33/C13</f>
        <v>27.878478884615383</v>
      </c>
      <c r="D33" s="35">
        <f>E13</f>
        <v>20322295.967729229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23.25" customHeight="1" x14ac:dyDescent="0.35">
      <c r="A34" s="36" t="s">
        <v>272</v>
      </c>
      <c r="B34" s="944" t="s">
        <v>273</v>
      </c>
      <c r="C34" s="945"/>
      <c r="D34" s="37">
        <f>D20</f>
        <v>13298050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23.25" customHeight="1" x14ac:dyDescent="0.35">
      <c r="A35" s="38"/>
      <c r="B35" s="946" t="s">
        <v>274</v>
      </c>
      <c r="C35" s="947"/>
      <c r="D35" s="39">
        <f>SUM(D33:D34)</f>
        <v>33620345.967729226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23.25" customHeight="1" x14ac:dyDescent="0.35">
      <c r="A36" s="40" t="s">
        <v>275</v>
      </c>
      <c r="B36" s="39" t="s">
        <v>276</v>
      </c>
      <c r="C36" s="39" t="s">
        <v>277</v>
      </c>
      <c r="D36" s="3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23.25" customHeight="1" x14ac:dyDescent="0.35">
      <c r="A37" s="38" t="s">
        <v>278</v>
      </c>
      <c r="B37" s="41">
        <f>Assumptions!B92</f>
        <v>150</v>
      </c>
      <c r="C37" s="42">
        <f>D37/C13</f>
        <v>3.8342307692307696</v>
      </c>
      <c r="D37" s="41">
        <f>B37*B22*12</f>
        <v>2795000.8615384619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23.25" customHeight="1" x14ac:dyDescent="0.35">
      <c r="A38" s="38" t="s">
        <v>279</v>
      </c>
      <c r="B38" s="41">
        <f>D38/B13</f>
        <v>2148.6392810380189</v>
      </c>
      <c r="C38" s="42">
        <f>D38/C13</f>
        <v>3.2284682530468696</v>
      </c>
      <c r="D38" s="41">
        <f>0.07*D35</f>
        <v>2353424.2177410461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23.25" customHeight="1" x14ac:dyDescent="0.35">
      <c r="A39" s="43" t="s">
        <v>280</v>
      </c>
      <c r="B39" s="948"/>
      <c r="C39" s="949"/>
      <c r="D39" s="44">
        <f>SUM(D37:D38)</f>
        <v>5148425.0792795084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23.25" customHeight="1" x14ac:dyDescent="0.35">
      <c r="A40" s="45">
        <v>0.05</v>
      </c>
      <c r="B40" s="950"/>
      <c r="C40" s="951"/>
      <c r="D40" s="46">
        <f>-A40*D35</f>
        <v>-1681017.2983864613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23.25" customHeight="1" x14ac:dyDescent="0.35">
      <c r="A41" s="47" t="s">
        <v>281</v>
      </c>
      <c r="B41" s="48">
        <f>D41/B13</f>
        <v>33860.535618284855</v>
      </c>
      <c r="C41" s="49">
        <f>D41/C13</f>
        <v>50.877625313628009</v>
      </c>
      <c r="D41" s="240">
        <f>D35+D39+D40</f>
        <v>37087753.748622276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23.25" customHeight="1" x14ac:dyDescent="0.35">
      <c r="A42" s="542" t="s">
        <v>282</v>
      </c>
      <c r="B42" s="543" t="s">
        <v>268</v>
      </c>
      <c r="C42" s="543" t="s">
        <v>283</v>
      </c>
      <c r="D42" s="549" t="s">
        <v>270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23.25" customHeight="1" x14ac:dyDescent="0.35">
      <c r="A43" s="241" t="s">
        <v>284</v>
      </c>
      <c r="B43" s="242">
        <f>D43/B13</f>
        <v>-9208.4540615915084</v>
      </c>
      <c r="C43" s="242">
        <f>D43/C13</f>
        <v>-13.836292513058009</v>
      </c>
      <c r="D43" s="242">
        <f>-0.3*D35</f>
        <v>-10086103.790318767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23.25" customHeight="1" x14ac:dyDescent="0.35">
      <c r="A44" s="50" t="s">
        <v>285</v>
      </c>
      <c r="B44" s="243">
        <f>D44/B13</f>
        <v>24652.081556693349</v>
      </c>
      <c r="C44" s="244"/>
      <c r="D44" s="243">
        <f>D41+D43</f>
        <v>27001649.958303511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23.25" customHeight="1" x14ac:dyDescent="0.35">
      <c r="A45" s="607" t="s">
        <v>286</v>
      </c>
      <c r="B45" s="608" t="s">
        <v>287</v>
      </c>
      <c r="C45" s="609">
        <v>4.4999999999999998E-2</v>
      </c>
      <c r="D45" s="903">
        <f>D44/C45</f>
        <v>600036665.74007809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23.25" customHeight="1" x14ac:dyDescent="0.35">
      <c r="A46" s="952" t="s">
        <v>288</v>
      </c>
      <c r="B46" s="953"/>
      <c r="C46" s="954" t="str">
        <f>D2</f>
        <v>Phase I</v>
      </c>
      <c r="D46" s="955"/>
      <c r="E46" s="22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23.25" customHeight="1" x14ac:dyDescent="0.35">
      <c r="A47" s="610"/>
      <c r="B47" s="611" t="s">
        <v>289</v>
      </c>
      <c r="C47" s="611" t="s">
        <v>290</v>
      </c>
      <c r="D47" s="612" t="s">
        <v>268</v>
      </c>
      <c r="E47" s="2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23.25" customHeight="1" x14ac:dyDescent="0.35">
      <c r="A48" s="245" t="s">
        <v>291</v>
      </c>
      <c r="B48" s="613">
        <v>210</v>
      </c>
      <c r="C48" s="246">
        <f>B48*(C13+B20+14350+12600)</f>
        <v>247560600</v>
      </c>
      <c r="D48" s="246">
        <f t="shared" ref="D48:D50" si="2">C48/$B$13</f>
        <v>226018.93257812524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23.25" customHeight="1" x14ac:dyDescent="0.35">
      <c r="A49" s="245" t="s">
        <v>292</v>
      </c>
      <c r="B49" s="51">
        <f>Assumptions!C91</f>
        <v>22500</v>
      </c>
      <c r="C49" s="246">
        <f>B24*B49</f>
        <v>77935760.769230783</v>
      </c>
      <c r="D49" s="41">
        <f t="shared" si="2"/>
        <v>71154.12330849767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23.25" customHeight="1" x14ac:dyDescent="0.35">
      <c r="A50" s="245" t="s">
        <v>293</v>
      </c>
      <c r="B50" s="52">
        <v>0.05</v>
      </c>
      <c r="C50" s="246">
        <f>B50*C48</f>
        <v>12378030</v>
      </c>
      <c r="D50" s="41">
        <f t="shared" si="2"/>
        <v>11300.946628906262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23.25" customHeight="1" x14ac:dyDescent="0.35">
      <c r="A51" s="245" t="s">
        <v>170</v>
      </c>
      <c r="B51" s="531" t="s">
        <v>294</v>
      </c>
      <c r="C51" s="247">
        <f>10*'Parcel Data'!D44</f>
        <v>10404420</v>
      </c>
      <c r="D51" s="4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23.25" customHeight="1" x14ac:dyDescent="0.35">
      <c r="A52" s="245" t="s">
        <v>295</v>
      </c>
      <c r="B52" s="53" t="s">
        <v>296</v>
      </c>
      <c r="C52" s="481">
        <f>'Parcel Data'!F42+('Parcel Data'!F43*0.75)</f>
        <v>17387590.514874034</v>
      </c>
      <c r="D52" s="41">
        <f>C52/$B$13</f>
        <v>15874.596556468856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23.25" customHeight="1" x14ac:dyDescent="0.35">
      <c r="A53" s="245" t="s">
        <v>297</v>
      </c>
      <c r="B53" s="54">
        <v>5000</v>
      </c>
      <c r="C53" s="246">
        <f>B13*B53</f>
        <v>5476545.641025641</v>
      </c>
      <c r="D53" s="246">
        <f>C53/B13</f>
        <v>5000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23.25" customHeight="1" x14ac:dyDescent="0.35">
      <c r="A54" s="245" t="s">
        <v>298</v>
      </c>
      <c r="B54" s="55" t="s">
        <v>299</v>
      </c>
      <c r="C54" s="247">
        <f>250000*25</f>
        <v>6250000</v>
      </c>
      <c r="D54" s="41">
        <f t="shared" ref="D54:D68" si="3">C54/$B$13</f>
        <v>5706.1516598896706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23.25" customHeight="1" x14ac:dyDescent="0.35">
      <c r="A55" s="3" t="s">
        <v>300</v>
      </c>
      <c r="B55" s="56" t="s">
        <v>301</v>
      </c>
      <c r="C55" s="57">
        <v>400000</v>
      </c>
      <c r="D55" s="41">
        <f t="shared" si="3"/>
        <v>365.19370623293889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23.25" customHeight="1" x14ac:dyDescent="0.35">
      <c r="A56" s="3" t="s">
        <v>302</v>
      </c>
      <c r="B56" s="56" t="s">
        <v>301</v>
      </c>
      <c r="C56" s="57">
        <v>600000</v>
      </c>
      <c r="D56" s="41">
        <f t="shared" si="3"/>
        <v>547.79055934940834</v>
      </c>
      <c r="E56" s="5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23.25" customHeight="1" x14ac:dyDescent="0.35">
      <c r="A57" s="3" t="s">
        <v>303</v>
      </c>
      <c r="B57" s="59">
        <v>0.04</v>
      </c>
      <c r="C57" s="41">
        <f>B57*(C48+C50)</f>
        <v>10397545.200000001</v>
      </c>
      <c r="D57" s="41">
        <f t="shared" si="3"/>
        <v>9492.79516828126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23.25" customHeight="1" x14ac:dyDescent="0.35">
      <c r="A58" s="3" t="s">
        <v>46</v>
      </c>
      <c r="B58" s="60">
        <v>0.03</v>
      </c>
      <c r="C58" s="41">
        <f>B58*SUM(C48:C57)</f>
        <v>11663714.763753913</v>
      </c>
      <c r="D58" s="41">
        <f t="shared" si="3"/>
        <v>10648.788057547847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23.25" customHeight="1" x14ac:dyDescent="0.35">
      <c r="A59" s="3" t="s">
        <v>304</v>
      </c>
      <c r="B59" s="59">
        <v>0.03</v>
      </c>
      <c r="C59" s="41">
        <f>B59*(C48+C50)</f>
        <v>7798158.8999999994</v>
      </c>
      <c r="D59" s="41">
        <f t="shared" si="3"/>
        <v>7119.5963762109441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23.25" customHeight="1" x14ac:dyDescent="0.35">
      <c r="A60" s="3" t="s">
        <v>305</v>
      </c>
      <c r="B60" s="61" t="s">
        <v>301</v>
      </c>
      <c r="C60" s="57">
        <v>2500000</v>
      </c>
      <c r="D60" s="41">
        <f t="shared" si="3"/>
        <v>2282.4606639558683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23.25" customHeight="1" x14ac:dyDescent="0.35">
      <c r="A61" s="3" t="s">
        <v>306</v>
      </c>
      <c r="B61" s="62">
        <v>3000</v>
      </c>
      <c r="C61" s="41">
        <f>B61*B13</f>
        <v>3285927.3846153845</v>
      </c>
      <c r="D61" s="41">
        <f t="shared" si="3"/>
        <v>3000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23.25" customHeight="1" x14ac:dyDescent="0.35">
      <c r="A62" s="3" t="s">
        <v>307</v>
      </c>
      <c r="B62" s="56" t="s">
        <v>301</v>
      </c>
      <c r="C62" s="57">
        <v>800000</v>
      </c>
      <c r="D62" s="41">
        <f t="shared" si="3"/>
        <v>730.38741246587779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23.25" customHeight="1" x14ac:dyDescent="0.35">
      <c r="A63" s="3" t="s">
        <v>308</v>
      </c>
      <c r="B63" s="63">
        <v>6</v>
      </c>
      <c r="C63" s="41">
        <f>-B63*(D43/12)</f>
        <v>5043051.8951593833</v>
      </c>
      <c r="D63" s="41">
        <f t="shared" si="3"/>
        <v>4604.2270307957542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23.25" customHeight="1" x14ac:dyDescent="0.35">
      <c r="A64" s="3" t="s">
        <v>309</v>
      </c>
      <c r="B64" s="64">
        <v>45</v>
      </c>
      <c r="C64" s="41">
        <f>B20*B64</f>
        <v>19032750</v>
      </c>
      <c r="D64" s="41">
        <f t="shared" si="3"/>
        <v>17376.601280762421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23.25" customHeight="1" x14ac:dyDescent="0.35">
      <c r="A65" s="3" t="s">
        <v>310</v>
      </c>
      <c r="B65" s="65">
        <v>0.05</v>
      </c>
      <c r="C65" s="41">
        <f>B65*D20*5</f>
        <v>3324512.5</v>
      </c>
      <c r="D65" s="41">
        <f t="shared" si="3"/>
        <v>3035.2276032318332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23.25" customHeight="1" x14ac:dyDescent="0.35">
      <c r="A66" s="3" t="s">
        <v>311</v>
      </c>
      <c r="B66" s="66">
        <v>1.4999999999999999E-2</v>
      </c>
      <c r="C66" s="310">
        <v>4063286</v>
      </c>
      <c r="D66" s="41">
        <f t="shared" si="3"/>
        <v>3709.7161845610335</v>
      </c>
      <c r="E66" s="956"/>
      <c r="F66" s="928"/>
      <c r="G66" s="74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8" customHeight="1" x14ac:dyDescent="0.35">
      <c r="A67" s="67" t="s">
        <v>312</v>
      </c>
      <c r="B67" s="68">
        <v>0.05</v>
      </c>
      <c r="C67" s="310">
        <v>13550159</v>
      </c>
      <c r="D67" s="41">
        <f t="shared" si="3"/>
        <v>12371.081963139033</v>
      </c>
      <c r="E67" s="956"/>
      <c r="F67" s="928"/>
      <c r="G67" s="74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23.25" customHeight="1" x14ac:dyDescent="0.35">
      <c r="A68" s="6" t="s">
        <v>313</v>
      </c>
      <c r="B68" s="69" t="s">
        <v>301</v>
      </c>
      <c r="C68" s="70">
        <v>3000000</v>
      </c>
      <c r="D68" s="71">
        <f t="shared" si="3"/>
        <v>2738.9527967470417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23.25" customHeight="1" x14ac:dyDescent="0.35">
      <c r="A69" s="72" t="s">
        <v>314</v>
      </c>
      <c r="B69" s="73"/>
      <c r="C69" s="74">
        <f>SUM(C48:C68)</f>
        <v>462852052.56865907</v>
      </c>
      <c r="D69" s="74">
        <f>ROUND(C69/$B$13,-3)</f>
        <v>423000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23.25" customHeight="1" x14ac:dyDescent="0.35">
      <c r="A70" s="75" t="s">
        <v>315</v>
      </c>
      <c r="B70" s="76">
        <f>D44/C69</f>
        <v>5.8337539627304799E-2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23.25" customHeight="1" x14ac:dyDescent="0.35">
      <c r="A71" s="77" t="s">
        <v>316</v>
      </c>
      <c r="B71" s="78">
        <f>(D45/C69)-1</f>
        <v>0.29638976949566231</v>
      </c>
      <c r="C71" s="79"/>
      <c r="D71" s="8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23.25" customHeight="1" x14ac:dyDescent="0.35">
      <c r="A72" s="81">
        <v>0.3</v>
      </c>
      <c r="B72" s="82">
        <f>(D45/(1+A72))</f>
        <v>461566665.95390624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23.25" customHeight="1" x14ac:dyDescent="0.35">
      <c r="A73" s="83">
        <v>0.3</v>
      </c>
      <c r="B73" s="82">
        <f>ROUND((D45/(1+A73))-C69,-3)</f>
        <v>-1285000</v>
      </c>
      <c r="C73" s="8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23.25" customHeight="1" x14ac:dyDescent="0.35">
      <c r="A74" s="85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5" customHeight="1" x14ac:dyDescent="0.35">
      <c r="A75" s="932" t="s">
        <v>317</v>
      </c>
      <c r="B75" s="933"/>
      <c r="C75" s="551" t="str">
        <f>D2</f>
        <v>Phase I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23.25" customHeight="1" x14ac:dyDescent="0.35">
      <c r="A76" s="248"/>
      <c r="B76" s="249" t="s">
        <v>6</v>
      </c>
      <c r="C76" s="250" t="s">
        <v>283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23.25" customHeight="1" x14ac:dyDescent="0.35">
      <c r="A77" s="251" t="s">
        <v>318</v>
      </c>
      <c r="B77" s="252">
        <f>IF(B73&lt;0,B73,0)</f>
        <v>-1285000</v>
      </c>
      <c r="C77" s="496">
        <f>B77/(C13+B20)</f>
        <v>-1.1155385403373528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  <row r="78" spans="1:73" ht="23.25" customHeight="1" x14ac:dyDescent="0.35">
      <c r="A78" s="253" t="s">
        <v>319</v>
      </c>
      <c r="B78" s="252">
        <f>C69+B77</f>
        <v>461567052.56865907</v>
      </c>
      <c r="C78" s="496">
        <f>B78/(C13+B20)</f>
        <v>400.69714870837049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</row>
    <row r="79" spans="1:73" ht="23.25" customHeight="1" x14ac:dyDescent="0.35">
      <c r="A79" s="254">
        <f>Assumptions!H56</f>
        <v>0.65</v>
      </c>
      <c r="B79" s="255">
        <f t="shared" ref="B79:B82" si="4">A79*C$69</f>
        <v>300853834.16962838</v>
      </c>
      <c r="C79" s="497">
        <f>B79/(C13+B20)</f>
        <v>261.17824671166011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</row>
    <row r="80" spans="1:73" ht="23.25" customHeight="1" x14ac:dyDescent="0.35">
      <c r="A80" s="254" t="s">
        <v>32</v>
      </c>
      <c r="B80" s="255">
        <f>Assumptions!H59</f>
        <v>9857782.153846154</v>
      </c>
      <c r="C80" s="497">
        <f>B80/(C13+B20)</f>
        <v>8.5577711399728749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</row>
    <row r="81" spans="1:73" ht="23.25" customHeight="1" x14ac:dyDescent="0.35">
      <c r="A81" s="493" t="s">
        <v>320</v>
      </c>
      <c r="B81" s="255">
        <f>Assumptions!H63</f>
        <v>1170000</v>
      </c>
      <c r="C81" s="498">
        <f>B81/(C13+B20)</f>
        <v>1.0157043519024924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</row>
    <row r="82" spans="1:73" ht="23.25" customHeight="1" x14ac:dyDescent="0.35">
      <c r="A82" s="86">
        <f>Assumptions!H72</f>
        <v>0.32617428270514082</v>
      </c>
      <c r="B82" s="255">
        <f t="shared" si="4"/>
        <v>150970436.24518451</v>
      </c>
      <c r="C82" s="499">
        <f>B82/(C13+B20)</f>
        <v>131.06096504517237</v>
      </c>
      <c r="D82" s="8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</row>
    <row r="83" spans="1:73" ht="23.25" customHeight="1" x14ac:dyDescent="0.35">
      <c r="A83" s="227" t="s">
        <v>321</v>
      </c>
      <c r="B83" s="256">
        <f>B79+B82+B80+B81</f>
        <v>462852052.56865907</v>
      </c>
      <c r="C83" s="257">
        <f>B83/(C13+B20)</f>
        <v>401.81268724870785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</row>
    <row r="84" spans="1:73" ht="23.25" customHeight="1" x14ac:dyDescent="0.35">
      <c r="A84" s="258"/>
      <c r="B84" s="259"/>
      <c r="C84" s="26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</row>
    <row r="85" spans="1:73" ht="15" customHeight="1" x14ac:dyDescent="0.35">
      <c r="A85" s="932" t="s">
        <v>322</v>
      </c>
      <c r="B85" s="933"/>
      <c r="C85" s="551" t="str">
        <f>D2</f>
        <v>Phase I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</row>
    <row r="86" spans="1:73" ht="23.25" customHeight="1" x14ac:dyDescent="0.35">
      <c r="A86" s="261"/>
      <c r="B86" s="87" t="s">
        <v>323</v>
      </c>
      <c r="C86" s="8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</row>
    <row r="87" spans="1:73" ht="23.25" customHeight="1" x14ac:dyDescent="0.35">
      <c r="A87" s="88" t="s">
        <v>324</v>
      </c>
      <c r="B87" s="89">
        <f>D45</f>
        <v>600036665.74007809</v>
      </c>
      <c r="C87" s="9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</row>
    <row r="88" spans="1:73" ht="23.25" customHeight="1" x14ac:dyDescent="0.35">
      <c r="A88" s="91">
        <v>0.02</v>
      </c>
      <c r="B88" s="92">
        <f>-A88*B87</f>
        <v>-12000733.314801563</v>
      </c>
      <c r="C88" s="9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</row>
    <row r="89" spans="1:73" ht="23.25" customHeight="1" x14ac:dyDescent="0.35">
      <c r="A89" s="262" t="s">
        <v>325</v>
      </c>
      <c r="B89" s="94">
        <f>B87+B88</f>
        <v>588035932.42527652</v>
      </c>
      <c r="C89" s="95"/>
      <c r="D89" s="2"/>
      <c r="E89" s="9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</row>
    <row r="90" spans="1:73" ht="23.25" customHeight="1" x14ac:dyDescent="0.35">
      <c r="A90" s="88" t="s">
        <v>326</v>
      </c>
      <c r="B90" s="89">
        <f>-B79</f>
        <v>-300853834.16962838</v>
      </c>
      <c r="C90" s="9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</row>
    <row r="91" spans="1:73" ht="23.25" customHeight="1" x14ac:dyDescent="0.35">
      <c r="A91" s="97" t="s">
        <v>327</v>
      </c>
      <c r="B91" s="98">
        <f t="shared" ref="B91" si="5">-B82</f>
        <v>-150970436.24518451</v>
      </c>
      <c r="C91" s="9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</row>
    <row r="92" spans="1:73" ht="23.25" customHeight="1" x14ac:dyDescent="0.35">
      <c r="A92" s="229" t="s">
        <v>328</v>
      </c>
      <c r="B92" s="99">
        <f>ROUND(B89+B90+B91,-2)</f>
        <v>136211700</v>
      </c>
      <c r="C92" s="100"/>
      <c r="D92" s="10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</row>
    <row r="93" spans="1:73" ht="23.25" customHeight="1" x14ac:dyDescent="0.35">
      <c r="A93" s="934" t="s">
        <v>329</v>
      </c>
      <c r="B93" s="935"/>
      <c r="C93" s="936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</row>
    <row r="94" spans="1:73" ht="23.25" customHeight="1" x14ac:dyDescent="0.35">
      <c r="A94" s="102" t="s">
        <v>330</v>
      </c>
      <c r="B94" s="103">
        <f>ROUND((B87)/B$13,-2)</f>
        <v>547800</v>
      </c>
      <c r="C94" s="10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</row>
    <row r="95" spans="1:73" ht="23.25" customHeight="1" x14ac:dyDescent="0.35">
      <c r="A95" s="625" t="s">
        <v>331</v>
      </c>
      <c r="B95" s="626">
        <f>ROUND((B89)/B$13,-2)</f>
        <v>536900</v>
      </c>
      <c r="C95" s="62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</row>
    <row r="96" spans="1:73" ht="23.25" customHeight="1" x14ac:dyDescent="0.35">
      <c r="A96" s="937" t="s">
        <v>332</v>
      </c>
      <c r="B96" s="933"/>
      <c r="C96" s="938"/>
      <c r="D96" s="22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73" ht="23.25" hidden="1" customHeight="1" x14ac:dyDescent="0.35">
      <c r="A97" s="258"/>
      <c r="B97" s="106"/>
      <c r="C97" s="106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</row>
    <row r="98" spans="1:73" ht="23.25" customHeight="1" x14ac:dyDescent="0.35">
      <c r="A98" s="263"/>
      <c r="B98" s="87" t="s">
        <v>323</v>
      </c>
      <c r="C98" s="8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</row>
    <row r="99" spans="1:73" ht="23.25" customHeight="1" x14ac:dyDescent="0.35">
      <c r="A99" s="107" t="s">
        <v>333</v>
      </c>
      <c r="B99" s="495">
        <f>(B92+B82)/B82</f>
        <v>1.902240884955678</v>
      </c>
      <c r="C99" s="10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</row>
    <row r="100" spans="1:73" ht="23.25" customHeight="1" x14ac:dyDescent="0.35">
      <c r="A100" s="109" t="s">
        <v>334</v>
      </c>
      <c r="B100" s="494">
        <f>'Phase I Draw'!B39</f>
        <v>0.20898689160648898</v>
      </c>
      <c r="C100" s="110"/>
      <c r="D100" s="11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</row>
    <row r="101" spans="1:73" ht="23.25" customHeight="1" x14ac:dyDescent="0.35">
      <c r="A101" s="109" t="s">
        <v>335</v>
      </c>
      <c r="B101" s="494">
        <f>'Phase I Draw'!B44</f>
        <v>0.12032587113423787</v>
      </c>
      <c r="C101" s="110"/>
      <c r="D101" s="11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</row>
    <row r="102" spans="1:73" ht="23.25" customHeight="1" x14ac:dyDescent="0.35">
      <c r="A102" s="107" t="s">
        <v>336</v>
      </c>
      <c r="B102" s="113">
        <f>D44/B79</f>
        <v>8.9750060965084311E-2</v>
      </c>
      <c r="C102" s="1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</row>
    <row r="103" spans="1:73" ht="23.25" customHeight="1" x14ac:dyDescent="0.35">
      <c r="A103" s="107" t="s">
        <v>337</v>
      </c>
      <c r="B103" s="113">
        <f>C45</f>
        <v>4.4999999999999998E-2</v>
      </c>
      <c r="C103" s="1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</row>
    <row r="104" spans="1:73" ht="23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23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23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73" ht="23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 ht="23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23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23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23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spans="1:73" ht="23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</row>
    <row r="113" spans="1:73" ht="23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</row>
    <row r="114" spans="1:73" ht="23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</row>
    <row r="115" spans="1:73" ht="23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</row>
    <row r="116" spans="1:73" ht="23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</row>
    <row r="117" spans="1:73" ht="23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</row>
    <row r="118" spans="1:73" ht="23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</row>
    <row r="119" spans="1:73" ht="23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1:73" ht="23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1:73" ht="23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1:73" ht="23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1:73" ht="23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1:73" ht="23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1:73" ht="23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1:73" ht="23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1:73" ht="23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73" ht="23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1:73" ht="23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1:73" ht="23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1:73" ht="23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1:73" ht="23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1:73" ht="23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1:73" ht="23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1:73" ht="23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</row>
    <row r="136" spans="1:73" ht="23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</row>
    <row r="137" spans="1:73" ht="23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1:73" ht="23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1:73" ht="23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1:73" ht="23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1:73" ht="23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1:73" ht="23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1:73" ht="23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</row>
    <row r="144" spans="1:73" ht="23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5" spans="1:73" ht="23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</row>
    <row r="146" spans="1:73" ht="23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spans="1:73" ht="23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</row>
    <row r="148" spans="1:73" ht="23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</row>
    <row r="149" spans="1:73" ht="23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1:73" ht="23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1:73" ht="23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1:73" ht="23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1:73" ht="23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1:73" ht="23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1:73" ht="23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1:73" ht="23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1:73" ht="23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1:73" ht="23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1:73" ht="23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1:73" ht="23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1:73" ht="23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</row>
    <row r="162" spans="1:73" ht="23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1:73" ht="23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1:73" ht="23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1:73" ht="23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1:73" ht="23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1:73" ht="23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1:73" ht="23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1:73" ht="23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1:73" ht="23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1:73" ht="23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</row>
    <row r="172" spans="1:73" ht="23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</row>
    <row r="173" spans="1:73" ht="23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</row>
    <row r="174" spans="1:73" ht="23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</row>
    <row r="175" spans="1:73" ht="23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</row>
    <row r="176" spans="1:73" ht="23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</row>
    <row r="177" spans="1:73" ht="23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</row>
    <row r="178" spans="1:73" ht="23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</row>
    <row r="179" spans="1:73" ht="23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</row>
    <row r="180" spans="1:73" ht="23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</row>
    <row r="181" spans="1:73" ht="23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</row>
    <row r="182" spans="1:73" ht="23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</row>
    <row r="183" spans="1:73" ht="23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</row>
    <row r="184" spans="1:73" ht="23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</row>
    <row r="185" spans="1:73" ht="23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</row>
    <row r="186" spans="1:73" ht="23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</row>
    <row r="187" spans="1:73" ht="23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</row>
    <row r="188" spans="1:73" ht="23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</row>
    <row r="189" spans="1:73" ht="23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</row>
    <row r="190" spans="1:73" ht="23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</row>
    <row r="191" spans="1:73" ht="23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</row>
    <row r="192" spans="1:73" ht="23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</row>
    <row r="193" spans="1:73" ht="23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</row>
    <row r="194" spans="1:73" ht="23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</row>
    <row r="195" spans="1:73" ht="23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1:73" ht="23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</row>
    <row r="197" spans="1:73" ht="23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</row>
    <row r="198" spans="1:73" ht="23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</row>
    <row r="199" spans="1:73" ht="23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</row>
    <row r="200" spans="1:73" ht="23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</row>
    <row r="201" spans="1:73" ht="23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</row>
    <row r="202" spans="1:73" ht="23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</row>
    <row r="203" spans="1:73" ht="23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</row>
    <row r="204" spans="1:73" ht="23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</row>
    <row r="205" spans="1:73" ht="23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</row>
    <row r="206" spans="1:73" ht="23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</row>
    <row r="207" spans="1:73" ht="23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</row>
    <row r="208" spans="1:73" ht="23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</row>
    <row r="209" spans="1:73" ht="23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</row>
    <row r="210" spans="1:73" ht="23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</row>
    <row r="211" spans="1:73" ht="23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</row>
    <row r="212" spans="1:73" ht="23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</row>
    <row r="213" spans="1:73" ht="23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</row>
    <row r="214" spans="1:73" ht="23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</row>
    <row r="215" spans="1:73" ht="23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</row>
    <row r="216" spans="1:73" ht="23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</row>
    <row r="217" spans="1:73" ht="23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1:73" ht="23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1:73" ht="23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</row>
    <row r="220" spans="1:73" ht="23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</row>
    <row r="221" spans="1:73" ht="23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</row>
    <row r="222" spans="1:73" ht="23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</row>
    <row r="223" spans="1:73" ht="23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</row>
    <row r="224" spans="1:73" ht="23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</row>
    <row r="225" spans="1:73" ht="23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</row>
    <row r="226" spans="1:73" ht="23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</row>
    <row r="227" spans="1:73" ht="23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</row>
    <row r="228" spans="1:73" ht="23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</row>
    <row r="229" spans="1:73" ht="23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</row>
    <row r="230" spans="1:73" ht="23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</row>
    <row r="231" spans="1:73" ht="23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</row>
    <row r="232" spans="1:73" ht="23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</row>
    <row r="233" spans="1:73" ht="23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</row>
    <row r="234" spans="1:73" ht="23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</row>
    <row r="235" spans="1:73" ht="23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</row>
    <row r="236" spans="1:73" ht="23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</row>
    <row r="237" spans="1:73" ht="23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1:73" ht="23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39" spans="1:73" ht="23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</row>
    <row r="240" spans="1:73" ht="23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1:73" ht="23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</row>
    <row r="242" spans="1:73" ht="23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1:73" ht="23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1:73" ht="23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1:73" ht="23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1:73" ht="23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1:73" ht="23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1:73" ht="23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</row>
    <row r="249" spans="1:73" ht="23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</row>
    <row r="250" spans="1:73" ht="23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1:73" ht="23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</row>
    <row r="252" spans="1:73" ht="23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1:73" ht="23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1:73" ht="23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73" ht="23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</row>
    <row r="256" spans="1:73" ht="23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1:73" ht="23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1:73" ht="23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1:73" ht="23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</row>
    <row r="260" spans="1:73" ht="23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</row>
    <row r="261" spans="1:73" ht="23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2" spans="1:73" ht="23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</row>
    <row r="263" spans="1:73" ht="23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</row>
    <row r="264" spans="1:73" ht="23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</row>
    <row r="265" spans="1:73" ht="23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1:73" ht="23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</row>
    <row r="267" spans="1:73" ht="23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</row>
    <row r="268" spans="1:73" ht="23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</row>
    <row r="269" spans="1:73" ht="23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</row>
    <row r="270" spans="1:73" ht="23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</row>
    <row r="271" spans="1:73" ht="23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</row>
    <row r="272" spans="1:73" ht="23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</row>
    <row r="273" spans="1:73" ht="23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</row>
    <row r="274" spans="1:73" ht="23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</row>
    <row r="275" spans="1:73" ht="23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</row>
    <row r="276" spans="1:73" ht="23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</row>
    <row r="277" spans="1:73" ht="23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</row>
    <row r="278" spans="1:73" ht="23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</row>
    <row r="279" spans="1:73" ht="23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</row>
    <row r="280" spans="1:73" ht="23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</row>
    <row r="281" spans="1:73" ht="23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</row>
    <row r="282" spans="1:73" ht="23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</row>
    <row r="283" spans="1:73" ht="23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</row>
    <row r="284" spans="1:73" ht="23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</row>
    <row r="285" spans="1:73" ht="23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</row>
    <row r="286" spans="1:73" ht="23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</row>
    <row r="287" spans="1:73" ht="23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</row>
    <row r="288" spans="1:73" ht="23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</row>
    <row r="289" spans="1:73" ht="23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</row>
    <row r="290" spans="1:73" ht="23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</row>
    <row r="291" spans="1:73" ht="23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</row>
    <row r="292" spans="1:73" ht="23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</row>
    <row r="293" spans="1:73" ht="23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</row>
    <row r="294" spans="1:73" ht="23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</row>
    <row r="295" spans="1:73" ht="23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</row>
    <row r="296" spans="1:73" ht="23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</row>
    <row r="297" spans="1:73" ht="23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</row>
    <row r="298" spans="1:73" ht="23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</row>
    <row r="299" spans="1:73" ht="23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</row>
    <row r="300" spans="1:73" ht="23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</row>
    <row r="301" spans="1:73" ht="23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</row>
    <row r="302" spans="1:73" ht="23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</row>
    <row r="303" spans="1:73" ht="23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</row>
    <row r="304" spans="1:73" ht="23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</row>
    <row r="305" spans="1:73" ht="23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</row>
    <row r="306" spans="1:73" ht="23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</row>
    <row r="307" spans="1:73" ht="23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</row>
    <row r="308" spans="1:73" ht="23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</row>
    <row r="309" spans="1:73" ht="23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</row>
    <row r="310" spans="1:73" ht="23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</row>
    <row r="311" spans="1:73" ht="23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</row>
    <row r="312" spans="1:73" ht="23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</row>
    <row r="313" spans="1:73" ht="23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</row>
    <row r="314" spans="1:73" ht="23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</row>
    <row r="315" spans="1:73" ht="23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</row>
    <row r="316" spans="1:73" ht="23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</row>
    <row r="317" spans="1:73" ht="23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</row>
    <row r="318" spans="1:73" ht="23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</row>
    <row r="319" spans="1:73" ht="23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</row>
    <row r="320" spans="1:73" ht="23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</row>
    <row r="321" spans="1:73" ht="23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</row>
    <row r="322" spans="1:73" ht="23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</row>
    <row r="323" spans="1:73" ht="23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</row>
    <row r="324" spans="1:73" ht="23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</row>
    <row r="325" spans="1:73" ht="23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</row>
    <row r="326" spans="1:73" ht="23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</row>
    <row r="327" spans="1:73" ht="23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</row>
    <row r="328" spans="1:73" ht="23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</row>
    <row r="329" spans="1:73" ht="23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</row>
    <row r="330" spans="1:73" ht="23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</row>
    <row r="331" spans="1:73" ht="23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</row>
    <row r="332" spans="1:73" ht="23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</row>
    <row r="333" spans="1:73" ht="23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</row>
    <row r="334" spans="1:73" ht="23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</row>
    <row r="335" spans="1:73" ht="23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1:73" ht="23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</row>
    <row r="337" spans="1:73" ht="23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</row>
    <row r="338" spans="1:73" ht="23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</row>
    <row r="339" spans="1:73" ht="23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</row>
    <row r="340" spans="1:73" ht="23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</row>
    <row r="341" spans="1:73" ht="23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</row>
    <row r="342" spans="1:73" ht="23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</row>
    <row r="343" spans="1:73" ht="23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</row>
    <row r="344" spans="1:73" ht="23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</row>
    <row r="345" spans="1:73" ht="23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</row>
    <row r="346" spans="1:73" ht="23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1:73" ht="23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1:73" ht="23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</row>
    <row r="349" spans="1:73" ht="23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</row>
    <row r="350" spans="1:73" ht="23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1:73" ht="23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1:73" ht="23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1:73" ht="23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ht="23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1:73" ht="23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ht="23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ht="23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ht="23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1:73" ht="23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ht="23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1:73" ht="23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1:73" ht="23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73" ht="23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1:73" ht="23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</row>
    <row r="365" spans="1:73" ht="23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1:73" ht="23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</row>
    <row r="367" spans="1:73" ht="23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</row>
    <row r="368" spans="1:73" ht="23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1:73" ht="23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</row>
    <row r="370" spans="1:73" ht="23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1:73" ht="23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1:73" ht="23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</row>
    <row r="373" spans="1:73" ht="23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</row>
    <row r="374" spans="1:73" ht="23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1:73" ht="23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</row>
    <row r="376" spans="1:73" ht="23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</row>
    <row r="377" spans="1:73" ht="23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</row>
    <row r="378" spans="1:73" ht="23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</row>
    <row r="379" spans="1:73" ht="23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</row>
    <row r="380" spans="1:73" ht="23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1:73" ht="23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1:73" ht="23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</row>
    <row r="383" spans="1:73" ht="23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</row>
    <row r="384" spans="1:73" ht="23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</row>
    <row r="385" spans="1:73" ht="23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</row>
    <row r="386" spans="1:73" ht="23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73" ht="23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</row>
    <row r="388" spans="1:73" ht="23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</row>
    <row r="389" spans="1:73" ht="23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73" ht="23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</row>
    <row r="391" spans="1:73" ht="23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</row>
    <row r="392" spans="1:73" ht="23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</row>
    <row r="393" spans="1:73" ht="23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</row>
    <row r="394" spans="1:73" ht="23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</row>
    <row r="395" spans="1:73" ht="23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</row>
    <row r="396" spans="1:73" ht="23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</row>
    <row r="397" spans="1:73" ht="23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</row>
    <row r="398" spans="1:73" ht="23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</row>
    <row r="399" spans="1:73" ht="23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</row>
    <row r="400" spans="1:73" ht="23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</row>
    <row r="401" spans="1:73" ht="23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</row>
    <row r="402" spans="1:73" ht="23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</row>
    <row r="403" spans="1:73" ht="23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</row>
    <row r="404" spans="1:73" ht="23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</row>
    <row r="405" spans="1:73" ht="23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</row>
    <row r="406" spans="1:73" ht="23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</row>
    <row r="407" spans="1:73" ht="23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</row>
    <row r="408" spans="1:73" ht="23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</row>
    <row r="409" spans="1:73" ht="23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</row>
    <row r="410" spans="1:73" ht="23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</row>
    <row r="411" spans="1:73" ht="23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</row>
    <row r="412" spans="1:73" ht="23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</row>
    <row r="413" spans="1:73" ht="23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</row>
    <row r="414" spans="1:73" ht="23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</row>
    <row r="415" spans="1:73" ht="23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</row>
    <row r="416" spans="1:73" ht="23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</row>
    <row r="417" spans="1:73" ht="23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</row>
    <row r="418" spans="1:73" ht="23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</row>
    <row r="419" spans="1:73" ht="23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</row>
    <row r="420" spans="1:73" ht="23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</row>
    <row r="421" spans="1:73" ht="23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</row>
    <row r="422" spans="1:73" ht="23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</row>
    <row r="423" spans="1:73" ht="23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</row>
    <row r="424" spans="1:73" ht="23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</row>
    <row r="425" spans="1:73" ht="23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</row>
    <row r="426" spans="1:73" ht="23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</row>
    <row r="427" spans="1:73" ht="23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</row>
    <row r="428" spans="1:73" ht="23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</row>
    <row r="429" spans="1:73" ht="23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</row>
    <row r="430" spans="1:73" ht="23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</row>
    <row r="431" spans="1:73" ht="23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</row>
    <row r="432" spans="1:73" ht="23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</row>
    <row r="433" spans="1:73" ht="23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</row>
    <row r="434" spans="1:73" ht="23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</row>
    <row r="435" spans="1:73" ht="23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</row>
    <row r="436" spans="1:73" ht="23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</row>
    <row r="437" spans="1:73" ht="23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</row>
    <row r="438" spans="1:73" ht="23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</row>
    <row r="439" spans="1:73" ht="23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</row>
    <row r="440" spans="1:73" ht="23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</row>
    <row r="441" spans="1:73" ht="23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</row>
    <row r="442" spans="1:73" ht="23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</row>
    <row r="443" spans="1:73" ht="23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</row>
    <row r="444" spans="1:73" ht="23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</row>
    <row r="445" spans="1:73" ht="23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</row>
    <row r="446" spans="1:73" ht="23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</row>
    <row r="447" spans="1:73" ht="23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</row>
    <row r="448" spans="1:73" ht="23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</row>
    <row r="449" spans="1:73" ht="23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</row>
    <row r="450" spans="1:73" ht="23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</row>
    <row r="451" spans="1:73" ht="23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</row>
    <row r="452" spans="1:73" ht="23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</row>
    <row r="453" spans="1:73" ht="23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</row>
    <row r="454" spans="1:73" ht="23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</row>
    <row r="455" spans="1:73" ht="23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</row>
    <row r="456" spans="1:73" ht="23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</row>
    <row r="457" spans="1:73" ht="23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</row>
    <row r="458" spans="1:73" ht="23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</row>
    <row r="459" spans="1:73" ht="23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</row>
    <row r="460" spans="1:73" ht="23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</row>
    <row r="461" spans="1:73" ht="23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</row>
    <row r="462" spans="1:73" ht="23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</row>
    <row r="463" spans="1:73" ht="23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</row>
    <row r="464" spans="1:73" ht="23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</row>
    <row r="465" spans="1:73" ht="23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</row>
    <row r="466" spans="1:73" ht="23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</row>
    <row r="467" spans="1:73" ht="23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</row>
    <row r="468" spans="1:73" ht="23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</row>
    <row r="469" spans="1:73" ht="23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</row>
    <row r="470" spans="1:73" ht="23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</row>
    <row r="471" spans="1:73" ht="23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</row>
    <row r="472" spans="1:73" ht="23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</row>
    <row r="473" spans="1:73" ht="23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</row>
    <row r="474" spans="1:73" ht="23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</row>
    <row r="475" spans="1:73" ht="23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</row>
    <row r="476" spans="1:73" ht="23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</row>
    <row r="477" spans="1:73" ht="23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</row>
    <row r="478" spans="1:73" ht="23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</row>
    <row r="479" spans="1:73" ht="23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</row>
    <row r="480" spans="1:73" ht="23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</row>
    <row r="481" spans="1:73" ht="23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</row>
    <row r="482" spans="1:73" ht="23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</row>
    <row r="483" spans="1:73" ht="23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</row>
    <row r="484" spans="1:73" ht="23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</row>
    <row r="485" spans="1:73" ht="23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</row>
    <row r="486" spans="1:73" ht="23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</row>
    <row r="487" spans="1:73" ht="23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</row>
    <row r="488" spans="1:73" ht="23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</row>
    <row r="489" spans="1:73" ht="23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</row>
    <row r="490" spans="1:73" ht="23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</row>
    <row r="491" spans="1:73" ht="23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</row>
    <row r="492" spans="1:73" ht="23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</row>
    <row r="493" spans="1:73" ht="23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</row>
    <row r="494" spans="1:73" ht="23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</row>
    <row r="495" spans="1:73" ht="23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</row>
    <row r="496" spans="1:73" ht="23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</row>
    <row r="497" spans="1:73" ht="23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</row>
    <row r="498" spans="1:73" ht="23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</row>
    <row r="499" spans="1:73" ht="23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</row>
    <row r="500" spans="1:73" ht="23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</row>
    <row r="501" spans="1:73" ht="23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</row>
    <row r="502" spans="1:73" ht="23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</row>
    <row r="503" spans="1:73" ht="23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</row>
    <row r="504" spans="1:73" ht="23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</row>
    <row r="505" spans="1:73" ht="23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</row>
    <row r="506" spans="1:73" ht="23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</row>
    <row r="507" spans="1:73" ht="23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</row>
    <row r="508" spans="1:73" ht="23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</row>
    <row r="509" spans="1:73" ht="23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</row>
    <row r="510" spans="1:73" ht="23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</row>
    <row r="511" spans="1:73" ht="23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</row>
    <row r="512" spans="1:73" ht="23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</row>
    <row r="513" spans="1:73" ht="23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</row>
    <row r="514" spans="1:73" ht="23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</row>
    <row r="515" spans="1:73" ht="23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</row>
    <row r="516" spans="1:73" ht="23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</row>
    <row r="517" spans="1:73" ht="23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</row>
    <row r="518" spans="1:73" ht="23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</row>
    <row r="519" spans="1:73" ht="23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</row>
    <row r="520" spans="1:73" ht="23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</row>
    <row r="521" spans="1:73" ht="23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</row>
    <row r="522" spans="1:73" ht="23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</row>
    <row r="523" spans="1:73" ht="23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</row>
    <row r="524" spans="1:73" ht="23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</row>
    <row r="525" spans="1:73" ht="23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</row>
    <row r="526" spans="1:73" ht="23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</row>
    <row r="527" spans="1:73" ht="23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</row>
    <row r="528" spans="1:73" ht="23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</row>
    <row r="529" spans="1:73" ht="23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</row>
    <row r="530" spans="1:73" ht="23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</row>
    <row r="531" spans="1:73" ht="23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</row>
    <row r="532" spans="1:73" ht="23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</row>
    <row r="533" spans="1:73" ht="23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</row>
    <row r="534" spans="1:73" ht="23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</row>
    <row r="535" spans="1:73" ht="23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</row>
    <row r="536" spans="1:73" ht="23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</row>
    <row r="537" spans="1:73" ht="23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</row>
    <row r="538" spans="1:73" ht="23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</row>
    <row r="539" spans="1:73" ht="23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</row>
    <row r="540" spans="1:73" ht="23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</row>
    <row r="541" spans="1:73" ht="23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</row>
    <row r="542" spans="1:73" ht="23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</row>
    <row r="543" spans="1:73" ht="23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</row>
    <row r="544" spans="1:73" ht="23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</row>
    <row r="545" spans="1:73" ht="23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</row>
    <row r="546" spans="1:73" ht="23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</row>
    <row r="547" spans="1:73" ht="23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</row>
    <row r="548" spans="1:73" ht="23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</row>
    <row r="549" spans="1:73" ht="23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</row>
    <row r="550" spans="1:73" ht="23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</row>
    <row r="551" spans="1:73" ht="23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</row>
    <row r="552" spans="1:73" ht="23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</row>
    <row r="553" spans="1:73" ht="23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</row>
    <row r="554" spans="1:73" ht="23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</row>
    <row r="555" spans="1:73" ht="23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</row>
    <row r="556" spans="1:73" ht="23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</row>
    <row r="557" spans="1:73" ht="23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</row>
    <row r="558" spans="1:73" ht="23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</row>
    <row r="559" spans="1:73" ht="23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</row>
    <row r="560" spans="1:73" ht="23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</row>
    <row r="561" spans="1:73" ht="23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</row>
    <row r="562" spans="1:73" ht="23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</row>
    <row r="563" spans="1:73" ht="23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</row>
    <row r="564" spans="1:73" ht="23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</row>
    <row r="565" spans="1:73" ht="23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</row>
    <row r="566" spans="1:73" ht="23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</row>
    <row r="567" spans="1:73" ht="23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</row>
    <row r="568" spans="1:73" ht="23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</row>
    <row r="569" spans="1:73" ht="23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</row>
    <row r="570" spans="1:73" ht="23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</row>
    <row r="571" spans="1:73" ht="23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</row>
    <row r="572" spans="1:73" ht="23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</row>
    <row r="573" spans="1:73" ht="23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</row>
    <row r="574" spans="1:73" ht="23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</row>
    <row r="575" spans="1:73" ht="23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</row>
    <row r="576" spans="1:73" ht="23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</row>
    <row r="577" spans="1:73" ht="23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</row>
    <row r="578" spans="1:73" ht="23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</row>
    <row r="579" spans="1:73" ht="23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</row>
    <row r="580" spans="1:73" ht="23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</row>
    <row r="581" spans="1:73" ht="23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</row>
    <row r="582" spans="1:73" ht="23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</row>
    <row r="583" spans="1:73" ht="23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</row>
    <row r="584" spans="1:73" ht="23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</row>
    <row r="585" spans="1:73" ht="23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</row>
    <row r="586" spans="1:73" ht="23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</row>
    <row r="587" spans="1:73" ht="23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</row>
    <row r="588" spans="1:73" ht="23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</row>
    <row r="589" spans="1:73" ht="23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</row>
    <row r="590" spans="1:73" ht="23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</row>
    <row r="591" spans="1:73" ht="23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</row>
    <row r="592" spans="1:73" ht="23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</row>
    <row r="593" spans="1:73" ht="23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</row>
    <row r="594" spans="1:73" ht="23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</row>
    <row r="595" spans="1:73" ht="23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</row>
    <row r="596" spans="1:73" ht="23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</row>
    <row r="597" spans="1:73" ht="23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</row>
    <row r="598" spans="1:73" ht="23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</row>
    <row r="599" spans="1:73" ht="23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</row>
    <row r="600" spans="1:73" ht="23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</row>
    <row r="601" spans="1:73" ht="23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</row>
    <row r="602" spans="1:73" ht="23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</row>
    <row r="603" spans="1:73" ht="23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</row>
    <row r="604" spans="1:73" ht="23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ht="23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ht="23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ht="23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ht="23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ht="23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ht="23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ht="23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ht="23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ht="23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ht="23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ht="23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ht="23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ht="23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ht="23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ht="23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ht="23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ht="23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ht="23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ht="23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ht="23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ht="23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ht="23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ht="23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ht="23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ht="23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ht="23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ht="23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ht="23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ht="23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ht="23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ht="23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ht="23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ht="23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ht="23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ht="23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ht="23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ht="23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ht="23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ht="23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ht="23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ht="23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ht="23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ht="23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ht="23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ht="23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ht="23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ht="23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ht="23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ht="23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ht="23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ht="23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ht="23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ht="23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ht="23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ht="23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ht="23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ht="23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ht="23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ht="23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ht="23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ht="23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ht="23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ht="23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ht="23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ht="23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ht="23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ht="23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ht="23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ht="23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ht="23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ht="23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ht="23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ht="23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ht="23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ht="23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ht="23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ht="23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ht="23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ht="23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ht="23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ht="23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ht="23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ht="23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ht="23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ht="23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ht="23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ht="23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ht="23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ht="23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ht="23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ht="23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ht="23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ht="23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ht="23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ht="23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ht="23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ht="23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ht="23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ht="23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ht="23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ht="23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ht="23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ht="23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ht="23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ht="23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ht="23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ht="23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ht="23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ht="23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ht="23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ht="23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ht="23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ht="23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ht="23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ht="23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ht="23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ht="23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ht="23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ht="23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ht="23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ht="23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ht="23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ht="23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ht="23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ht="23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ht="23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ht="23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ht="23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ht="23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ht="23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ht="23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ht="23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ht="23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ht="23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ht="23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ht="23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ht="23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ht="23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ht="23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ht="23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ht="23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ht="23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ht="23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ht="23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ht="23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ht="23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ht="23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ht="23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ht="23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ht="23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ht="23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ht="23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ht="23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ht="23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ht="23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ht="23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ht="23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ht="23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ht="23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ht="23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ht="23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ht="23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ht="23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ht="23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ht="23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ht="23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ht="23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ht="23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ht="23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ht="23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ht="23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ht="23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ht="23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ht="23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ht="23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ht="23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ht="23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ht="23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ht="23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ht="23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ht="23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ht="23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ht="23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ht="23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ht="23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ht="23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ht="23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ht="23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ht="23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ht="23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ht="23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ht="23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ht="23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ht="23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ht="23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ht="23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ht="23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ht="23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ht="23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ht="23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ht="23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ht="23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ht="23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ht="23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ht="23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ht="23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ht="23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ht="23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ht="23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ht="23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ht="23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ht="23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ht="23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ht="23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ht="23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ht="23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ht="23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ht="23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ht="23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ht="23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ht="23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ht="23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ht="23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ht="23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ht="23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ht="23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ht="23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ht="23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ht="23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ht="23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ht="23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ht="23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ht="23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ht="23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ht="23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ht="23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ht="23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ht="23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ht="23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ht="23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ht="23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ht="23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ht="23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ht="23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ht="23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ht="23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ht="23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ht="23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ht="23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ht="23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ht="23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ht="23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ht="23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ht="23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ht="23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ht="23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ht="23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ht="23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</row>
    <row r="863" spans="1:73" ht="23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</row>
    <row r="864" spans="1:73" ht="23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</row>
    <row r="865" spans="1:73" ht="23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</row>
    <row r="866" spans="1:73" ht="23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</row>
    <row r="867" spans="1:73" ht="23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</row>
    <row r="868" spans="1:73" ht="23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</row>
    <row r="869" spans="1:73" ht="23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</row>
    <row r="870" spans="1:73" ht="23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</row>
    <row r="871" spans="1:73" ht="23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</row>
    <row r="872" spans="1:73" ht="23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</row>
    <row r="873" spans="1:73" ht="23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</row>
    <row r="874" spans="1:73" ht="23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</row>
    <row r="875" spans="1:73" ht="23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</row>
    <row r="876" spans="1:73" ht="23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</row>
    <row r="877" spans="1:73" ht="23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</row>
    <row r="878" spans="1:73" ht="23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</row>
    <row r="879" spans="1:73" ht="23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</row>
    <row r="880" spans="1:73" ht="23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</row>
    <row r="881" spans="1:73" ht="23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</row>
    <row r="882" spans="1:73" ht="23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</row>
    <row r="883" spans="1:73" ht="23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</row>
    <row r="884" spans="1:73" ht="23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</row>
    <row r="885" spans="1:73" ht="23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</row>
    <row r="886" spans="1:73" ht="23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</row>
    <row r="887" spans="1:73" ht="23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</row>
    <row r="888" spans="1:73" ht="23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</row>
    <row r="889" spans="1:73" ht="23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</row>
    <row r="890" spans="1:73" ht="23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</row>
    <row r="891" spans="1:73" ht="23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</row>
    <row r="892" spans="1:73" ht="23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</row>
    <row r="893" spans="1:73" ht="23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</row>
    <row r="894" spans="1:73" ht="23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</row>
    <row r="895" spans="1:73" ht="23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</row>
    <row r="896" spans="1:73" ht="23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</row>
    <row r="897" spans="1:73" ht="23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</row>
    <row r="898" spans="1:73" ht="23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</row>
    <row r="899" spans="1:73" ht="23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</row>
    <row r="900" spans="1:73" ht="23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</row>
    <row r="901" spans="1:73" ht="23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</row>
    <row r="902" spans="1:73" ht="23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</row>
    <row r="903" spans="1:73" ht="23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</row>
    <row r="904" spans="1:73" ht="23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</row>
    <row r="905" spans="1:73" ht="23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</row>
    <row r="906" spans="1:73" ht="23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</row>
    <row r="907" spans="1:73" ht="23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</row>
    <row r="908" spans="1:73" ht="23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</row>
    <row r="909" spans="1:73" ht="23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</row>
    <row r="910" spans="1:73" ht="23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</row>
    <row r="911" spans="1:73" ht="23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</row>
    <row r="912" spans="1:73" ht="23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</row>
    <row r="913" spans="1:73" ht="23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</row>
    <row r="914" spans="1:73" ht="23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</row>
    <row r="915" spans="1:73" ht="23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</row>
    <row r="916" spans="1:73" ht="23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</row>
    <row r="917" spans="1:73" ht="23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</row>
    <row r="918" spans="1:73" ht="23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</row>
    <row r="919" spans="1:73" ht="23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</row>
    <row r="920" spans="1:73" ht="23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</row>
    <row r="921" spans="1:73" ht="23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</row>
    <row r="922" spans="1:73" ht="23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</row>
    <row r="923" spans="1:73" ht="23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</row>
    <row r="924" spans="1:73" ht="23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</row>
    <row r="925" spans="1:73" ht="23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</row>
    <row r="926" spans="1:73" ht="23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</row>
    <row r="927" spans="1:73" ht="23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</row>
    <row r="928" spans="1:73" ht="23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</row>
    <row r="929" spans="1:73" ht="23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</row>
    <row r="930" spans="1:73" ht="23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</row>
    <row r="931" spans="1:73" ht="23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</row>
    <row r="932" spans="1:73" ht="23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</row>
    <row r="933" spans="1:73" ht="23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</row>
    <row r="934" spans="1:73" ht="23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</row>
    <row r="935" spans="1:73" ht="23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</row>
    <row r="936" spans="1:73" ht="23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</row>
    <row r="937" spans="1:73" ht="23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</row>
    <row r="938" spans="1:73" ht="23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</row>
    <row r="939" spans="1:73" ht="23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</row>
    <row r="940" spans="1:73" ht="23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</row>
    <row r="941" spans="1:73" ht="23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</row>
    <row r="942" spans="1:73" ht="23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</row>
    <row r="943" spans="1:73" ht="23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</row>
    <row r="944" spans="1:73" ht="23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</row>
    <row r="945" spans="1:73" ht="23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</row>
    <row r="946" spans="1:73" ht="23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</row>
    <row r="947" spans="1:73" ht="23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</row>
    <row r="948" spans="1:73" ht="23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</row>
    <row r="949" spans="1:73" ht="23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</row>
    <row r="950" spans="1:73" ht="23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</row>
    <row r="951" spans="1:73" ht="23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</row>
    <row r="952" spans="1:73" ht="23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</row>
    <row r="953" spans="1:73" ht="23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</row>
    <row r="954" spans="1:73" ht="23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</row>
    <row r="955" spans="1:73" ht="23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</row>
    <row r="956" spans="1:73" ht="23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</row>
    <row r="957" spans="1:73" ht="23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</row>
    <row r="958" spans="1:73" ht="23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</row>
    <row r="959" spans="1:73" ht="23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</row>
    <row r="960" spans="1:73" ht="23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</row>
    <row r="961" spans="1:73" ht="23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</row>
    <row r="962" spans="1:73" ht="23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</row>
    <row r="963" spans="1:73" ht="23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</row>
    <row r="964" spans="1:73" ht="23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</row>
    <row r="965" spans="1:73" ht="23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</row>
    <row r="966" spans="1:73" ht="23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</row>
    <row r="967" spans="1:73" ht="23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</row>
    <row r="968" spans="1:73" ht="23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</row>
    <row r="969" spans="1:73" ht="23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</row>
    <row r="970" spans="1:73" ht="23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</row>
    <row r="971" spans="1:73" ht="23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</row>
    <row r="972" spans="1:73" ht="23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</row>
    <row r="973" spans="1:73" ht="23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</row>
    <row r="974" spans="1:73" ht="23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</row>
    <row r="975" spans="1:73" ht="23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</row>
    <row r="976" spans="1:73" ht="23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</row>
    <row r="977" spans="1:73" ht="23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</row>
    <row r="978" spans="1:73" ht="23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</row>
    <row r="979" spans="1:73" ht="23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</row>
    <row r="980" spans="1:73" ht="23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</row>
    <row r="981" spans="1:73" ht="23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</row>
    <row r="982" spans="1:73" ht="23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</row>
    <row r="983" spans="1:73" ht="23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</row>
    <row r="984" spans="1:73" ht="23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</row>
    <row r="985" spans="1:73" ht="23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</row>
    <row r="986" spans="1:73" ht="23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</row>
    <row r="987" spans="1:73" ht="23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</row>
    <row r="988" spans="1:73" ht="23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</row>
    <row r="989" spans="1:73" ht="23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</row>
    <row r="990" spans="1:73" ht="23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</row>
    <row r="991" spans="1:73" ht="23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</row>
    <row r="992" spans="1:73" ht="23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</row>
    <row r="993" spans="1:73" ht="23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</row>
    <row r="994" spans="1:73" ht="23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</row>
    <row r="995" spans="1:73" ht="23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</row>
    <row r="996" spans="1:73" ht="23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</row>
    <row r="997" spans="1:73" ht="23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</row>
    <row r="998" spans="1:73" ht="23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</row>
    <row r="999" spans="1:73" ht="23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</row>
    <row r="1000" spans="1:73" ht="23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</row>
    <row r="1001" spans="1:73" ht="23.2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</row>
    <row r="1002" spans="1:73" ht="23.2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</row>
    <row r="1003" spans="1:73" ht="23.2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</row>
    <row r="1004" spans="1:73" ht="23.2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</row>
    <row r="1005" spans="1:73" ht="23.25" customHeigh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</row>
  </sheetData>
  <mergeCells count="15">
    <mergeCell ref="A85:B85"/>
    <mergeCell ref="A93:C93"/>
    <mergeCell ref="A96:C96"/>
    <mergeCell ref="A2:C2"/>
    <mergeCell ref="D2:E2"/>
    <mergeCell ref="A31:B31"/>
    <mergeCell ref="B34:C34"/>
    <mergeCell ref="B35:C35"/>
    <mergeCell ref="B39:C39"/>
    <mergeCell ref="B40:C40"/>
    <mergeCell ref="A46:B46"/>
    <mergeCell ref="C46:D46"/>
    <mergeCell ref="E66:F66"/>
    <mergeCell ref="E67:F67"/>
    <mergeCell ref="A75:B75"/>
  </mergeCells>
  <printOptions horizontalCentered="1" verticalCentered="1"/>
  <pageMargins left="0.7" right="0.7" top="0.75" bottom="0.75" header="0" footer="0"/>
  <pageSetup fitToHeight="0" orientation="landscape"/>
  <headerFooter>
    <oddHeader>&amp;C000000INVESTOR SHEET</oddHeader>
    <oddFooter>&amp;CPage &amp;P of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BR1004"/>
  <sheetViews>
    <sheetView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ColWidth="14.453125" defaultRowHeight="15" customHeight="1" x14ac:dyDescent="0.35"/>
  <cols>
    <col min="1" max="1" width="45.54296875" customWidth="1"/>
    <col min="2" max="2" width="21.453125" customWidth="1"/>
    <col min="3" max="3" width="17.1796875" customWidth="1"/>
    <col min="4" max="4" width="15" customWidth="1"/>
    <col min="5" max="5" width="17.1796875" customWidth="1"/>
    <col min="6" max="6" width="16" customWidth="1"/>
    <col min="7" max="7" width="14.453125" customWidth="1"/>
    <col min="8" max="8" width="19" customWidth="1"/>
    <col min="9" max="9" width="18.54296875" customWidth="1"/>
    <col min="10" max="10" width="17.7265625" customWidth="1"/>
    <col min="11" max="11" width="16.7265625" customWidth="1"/>
    <col min="12" max="12" width="18.453125" customWidth="1"/>
    <col min="13" max="13" width="17.7265625" customWidth="1"/>
    <col min="14" max="14" width="15.453125" customWidth="1"/>
    <col min="15" max="15" width="16.1796875" customWidth="1"/>
    <col min="16" max="16" width="15.453125" customWidth="1"/>
    <col min="17" max="17" width="13.81640625" customWidth="1"/>
    <col min="18" max="19" width="14" customWidth="1"/>
    <col min="20" max="20" width="16" customWidth="1"/>
    <col min="21" max="23" width="14.453125" customWidth="1"/>
    <col min="24" max="24" width="16.1796875" customWidth="1"/>
    <col min="25" max="42" width="14.453125" customWidth="1"/>
    <col min="43" max="43" width="12.54296875" customWidth="1"/>
    <col min="44" max="44" width="17" customWidth="1"/>
    <col min="45" max="45" width="16.453125" customWidth="1"/>
    <col min="46" max="46" width="13.453125" customWidth="1"/>
    <col min="47" max="47" width="15" customWidth="1"/>
    <col min="48" max="48" width="14.453125" customWidth="1"/>
    <col min="49" max="70" width="17" customWidth="1"/>
  </cols>
  <sheetData>
    <row r="1" spans="1:70" ht="14.25" customHeight="1" x14ac:dyDescent="0.35">
      <c r="A1" s="957" t="s">
        <v>338</v>
      </c>
      <c r="B1" s="114" t="s">
        <v>339</v>
      </c>
      <c r="C1" s="115" t="s">
        <v>340</v>
      </c>
      <c r="D1" s="115" t="s">
        <v>170</v>
      </c>
      <c r="E1" s="115" t="s">
        <v>171</v>
      </c>
      <c r="F1" s="115" t="s">
        <v>341</v>
      </c>
      <c r="G1" s="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4.25" customHeight="1" x14ac:dyDescent="0.35">
      <c r="A2" s="958"/>
      <c r="B2" s="116" t="s">
        <v>342</v>
      </c>
      <c r="C2" s="117" t="str">
        <f>Assumptions!H80</f>
        <v>1/1/24 to 12/31/25</v>
      </c>
      <c r="D2" s="118" t="str">
        <f>Assumptions!H81</f>
        <v>1/1/26 to 6/30/26</v>
      </c>
      <c r="E2" s="117" t="str">
        <f>Assumptions!H82</f>
        <v>7/1/26 to 6/30/29</v>
      </c>
      <c r="F2" s="119" t="str">
        <f>Assumptions!H83</f>
        <v>7/1/29 to 12/31/29</v>
      </c>
      <c r="G2" s="2"/>
      <c r="J2" s="416" t="s">
        <v>343</v>
      </c>
      <c r="K2" s="120" t="s">
        <v>344</v>
      </c>
      <c r="L2" s="120" t="s">
        <v>345</v>
      </c>
      <c r="M2" s="120" t="s">
        <v>346</v>
      </c>
      <c r="N2" s="2"/>
      <c r="O2" s="2"/>
      <c r="P2" s="2"/>
      <c r="Q2" s="2"/>
      <c r="R2" s="2"/>
      <c r="S2" s="2"/>
      <c r="W2" s="122"/>
      <c r="X2" s="120" t="s">
        <v>347</v>
      </c>
      <c r="Y2" s="121" t="s">
        <v>348</v>
      </c>
      <c r="Z2" s="121" t="s">
        <v>349</v>
      </c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2"/>
      <c r="AR2" s="2"/>
      <c r="AS2" s="2"/>
      <c r="AT2" s="2"/>
      <c r="AU2" s="2"/>
      <c r="AV2" s="960" t="s">
        <v>350</v>
      </c>
      <c r="AW2" s="961"/>
      <c r="AX2" s="96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4.25" customHeight="1" x14ac:dyDescent="0.35">
      <c r="A3" s="959"/>
      <c r="B3" s="123" t="s">
        <v>351</v>
      </c>
      <c r="C3" s="264">
        <v>45292</v>
      </c>
      <c r="D3" s="265">
        <f t="shared" ref="D3:AU3" si="0">EOMONTH(C3,3)</f>
        <v>45412</v>
      </c>
      <c r="E3" s="265">
        <f t="shared" si="0"/>
        <v>45504</v>
      </c>
      <c r="F3" s="266">
        <f t="shared" si="0"/>
        <v>45596</v>
      </c>
      <c r="G3" s="124">
        <f t="shared" si="0"/>
        <v>45688</v>
      </c>
      <c r="H3" s="124">
        <f t="shared" si="0"/>
        <v>45777</v>
      </c>
      <c r="I3" s="124">
        <f t="shared" si="0"/>
        <v>45869</v>
      </c>
      <c r="J3" s="124">
        <f t="shared" si="0"/>
        <v>45961</v>
      </c>
      <c r="K3" s="124">
        <f t="shared" si="0"/>
        <v>46053</v>
      </c>
      <c r="L3" s="124">
        <f t="shared" si="0"/>
        <v>46142</v>
      </c>
      <c r="M3" s="124">
        <f t="shared" si="0"/>
        <v>46234</v>
      </c>
      <c r="N3" s="124">
        <f t="shared" si="0"/>
        <v>46326</v>
      </c>
      <c r="O3" s="124">
        <f t="shared" si="0"/>
        <v>46418</v>
      </c>
      <c r="P3" s="124">
        <f t="shared" si="0"/>
        <v>46507</v>
      </c>
      <c r="Q3" s="124">
        <f t="shared" si="0"/>
        <v>46599</v>
      </c>
      <c r="R3" s="124">
        <f t="shared" si="0"/>
        <v>46691</v>
      </c>
      <c r="S3" s="124">
        <f t="shared" si="0"/>
        <v>46783</v>
      </c>
      <c r="T3" s="124">
        <f t="shared" si="0"/>
        <v>46873</v>
      </c>
      <c r="U3" s="124">
        <f t="shared" si="0"/>
        <v>46965</v>
      </c>
      <c r="V3" s="124">
        <f t="shared" si="0"/>
        <v>47057</v>
      </c>
      <c r="W3" s="125">
        <f t="shared" si="0"/>
        <v>47149</v>
      </c>
      <c r="X3" s="124">
        <f t="shared" si="0"/>
        <v>47238</v>
      </c>
      <c r="Y3" s="124">
        <f t="shared" si="0"/>
        <v>47330</v>
      </c>
      <c r="Z3" s="124">
        <f t="shared" si="0"/>
        <v>47422</v>
      </c>
      <c r="AA3" s="124">
        <f t="shared" si="0"/>
        <v>47514</v>
      </c>
      <c r="AB3" s="124">
        <f t="shared" si="0"/>
        <v>47603</v>
      </c>
      <c r="AC3" s="124">
        <f t="shared" si="0"/>
        <v>47695</v>
      </c>
      <c r="AD3" s="124">
        <f t="shared" si="0"/>
        <v>47787</v>
      </c>
      <c r="AE3" s="124">
        <f t="shared" si="0"/>
        <v>47879</v>
      </c>
      <c r="AF3" s="124">
        <f t="shared" si="0"/>
        <v>47968</v>
      </c>
      <c r="AG3" s="124">
        <f t="shared" si="0"/>
        <v>48060</v>
      </c>
      <c r="AH3" s="124">
        <f t="shared" si="0"/>
        <v>48152</v>
      </c>
      <c r="AI3" s="124">
        <f t="shared" si="0"/>
        <v>48244</v>
      </c>
      <c r="AJ3" s="124">
        <f t="shared" si="0"/>
        <v>48334</v>
      </c>
      <c r="AK3" s="124">
        <f t="shared" si="0"/>
        <v>48426</v>
      </c>
      <c r="AL3" s="124">
        <f t="shared" si="0"/>
        <v>48518</v>
      </c>
      <c r="AM3" s="124">
        <f t="shared" si="0"/>
        <v>48610</v>
      </c>
      <c r="AN3" s="124">
        <f t="shared" si="0"/>
        <v>48699</v>
      </c>
      <c r="AO3" s="124">
        <f t="shared" si="0"/>
        <v>48791</v>
      </c>
      <c r="AP3" s="124">
        <f t="shared" si="0"/>
        <v>48883</v>
      </c>
      <c r="AQ3" s="124">
        <f t="shared" si="0"/>
        <v>48975</v>
      </c>
      <c r="AR3" s="124">
        <f t="shared" si="0"/>
        <v>49064</v>
      </c>
      <c r="AS3" s="124">
        <f t="shared" si="0"/>
        <v>49156</v>
      </c>
      <c r="AT3" s="124">
        <f t="shared" si="0"/>
        <v>49248</v>
      </c>
      <c r="AU3" s="124">
        <f t="shared" si="0"/>
        <v>49340</v>
      </c>
      <c r="AV3" s="126" t="s">
        <v>352</v>
      </c>
      <c r="AW3" s="127" t="s">
        <v>353</v>
      </c>
      <c r="AX3" s="126"/>
    </row>
    <row r="4" spans="1:70" ht="14.25" customHeight="1" x14ac:dyDescent="0.35">
      <c r="A4" s="128" t="s">
        <v>354</v>
      </c>
      <c r="B4" s="267">
        <f>SUM(C4:Z4)</f>
        <v>1</v>
      </c>
      <c r="C4" s="129">
        <v>0</v>
      </c>
      <c r="D4" s="129">
        <v>0</v>
      </c>
      <c r="E4" s="129">
        <v>0</v>
      </c>
      <c r="F4" s="129">
        <f t="shared" ref="F4:G4" si="1">E4</f>
        <v>0</v>
      </c>
      <c r="G4" s="130">
        <f t="shared" si="1"/>
        <v>0</v>
      </c>
      <c r="H4" s="130">
        <v>0</v>
      </c>
      <c r="I4" s="130">
        <v>0</v>
      </c>
      <c r="J4" s="130">
        <v>0</v>
      </c>
      <c r="K4" s="130">
        <v>0.05</v>
      </c>
      <c r="L4" s="130">
        <v>0.05</v>
      </c>
      <c r="M4" s="130">
        <v>0.05</v>
      </c>
      <c r="N4" s="130">
        <v>0.05</v>
      </c>
      <c r="O4" s="130">
        <v>0.05</v>
      </c>
      <c r="P4" s="130">
        <v>0.1</v>
      </c>
      <c r="Q4" s="130">
        <v>0.1</v>
      </c>
      <c r="R4" s="130">
        <v>0.1</v>
      </c>
      <c r="S4" s="130">
        <v>0.1</v>
      </c>
      <c r="T4" s="130">
        <v>0.1</v>
      </c>
      <c r="U4" s="130">
        <v>0.1</v>
      </c>
      <c r="V4" s="130">
        <v>0.05</v>
      </c>
      <c r="W4" s="130">
        <v>0.05</v>
      </c>
      <c r="X4" s="130">
        <v>0.05</v>
      </c>
      <c r="Y4" s="130">
        <v>0</v>
      </c>
      <c r="Z4" s="130">
        <v>0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1">
        <f t="shared" ref="AV4:AV8" si="2">SUM(C4:AU4)</f>
        <v>1</v>
      </c>
      <c r="AW4" s="132"/>
      <c r="AX4" s="268" t="s">
        <v>355</v>
      </c>
    </row>
    <row r="5" spans="1:70" ht="14.25" customHeight="1" x14ac:dyDescent="0.35">
      <c r="A5" s="269" t="str">
        <f>'Phase I Financial'!A48</f>
        <v>Hard Costs for Construction</v>
      </c>
      <c r="B5" s="133">
        <f>'Phase I Financial'!C48</f>
        <v>247560600</v>
      </c>
      <c r="C5" s="134">
        <f t="shared" ref="C5:U5" si="3">$B$5*C4</f>
        <v>0</v>
      </c>
      <c r="D5" s="134">
        <f t="shared" si="3"/>
        <v>0</v>
      </c>
      <c r="E5" s="134">
        <f t="shared" si="3"/>
        <v>0</v>
      </c>
      <c r="F5" s="134">
        <f t="shared" si="3"/>
        <v>0</v>
      </c>
      <c r="G5" s="134">
        <f t="shared" si="3"/>
        <v>0</v>
      </c>
      <c r="H5" s="134">
        <f t="shared" si="3"/>
        <v>0</v>
      </c>
      <c r="I5" s="134">
        <f t="shared" si="3"/>
        <v>0</v>
      </c>
      <c r="J5" s="134">
        <f t="shared" si="3"/>
        <v>0</v>
      </c>
      <c r="K5" s="134">
        <f t="shared" si="3"/>
        <v>12378030</v>
      </c>
      <c r="L5" s="134">
        <f t="shared" si="3"/>
        <v>12378030</v>
      </c>
      <c r="M5" s="134">
        <f t="shared" si="3"/>
        <v>12378030</v>
      </c>
      <c r="N5" s="134">
        <f t="shared" si="3"/>
        <v>12378030</v>
      </c>
      <c r="O5" s="134">
        <f t="shared" si="3"/>
        <v>12378030</v>
      </c>
      <c r="P5" s="134">
        <f t="shared" si="3"/>
        <v>24756060</v>
      </c>
      <c r="Q5" s="134">
        <f t="shared" si="3"/>
        <v>24756060</v>
      </c>
      <c r="R5" s="134">
        <f t="shared" si="3"/>
        <v>24756060</v>
      </c>
      <c r="S5" s="134">
        <f t="shared" si="3"/>
        <v>24756060</v>
      </c>
      <c r="T5" s="134">
        <f t="shared" si="3"/>
        <v>24756060</v>
      </c>
      <c r="U5" s="134">
        <f t="shared" si="3"/>
        <v>24756060</v>
      </c>
      <c r="V5" s="134">
        <f>$B$5*V4</f>
        <v>12378030</v>
      </c>
      <c r="W5" s="134">
        <f>$B$5*W4</f>
        <v>12378030</v>
      </c>
      <c r="X5" s="134">
        <f>$B$5*X4</f>
        <v>12378030</v>
      </c>
      <c r="Y5" s="134">
        <f>$B$5*Y4</f>
        <v>0</v>
      </c>
      <c r="Z5" s="134">
        <f>$B$5*Z4</f>
        <v>0</v>
      </c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>
        <f t="shared" si="2"/>
        <v>247560600</v>
      </c>
      <c r="AW5" s="135">
        <f t="shared" ref="AW5:AW25" si="4">B5</f>
        <v>247560600</v>
      </c>
      <c r="AX5" s="135">
        <f t="shared" ref="AX5:AX25" si="5">AW5-AV5</f>
        <v>0</v>
      </c>
    </row>
    <row r="6" spans="1:70" ht="14.25" customHeight="1" x14ac:dyDescent="0.35">
      <c r="A6" s="269" t="str">
        <f>'Phase I Financial'!A49</f>
        <v>Parking Structure</v>
      </c>
      <c r="B6" s="133">
        <f>'Phase I Financial'!C49</f>
        <v>77935760.769230783</v>
      </c>
      <c r="C6" s="134">
        <f t="shared" ref="C6:U6" si="6">$B$6*C4</f>
        <v>0</v>
      </c>
      <c r="D6" s="134">
        <f t="shared" si="6"/>
        <v>0</v>
      </c>
      <c r="E6" s="134">
        <f t="shared" si="6"/>
        <v>0</v>
      </c>
      <c r="F6" s="134">
        <f t="shared" si="6"/>
        <v>0</v>
      </c>
      <c r="G6" s="134">
        <f t="shared" si="6"/>
        <v>0</v>
      </c>
      <c r="H6" s="134">
        <f t="shared" si="6"/>
        <v>0</v>
      </c>
      <c r="I6" s="134">
        <f t="shared" si="6"/>
        <v>0</v>
      </c>
      <c r="J6" s="134">
        <f t="shared" si="6"/>
        <v>0</v>
      </c>
      <c r="K6" s="134">
        <f t="shared" si="6"/>
        <v>3896788.0384615394</v>
      </c>
      <c r="L6" s="134">
        <f t="shared" si="6"/>
        <v>3896788.0384615394</v>
      </c>
      <c r="M6" s="134">
        <f t="shared" si="6"/>
        <v>3896788.0384615394</v>
      </c>
      <c r="N6" s="134">
        <f t="shared" si="6"/>
        <v>3896788.0384615394</v>
      </c>
      <c r="O6" s="134">
        <f t="shared" si="6"/>
        <v>3896788.0384615394</v>
      </c>
      <c r="P6" s="134">
        <f t="shared" si="6"/>
        <v>7793576.0769230789</v>
      </c>
      <c r="Q6" s="134">
        <f t="shared" si="6"/>
        <v>7793576.0769230789</v>
      </c>
      <c r="R6" s="134">
        <f t="shared" si="6"/>
        <v>7793576.0769230789</v>
      </c>
      <c r="S6" s="134">
        <f t="shared" si="6"/>
        <v>7793576.0769230789</v>
      </c>
      <c r="T6" s="134">
        <f t="shared" si="6"/>
        <v>7793576.0769230789</v>
      </c>
      <c r="U6" s="134">
        <f t="shared" si="6"/>
        <v>7793576.0769230789</v>
      </c>
      <c r="V6" s="134">
        <f>$B$6*V4</f>
        <v>3896788.0384615394</v>
      </c>
      <c r="W6" s="134">
        <f>$B$6*W4</f>
        <v>3896788.0384615394</v>
      </c>
      <c r="X6" s="134">
        <f>$B$6*X4</f>
        <v>3896788.0384615394</v>
      </c>
      <c r="Y6" s="134">
        <f>$B$6*Y4</f>
        <v>0</v>
      </c>
      <c r="Z6" s="134">
        <f>$B$6*Z4</f>
        <v>0</v>
      </c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>
        <f t="shared" si="2"/>
        <v>77935760.769230783</v>
      </c>
      <c r="AW6" s="135">
        <f t="shared" si="4"/>
        <v>77935760.769230783</v>
      </c>
      <c r="AX6" s="135">
        <f t="shared" si="5"/>
        <v>0</v>
      </c>
    </row>
    <row r="7" spans="1:70" ht="14.25" customHeight="1" x14ac:dyDescent="0.35">
      <c r="A7" s="269" t="str">
        <f>'Phase I Financial'!A50</f>
        <v>Hard Cost Contingency</v>
      </c>
      <c r="B7" s="133">
        <f>'Phase I Financial'!C50</f>
        <v>12378030</v>
      </c>
      <c r="C7" s="134">
        <f>$B7*C$4</f>
        <v>0</v>
      </c>
      <c r="D7" s="134">
        <f t="shared" ref="D7:U7" si="7">$B7*D$4</f>
        <v>0</v>
      </c>
      <c r="E7" s="134">
        <f t="shared" si="7"/>
        <v>0</v>
      </c>
      <c r="F7" s="134">
        <f t="shared" si="7"/>
        <v>0</v>
      </c>
      <c r="G7" s="134">
        <f t="shared" si="7"/>
        <v>0</v>
      </c>
      <c r="H7" s="134">
        <f t="shared" si="7"/>
        <v>0</v>
      </c>
      <c r="I7" s="134">
        <f t="shared" si="7"/>
        <v>0</v>
      </c>
      <c r="J7" s="134">
        <f t="shared" si="7"/>
        <v>0</v>
      </c>
      <c r="K7" s="134">
        <f t="shared" si="7"/>
        <v>618901.5</v>
      </c>
      <c r="L7" s="134">
        <f t="shared" si="7"/>
        <v>618901.5</v>
      </c>
      <c r="M7" s="134">
        <f t="shared" si="7"/>
        <v>618901.5</v>
      </c>
      <c r="N7" s="134">
        <f t="shared" si="7"/>
        <v>618901.5</v>
      </c>
      <c r="O7" s="134">
        <f t="shared" si="7"/>
        <v>618901.5</v>
      </c>
      <c r="P7" s="134">
        <f t="shared" si="7"/>
        <v>1237803</v>
      </c>
      <c r="Q7" s="134">
        <f t="shared" si="7"/>
        <v>1237803</v>
      </c>
      <c r="R7" s="134">
        <f t="shared" si="7"/>
        <v>1237803</v>
      </c>
      <c r="S7" s="134">
        <f t="shared" si="7"/>
        <v>1237803</v>
      </c>
      <c r="T7" s="134">
        <f t="shared" si="7"/>
        <v>1237803</v>
      </c>
      <c r="U7" s="134">
        <f t="shared" si="7"/>
        <v>1237803</v>
      </c>
      <c r="V7" s="134">
        <f>$B7*V$4</f>
        <v>618901.5</v>
      </c>
      <c r="W7" s="134">
        <f>$B7*W$4</f>
        <v>618901.5</v>
      </c>
      <c r="X7" s="134">
        <f>$B7*X$4</f>
        <v>618901.5</v>
      </c>
      <c r="Y7" s="134">
        <f>$B7*Y$4</f>
        <v>0</v>
      </c>
      <c r="Z7" s="134">
        <f>$B7*Z$4</f>
        <v>0</v>
      </c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>
        <f t="shared" si="2"/>
        <v>12378030</v>
      </c>
      <c r="AW7" s="135">
        <f t="shared" si="4"/>
        <v>12378030</v>
      </c>
      <c r="AX7" s="135">
        <f t="shared" si="5"/>
        <v>0</v>
      </c>
    </row>
    <row r="8" spans="1:70" ht="14.25" customHeight="1" x14ac:dyDescent="0.35">
      <c r="A8" s="269" t="str">
        <f>'Phase I Financial'!A51</f>
        <v>Demolition</v>
      </c>
      <c r="B8" s="133">
        <f>'Phase I Financial'!C51</f>
        <v>10404420</v>
      </c>
      <c r="C8" s="134">
        <f>IF(C2="Demolition Ends",$B$8,0)</f>
        <v>0</v>
      </c>
      <c r="D8" s="134">
        <f t="shared" ref="D8:Z8" si="8">IF(D2="Demolition Ends",$B$8,0)</f>
        <v>0</v>
      </c>
      <c r="E8" s="134">
        <f t="shared" si="8"/>
        <v>0</v>
      </c>
      <c r="F8" s="134">
        <f t="shared" si="8"/>
        <v>0</v>
      </c>
      <c r="G8" s="134">
        <f t="shared" si="8"/>
        <v>0</v>
      </c>
      <c r="H8" s="134">
        <f t="shared" si="8"/>
        <v>0</v>
      </c>
      <c r="I8" s="134">
        <f t="shared" si="8"/>
        <v>0</v>
      </c>
      <c r="J8" s="134">
        <f t="shared" si="8"/>
        <v>0</v>
      </c>
      <c r="K8" s="134">
        <f t="shared" si="8"/>
        <v>0</v>
      </c>
      <c r="L8" s="134">
        <f>IF(L2="Demolition Ends",$B$8,0)</f>
        <v>10404420</v>
      </c>
      <c r="M8" s="134">
        <f t="shared" si="8"/>
        <v>0</v>
      </c>
      <c r="N8" s="134">
        <f t="shared" si="8"/>
        <v>0</v>
      </c>
      <c r="O8" s="134">
        <f t="shared" si="8"/>
        <v>0</v>
      </c>
      <c r="P8" s="134">
        <f t="shared" si="8"/>
        <v>0</v>
      </c>
      <c r="Q8" s="134">
        <f t="shared" si="8"/>
        <v>0</v>
      </c>
      <c r="R8" s="134">
        <f t="shared" si="8"/>
        <v>0</v>
      </c>
      <c r="S8" s="134">
        <f t="shared" si="8"/>
        <v>0</v>
      </c>
      <c r="T8" s="134">
        <f t="shared" si="8"/>
        <v>0</v>
      </c>
      <c r="U8" s="134">
        <f t="shared" si="8"/>
        <v>0</v>
      </c>
      <c r="V8" s="134">
        <f t="shared" si="8"/>
        <v>0</v>
      </c>
      <c r="W8" s="134">
        <f t="shared" si="8"/>
        <v>0</v>
      </c>
      <c r="X8" s="134">
        <f t="shared" si="8"/>
        <v>0</v>
      </c>
      <c r="Y8" s="134">
        <f t="shared" si="8"/>
        <v>0</v>
      </c>
      <c r="Z8" s="134">
        <f t="shared" si="8"/>
        <v>0</v>
      </c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>
        <f t="shared" si="2"/>
        <v>10404420</v>
      </c>
      <c r="AW8" s="135">
        <f t="shared" si="4"/>
        <v>10404420</v>
      </c>
      <c r="AX8" s="135">
        <f t="shared" si="5"/>
        <v>0</v>
      </c>
    </row>
    <row r="9" spans="1:70" ht="14.25" customHeight="1" x14ac:dyDescent="0.35">
      <c r="A9" s="269" t="str">
        <f>'Phase I Financial'!A52</f>
        <v>Land Acquisition</v>
      </c>
      <c r="B9" s="133">
        <f>'Phase I Financial'!C52</f>
        <v>17387590.514874034</v>
      </c>
      <c r="C9" s="136"/>
      <c r="D9" s="137"/>
      <c r="E9" s="134">
        <v>400000</v>
      </c>
      <c r="F9" s="134"/>
      <c r="G9" s="138"/>
      <c r="H9" s="138"/>
      <c r="I9" s="134"/>
      <c r="J9" s="139"/>
      <c r="K9" s="137"/>
      <c r="L9" s="137"/>
      <c r="M9" s="139">
        <f>B9-E9</f>
        <v>16987590.514874034</v>
      </c>
      <c r="N9" s="137"/>
      <c r="O9" s="137"/>
      <c r="P9" s="137"/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35">
        <f>SUM(D9:AU9)</f>
        <v>17387590.514874034</v>
      </c>
      <c r="AW9" s="135">
        <f t="shared" si="4"/>
        <v>17387590.514874034</v>
      </c>
      <c r="AX9" s="135">
        <f t="shared" si="5"/>
        <v>0</v>
      </c>
    </row>
    <row r="10" spans="1:70" ht="14.25" customHeight="1" x14ac:dyDescent="0.35">
      <c r="A10" s="269" t="str">
        <f>'Phase I Financial'!A53</f>
        <v>Impact Fees (Includes City Stormwater Utility Fee)</v>
      </c>
      <c r="B10" s="133">
        <f>'Phase I Financial'!C53</f>
        <v>5476545.641025641</v>
      </c>
      <c r="C10" s="140"/>
      <c r="D10" s="137"/>
      <c r="E10" s="134"/>
      <c r="F10" s="134"/>
      <c r="G10" s="134"/>
      <c r="H10" s="138"/>
      <c r="J10" s="134"/>
      <c r="K10" s="137"/>
      <c r="L10" s="137"/>
      <c r="M10" s="134">
        <f>$B10</f>
        <v>5476545.641025641</v>
      </c>
      <c r="N10" s="137"/>
      <c r="O10" s="137"/>
      <c r="P10" s="137"/>
      <c r="Q10" s="137"/>
      <c r="R10" s="137"/>
      <c r="S10" s="142"/>
      <c r="T10" s="137"/>
      <c r="U10" s="137"/>
      <c r="V10" s="137"/>
      <c r="W10" s="137"/>
      <c r="X10" s="137"/>
      <c r="Y10" s="137"/>
      <c r="Z10" s="137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35">
        <f t="shared" ref="AV10:AV25" si="9">SUM(C10:AU10)</f>
        <v>5476545.641025641</v>
      </c>
      <c r="AW10" s="135">
        <f t="shared" si="4"/>
        <v>5476545.641025641</v>
      </c>
      <c r="AX10" s="135">
        <f t="shared" si="5"/>
        <v>0</v>
      </c>
    </row>
    <row r="11" spans="1:70" ht="14.25" customHeight="1" x14ac:dyDescent="0.35">
      <c r="A11" s="269" t="str">
        <f>'Phase I Financial'!A54</f>
        <v>Landscaping (Hardscape &amp; Softscape)</v>
      </c>
      <c r="B11" s="133">
        <f>'Phase I Financial'!C54</f>
        <v>6250000</v>
      </c>
      <c r="C11" s="143"/>
      <c r="D11" s="141"/>
      <c r="E11" s="135"/>
      <c r="F11" s="135"/>
      <c r="G11" s="135"/>
      <c r="H11" s="135"/>
      <c r="I11" s="135"/>
      <c r="J11" s="135"/>
      <c r="K11" s="141"/>
      <c r="L11" s="141"/>
      <c r="M11" s="141"/>
      <c r="N11" s="141"/>
      <c r="O11" s="141"/>
      <c r="P11" s="141"/>
      <c r="Q11" s="141"/>
      <c r="R11" s="134"/>
      <c r="S11" s="134"/>
      <c r="T11" s="141"/>
      <c r="U11" s="134">
        <f>$B11/2</f>
        <v>3125000</v>
      </c>
      <c r="V11" s="134">
        <f>$B11/2</f>
        <v>3125000</v>
      </c>
      <c r="W11" s="138"/>
      <c r="X11" s="138"/>
      <c r="Y11" s="138"/>
      <c r="Z11" s="138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1"/>
      <c r="AR11" s="141"/>
      <c r="AS11" s="141"/>
      <c r="AT11" s="141"/>
      <c r="AU11" s="141"/>
      <c r="AV11" s="135">
        <f t="shared" si="9"/>
        <v>6250000</v>
      </c>
      <c r="AW11" s="135">
        <f t="shared" si="4"/>
        <v>6250000</v>
      </c>
      <c r="AX11" s="135">
        <f t="shared" si="5"/>
        <v>0</v>
      </c>
    </row>
    <row r="12" spans="1:70" ht="14.25" customHeight="1" x14ac:dyDescent="0.35">
      <c r="A12" s="269" t="str">
        <f>'Phase I Financial'!A55</f>
        <v>Legal</v>
      </c>
      <c r="B12" s="133">
        <f>'Phase I Financial'!C55</f>
        <v>400000</v>
      </c>
      <c r="C12" s="143"/>
      <c r="D12" s="143"/>
      <c r="E12" s="134">
        <v>100000</v>
      </c>
      <c r="F12" s="134">
        <v>100000</v>
      </c>
      <c r="G12" s="134">
        <v>50000</v>
      </c>
      <c r="H12" s="134">
        <v>50000</v>
      </c>
      <c r="I12" s="134">
        <v>50000</v>
      </c>
      <c r="J12" s="134">
        <v>50000</v>
      </c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37"/>
      <c r="V12" s="137"/>
      <c r="W12" s="137"/>
      <c r="X12" s="137"/>
      <c r="Y12" s="137"/>
      <c r="Z12" s="137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35">
        <f t="shared" si="9"/>
        <v>400000</v>
      </c>
      <c r="AW12" s="135">
        <f t="shared" si="4"/>
        <v>400000</v>
      </c>
      <c r="AX12" s="135">
        <f t="shared" si="5"/>
        <v>0</v>
      </c>
    </row>
    <row r="13" spans="1:70" ht="14.25" customHeight="1" x14ac:dyDescent="0.35">
      <c r="A13" s="269" t="str">
        <f>'Phase I Financial'!A56</f>
        <v>Land Closing Costs/commissions</v>
      </c>
      <c r="B13" s="133">
        <f>'Phase I Financial'!C56</f>
        <v>600000</v>
      </c>
      <c r="C13" s="139"/>
      <c r="D13" s="134"/>
      <c r="E13" s="134"/>
      <c r="F13" s="134"/>
      <c r="G13" s="136"/>
      <c r="H13" s="134">
        <f>B13</f>
        <v>600000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>
        <f t="shared" si="9"/>
        <v>600000</v>
      </c>
      <c r="AW13" s="135">
        <f t="shared" si="4"/>
        <v>600000</v>
      </c>
      <c r="AX13" s="135">
        <f t="shared" si="5"/>
        <v>0</v>
      </c>
    </row>
    <row r="14" spans="1:70" ht="14.25" customHeight="1" x14ac:dyDescent="0.35">
      <c r="A14" s="269" t="str">
        <f>'Phase I Financial'!A57</f>
        <v xml:space="preserve">Design </v>
      </c>
      <c r="B14" s="133">
        <f>'Phase I Financial'!C57</f>
        <v>10397545.200000001</v>
      </c>
      <c r="C14" s="134"/>
      <c r="D14" s="134"/>
      <c r="E14" s="134">
        <f t="shared" ref="E14:F14" si="10">0.3*$B14</f>
        <v>3119263.56</v>
      </c>
      <c r="F14" s="134">
        <f t="shared" si="10"/>
        <v>3119263.56</v>
      </c>
      <c r="G14" s="134">
        <f t="shared" ref="G14:H14" si="11">0.1*$B14</f>
        <v>1039754.5200000001</v>
      </c>
      <c r="H14" s="134">
        <f t="shared" si="11"/>
        <v>1039754.5200000001</v>
      </c>
      <c r="I14" s="134">
        <f>0.05*$B14</f>
        <v>519877.26000000007</v>
      </c>
      <c r="J14" s="134">
        <f t="shared" ref="J14:N14" si="12">0.02*$B14</f>
        <v>207950.90400000004</v>
      </c>
      <c r="K14" s="134">
        <f t="shared" si="12"/>
        <v>207950.90400000004</v>
      </c>
      <c r="L14" s="134">
        <f t="shared" si="12"/>
        <v>207950.90400000004</v>
      </c>
      <c r="M14" s="134">
        <f t="shared" si="12"/>
        <v>207950.90400000004</v>
      </c>
      <c r="N14" s="134">
        <f t="shared" si="12"/>
        <v>207950.90400000004</v>
      </c>
      <c r="O14" s="134">
        <f t="shared" ref="O14:S14" si="13">0.01*$B14</f>
        <v>103975.45200000002</v>
      </c>
      <c r="P14" s="134">
        <f t="shared" si="13"/>
        <v>103975.45200000002</v>
      </c>
      <c r="Q14" s="134">
        <f t="shared" si="13"/>
        <v>103975.45200000002</v>
      </c>
      <c r="R14" s="134">
        <f t="shared" si="13"/>
        <v>103975.45200000002</v>
      </c>
      <c r="S14" s="134">
        <f t="shared" si="13"/>
        <v>103975.45200000002</v>
      </c>
      <c r="T14" s="134"/>
      <c r="U14" s="134"/>
      <c r="V14" s="134"/>
      <c r="W14" s="134"/>
      <c r="X14" s="134"/>
      <c r="Y14" s="134"/>
      <c r="Z14" s="134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>
        <f t="shared" si="9"/>
        <v>10397545.199999996</v>
      </c>
      <c r="AW14" s="135">
        <f t="shared" si="4"/>
        <v>10397545.200000001</v>
      </c>
      <c r="AX14" s="135">
        <f t="shared" si="5"/>
        <v>0</v>
      </c>
    </row>
    <row r="15" spans="1:70" ht="14.25" customHeight="1" x14ac:dyDescent="0.35">
      <c r="A15" s="269" t="str">
        <f>'Phase I Financial'!A58</f>
        <v>Developer Fee</v>
      </c>
      <c r="B15" s="133">
        <f>'Phase I Financial'!C58</f>
        <v>11663714.763753913</v>
      </c>
      <c r="C15" s="134">
        <f>$B15*C$4</f>
        <v>0</v>
      </c>
      <c r="D15" s="134">
        <f t="shared" ref="D15:G15" si="14">$B15*D4</f>
        <v>0</v>
      </c>
      <c r="E15" s="134">
        <f t="shared" si="14"/>
        <v>0</v>
      </c>
      <c r="F15" s="134">
        <f t="shared" si="14"/>
        <v>0</v>
      </c>
      <c r="G15" s="134">
        <f t="shared" si="14"/>
        <v>0</v>
      </c>
      <c r="H15" s="134"/>
      <c r="I15" s="134"/>
      <c r="J15" s="134"/>
      <c r="K15" s="134"/>
      <c r="L15" s="134"/>
      <c r="M15" s="134">
        <f t="shared" ref="M15:T15" si="15">$B15/12</f>
        <v>971976.23031282611</v>
      </c>
      <c r="N15" s="134">
        <f t="shared" si="15"/>
        <v>971976.23031282611</v>
      </c>
      <c r="O15" s="134">
        <f t="shared" si="15"/>
        <v>971976.23031282611</v>
      </c>
      <c r="P15" s="134">
        <f t="shared" si="15"/>
        <v>971976.23031282611</v>
      </c>
      <c r="Q15" s="134">
        <f t="shared" si="15"/>
        <v>971976.23031282611</v>
      </c>
      <c r="R15" s="134">
        <f t="shared" si="15"/>
        <v>971976.23031282611</v>
      </c>
      <c r="S15" s="134">
        <f t="shared" si="15"/>
        <v>971976.23031282611</v>
      </c>
      <c r="T15" s="134">
        <f t="shared" si="15"/>
        <v>971976.23031282611</v>
      </c>
      <c r="U15" s="134">
        <f t="shared" ref="U15:X16" si="16">$B15/12</f>
        <v>971976.23031282611</v>
      </c>
      <c r="V15" s="134">
        <f t="shared" si="16"/>
        <v>971976.23031282611</v>
      </c>
      <c r="W15" s="134">
        <f t="shared" si="16"/>
        <v>971976.23031282611</v>
      </c>
      <c r="X15" s="134">
        <f t="shared" si="16"/>
        <v>971976.23031282611</v>
      </c>
      <c r="Y15" s="134"/>
      <c r="Z15" s="134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>
        <f t="shared" si="9"/>
        <v>11663714.763753913</v>
      </c>
      <c r="AW15" s="135">
        <f t="shared" si="4"/>
        <v>11663714.763753913</v>
      </c>
      <c r="AX15" s="135">
        <f t="shared" si="5"/>
        <v>0</v>
      </c>
    </row>
    <row r="16" spans="1:70" ht="14.25" customHeight="1" x14ac:dyDescent="0.35">
      <c r="A16" s="269" t="str">
        <f>'Phase I Financial'!A59</f>
        <v>Construction Management Fee</v>
      </c>
      <c r="B16" s="133">
        <f>'Phase I Financial'!C59</f>
        <v>7798158.8999999994</v>
      </c>
      <c r="C16" s="134">
        <f>$B16*C$4</f>
        <v>0</v>
      </c>
      <c r="D16" s="134">
        <f t="shared" ref="D16:G16" si="17">$B16*D$4</f>
        <v>0</v>
      </c>
      <c r="E16" s="134">
        <f t="shared" si="17"/>
        <v>0</v>
      </c>
      <c r="F16" s="134">
        <f t="shared" si="17"/>
        <v>0</v>
      </c>
      <c r="G16" s="134">
        <f t="shared" si="17"/>
        <v>0</v>
      </c>
      <c r="H16" s="134"/>
      <c r="I16" s="134"/>
      <c r="J16" s="134"/>
      <c r="K16" s="134"/>
      <c r="L16" s="134"/>
      <c r="M16" s="134">
        <f t="shared" ref="M16:T16" si="18">$B16/12</f>
        <v>649846.57499999995</v>
      </c>
      <c r="N16" s="134">
        <f t="shared" si="18"/>
        <v>649846.57499999995</v>
      </c>
      <c r="O16" s="134">
        <f t="shared" si="18"/>
        <v>649846.57499999995</v>
      </c>
      <c r="P16" s="134">
        <f t="shared" si="18"/>
        <v>649846.57499999995</v>
      </c>
      <c r="Q16" s="134">
        <f t="shared" si="18"/>
        <v>649846.57499999995</v>
      </c>
      <c r="R16" s="134">
        <f t="shared" si="18"/>
        <v>649846.57499999995</v>
      </c>
      <c r="S16" s="134">
        <f t="shared" si="18"/>
        <v>649846.57499999995</v>
      </c>
      <c r="T16" s="134">
        <f t="shared" si="18"/>
        <v>649846.57499999995</v>
      </c>
      <c r="U16" s="134">
        <f t="shared" si="16"/>
        <v>649846.57499999995</v>
      </c>
      <c r="V16" s="134">
        <f t="shared" si="16"/>
        <v>649846.57499999995</v>
      </c>
      <c r="W16" s="134">
        <f t="shared" si="16"/>
        <v>649846.57499999995</v>
      </c>
      <c r="X16" s="134">
        <f t="shared" si="16"/>
        <v>649846.57499999995</v>
      </c>
      <c r="Y16" s="134"/>
      <c r="Z16" s="134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>
        <f t="shared" si="9"/>
        <v>7798158.9000000013</v>
      </c>
      <c r="AW16" s="135">
        <f t="shared" si="4"/>
        <v>7798158.8999999994</v>
      </c>
      <c r="AX16" s="135">
        <f t="shared" si="5"/>
        <v>0</v>
      </c>
    </row>
    <row r="17" spans="1:50" ht="14.25" customHeight="1" x14ac:dyDescent="0.35">
      <c r="A17" s="269" t="str">
        <f>'Phase I Financial'!A60</f>
        <v>Taxes</v>
      </c>
      <c r="B17" s="133">
        <f>'Phase I Financial'!C60</f>
        <v>2500000</v>
      </c>
      <c r="C17" s="139"/>
      <c r="D17" s="134"/>
      <c r="E17" s="134"/>
      <c r="F17" s="134"/>
      <c r="G17" s="138"/>
      <c r="H17" s="134">
        <f>$B17/10</f>
        <v>250000</v>
      </c>
      <c r="I17" s="134"/>
      <c r="J17" s="134">
        <f>$B17/8</f>
        <v>312500</v>
      </c>
      <c r="K17" s="134"/>
      <c r="L17" s="134">
        <f>$B17/6</f>
        <v>416666.66666666669</v>
      </c>
      <c r="M17" s="134"/>
      <c r="N17" s="134">
        <f>$B17/4</f>
        <v>625000</v>
      </c>
      <c r="O17" s="134"/>
      <c r="P17" s="134">
        <f>$B17/6</f>
        <v>416666.66666666669</v>
      </c>
      <c r="Q17" s="136"/>
      <c r="R17" s="134"/>
      <c r="S17" s="136"/>
      <c r="T17" s="134">
        <v>383333</v>
      </c>
      <c r="U17" s="134"/>
      <c r="V17" s="134"/>
      <c r="W17" s="134"/>
      <c r="X17" s="134"/>
      <c r="Y17" s="134"/>
      <c r="Z17" s="134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2"/>
      <c r="AT17" s="135"/>
      <c r="AU17" s="135"/>
      <c r="AV17" s="135">
        <f t="shared" si="9"/>
        <v>2404166.3333333335</v>
      </c>
      <c r="AW17" s="135">
        <f t="shared" si="4"/>
        <v>2500000</v>
      </c>
      <c r="AX17" s="135">
        <f t="shared" si="5"/>
        <v>95833.666666666511</v>
      </c>
    </row>
    <row r="18" spans="1:50" ht="14.25" customHeight="1" x14ac:dyDescent="0.35">
      <c r="A18" s="269" t="str">
        <f>'Phase I Financial'!A61</f>
        <v>Insurance</v>
      </c>
      <c r="B18" s="133">
        <f>'Phase I Financial'!C61</f>
        <v>3285927.3846153845</v>
      </c>
      <c r="C18" s="139"/>
      <c r="D18" s="138"/>
      <c r="E18" s="138"/>
      <c r="F18" s="134"/>
      <c r="G18" s="134"/>
      <c r="H18" s="134"/>
      <c r="I18" s="134">
        <v>10000</v>
      </c>
      <c r="J18" s="134">
        <v>10000</v>
      </c>
      <c r="K18" s="134"/>
      <c r="L18" s="139">
        <f>$B18-SUM(C18:K18)</f>
        <v>3265927.3846153845</v>
      </c>
      <c r="M18" s="134"/>
      <c r="N18" s="134"/>
      <c r="O18" s="134"/>
      <c r="P18" s="134"/>
      <c r="Q18" s="134"/>
      <c r="R18" s="134"/>
      <c r="S18" s="134"/>
      <c r="T18" s="136"/>
      <c r="U18" s="134"/>
      <c r="V18" s="134">
        <f>$B18-SUM(C18:U18)</f>
        <v>0</v>
      </c>
      <c r="W18" s="134">
        <f>$B18-SUM(D18:V18)</f>
        <v>0</v>
      </c>
      <c r="X18" s="134">
        <f>$B18-SUM(E18:W18)</f>
        <v>0</v>
      </c>
      <c r="Y18" s="134">
        <f>$B18-SUM(F18:X18)</f>
        <v>0</v>
      </c>
      <c r="Z18" s="134">
        <f>$B18-SUM(G18:Y18)</f>
        <v>0</v>
      </c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>
        <f t="shared" si="9"/>
        <v>3285927.3846153845</v>
      </c>
      <c r="AW18" s="135">
        <f t="shared" si="4"/>
        <v>3285927.3846153845</v>
      </c>
      <c r="AX18" s="135">
        <f t="shared" si="5"/>
        <v>0</v>
      </c>
    </row>
    <row r="19" spans="1:50" ht="14.25" customHeight="1" x14ac:dyDescent="0.35">
      <c r="A19" s="269" t="str">
        <f>'Phase I Financial'!A62</f>
        <v>Marketing, FFE and Preleasing</v>
      </c>
      <c r="B19" s="133">
        <f>'Phase I Financial'!C62</f>
        <v>800000</v>
      </c>
      <c r="C19" s="139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>
        <f>$B19/2</f>
        <v>400000</v>
      </c>
      <c r="X19" s="134">
        <f>$B19/2</f>
        <v>400000</v>
      </c>
      <c r="Y19" s="134"/>
      <c r="Z19" s="134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4"/>
      <c r="AT19" s="4"/>
      <c r="AU19" s="4"/>
      <c r="AV19" s="135">
        <f t="shared" si="9"/>
        <v>800000</v>
      </c>
      <c r="AW19" s="135">
        <f t="shared" si="4"/>
        <v>800000</v>
      </c>
      <c r="AX19" s="135">
        <f t="shared" si="5"/>
        <v>0</v>
      </c>
    </row>
    <row r="20" spans="1:50" ht="14.25" customHeight="1" x14ac:dyDescent="0.35">
      <c r="A20" s="269" t="str">
        <f>'Phase I Financial'!A63</f>
        <v>Operating Deficit</v>
      </c>
      <c r="B20" s="133">
        <f>'Phase I Financial'!C63</f>
        <v>5043051.8951593833</v>
      </c>
      <c r="C20" s="13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45"/>
      <c r="V20" s="145"/>
      <c r="W20" s="145"/>
      <c r="X20" s="145"/>
      <c r="Y20" s="145">
        <f>B20/2</f>
        <v>2521525.9475796917</v>
      </c>
      <c r="Z20" s="145">
        <f>B20/2</f>
        <v>2521525.9475796917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135"/>
      <c r="AR20" s="135"/>
      <c r="AS20" s="135"/>
      <c r="AT20" s="135"/>
      <c r="AU20" s="146"/>
      <c r="AV20" s="135">
        <f t="shared" si="9"/>
        <v>5043051.8951593833</v>
      </c>
      <c r="AW20" s="135">
        <f t="shared" si="4"/>
        <v>5043051.8951593833</v>
      </c>
      <c r="AX20" s="135">
        <f t="shared" si="5"/>
        <v>0</v>
      </c>
    </row>
    <row r="21" spans="1:50" ht="14.25" customHeight="1" x14ac:dyDescent="0.35">
      <c r="A21" s="269" t="str">
        <f>'Phase I Financial'!A64</f>
        <v>Retail TI's</v>
      </c>
      <c r="B21" s="133">
        <f>'Phase I Financial'!C64</f>
        <v>19032750</v>
      </c>
      <c r="C21" s="13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>
        <f>$B21/2</f>
        <v>9516375</v>
      </c>
      <c r="X21" s="134">
        <f>$B21/2</f>
        <v>9516375</v>
      </c>
      <c r="Y21" s="134"/>
      <c r="Z21" s="134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>
        <f t="shared" si="9"/>
        <v>19032750</v>
      </c>
      <c r="AW21" s="135">
        <f t="shared" si="4"/>
        <v>19032750</v>
      </c>
      <c r="AX21" s="135">
        <f t="shared" si="5"/>
        <v>0</v>
      </c>
    </row>
    <row r="22" spans="1:50" ht="14.25" customHeight="1" x14ac:dyDescent="0.35">
      <c r="A22" s="269" t="str">
        <f>'Phase I Financial'!A65</f>
        <v>Retail brokerage</v>
      </c>
      <c r="B22" s="133">
        <f>'Phase I Financial'!C65</f>
        <v>3324512.5</v>
      </c>
      <c r="C22" s="139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>
        <f>$B22</f>
        <v>3324512.5</v>
      </c>
      <c r="Z22" s="134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>
        <f t="shared" si="9"/>
        <v>3324512.5</v>
      </c>
      <c r="AW22" s="135">
        <f t="shared" si="4"/>
        <v>3324512.5</v>
      </c>
      <c r="AX22" s="135">
        <f t="shared" si="5"/>
        <v>0</v>
      </c>
    </row>
    <row r="23" spans="1:50" ht="14.25" customHeight="1" x14ac:dyDescent="0.35">
      <c r="A23" s="269" t="str">
        <f>'Phase I Financial'!A66</f>
        <v>Construction Loan Origination</v>
      </c>
      <c r="B23" s="133">
        <f>'Phase I Financial'!C66</f>
        <v>4063286</v>
      </c>
      <c r="C23" s="134">
        <f>$B$23*C4</f>
        <v>0</v>
      </c>
      <c r="D23" s="134">
        <f t="shared" ref="D23" si="19">$B$23*D4</f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f>$B23</f>
        <v>4063286</v>
      </c>
      <c r="L23" s="134">
        <v>0</v>
      </c>
      <c r="M23" s="136"/>
      <c r="N23" s="134">
        <v>0</v>
      </c>
      <c r="O23" s="134">
        <v>0</v>
      </c>
      <c r="P23" s="136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2"/>
      <c r="AR23" s="2"/>
      <c r="AS23" s="135"/>
      <c r="AT23" s="135"/>
      <c r="AU23" s="135"/>
      <c r="AV23" s="135">
        <f t="shared" si="9"/>
        <v>4063286</v>
      </c>
      <c r="AW23" s="135">
        <f t="shared" si="4"/>
        <v>4063286</v>
      </c>
      <c r="AX23" s="135">
        <f t="shared" si="5"/>
        <v>0</v>
      </c>
    </row>
    <row r="24" spans="1:50" ht="14.25" customHeight="1" x14ac:dyDescent="0.35">
      <c r="A24" s="270" t="str">
        <f>'Phase I Financial'!A67</f>
        <v>Construction Interest</v>
      </c>
      <c r="B24" s="133">
        <f>'Phase I Financial'!C67</f>
        <v>13550159</v>
      </c>
      <c r="C24" s="147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R24" s="134">
        <f t="shared" ref="R24:T24" si="20">$B24/20</f>
        <v>677507.95</v>
      </c>
      <c r="S24" s="134">
        <f t="shared" si="20"/>
        <v>677507.95</v>
      </c>
      <c r="T24" s="134">
        <f t="shared" si="20"/>
        <v>677507.95</v>
      </c>
      <c r="U24" s="134">
        <f>$B24/15</f>
        <v>903343.93333333335</v>
      </c>
      <c r="V24" s="134">
        <f>$B24/10</f>
        <v>1355015.9</v>
      </c>
      <c r="W24" s="134">
        <f>$B24/8</f>
        <v>1693769.875</v>
      </c>
      <c r="X24" s="134">
        <f>$B24/7</f>
        <v>1935737</v>
      </c>
      <c r="Y24" s="134">
        <f>$B24/6</f>
        <v>2258359.8333333335</v>
      </c>
      <c r="Z24" s="134">
        <v>1870799</v>
      </c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>
        <f t="shared" si="9"/>
        <v>12049549.391666668</v>
      </c>
      <c r="AW24" s="135">
        <f t="shared" si="4"/>
        <v>13550159</v>
      </c>
      <c r="AX24" s="135">
        <f t="shared" si="5"/>
        <v>1500609.6083333325</v>
      </c>
    </row>
    <row r="25" spans="1:50" ht="14.25" customHeight="1" x14ac:dyDescent="0.35">
      <c r="A25" s="269" t="str">
        <f>'Phase I Financial'!A68</f>
        <v>Additional Contingency</v>
      </c>
      <c r="B25" s="148">
        <f>'Phase I Financial'!C68</f>
        <v>3000000</v>
      </c>
      <c r="C25" s="149">
        <v>0</v>
      </c>
      <c r="D25" s="149">
        <v>0</v>
      </c>
      <c r="E25" s="149">
        <v>0</v>
      </c>
      <c r="F25" s="149"/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f t="shared" ref="M25:T25" si="21">$B25/12</f>
        <v>250000</v>
      </c>
      <c r="N25" s="149">
        <f t="shared" si="21"/>
        <v>250000</v>
      </c>
      <c r="O25" s="149">
        <f t="shared" si="21"/>
        <v>250000</v>
      </c>
      <c r="P25" s="149">
        <f t="shared" si="21"/>
        <v>250000</v>
      </c>
      <c r="Q25" s="149">
        <f t="shared" si="21"/>
        <v>250000</v>
      </c>
      <c r="R25" s="149">
        <f t="shared" si="21"/>
        <v>250000</v>
      </c>
      <c r="S25" s="149">
        <f t="shared" si="21"/>
        <v>250000</v>
      </c>
      <c r="T25" s="149">
        <f t="shared" si="21"/>
        <v>250000</v>
      </c>
      <c r="U25" s="149">
        <f>$B25/12</f>
        <v>250000</v>
      </c>
      <c r="V25" s="149">
        <f>$B25/12</f>
        <v>250000</v>
      </c>
      <c r="W25" s="149">
        <f>$B25/12</f>
        <v>250000</v>
      </c>
      <c r="X25" s="149">
        <f>$B25/12</f>
        <v>250000</v>
      </c>
      <c r="Y25" s="149"/>
      <c r="Z25" s="149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>
        <f t="shared" si="9"/>
        <v>3000000</v>
      </c>
      <c r="AW25" s="150">
        <f t="shared" si="4"/>
        <v>3000000</v>
      </c>
      <c r="AX25" s="135">
        <f t="shared" si="5"/>
        <v>0</v>
      </c>
    </row>
    <row r="26" spans="1:50" ht="14.25" customHeight="1" x14ac:dyDescent="0.35">
      <c r="A26" s="269" t="str">
        <f>'Phase I Financial'!A69</f>
        <v>Total Project Cost</v>
      </c>
      <c r="B26" s="151">
        <f>SUM(B5:B25)</f>
        <v>462852052.56865907</v>
      </c>
      <c r="C26" s="271">
        <f>SUM(C5:C25)</f>
        <v>0</v>
      </c>
      <c r="D26" s="271">
        <f t="shared" ref="D26:U26" si="22">SUM(D5:D25)</f>
        <v>0</v>
      </c>
      <c r="E26" s="271">
        <f>SUM(E5:E25)</f>
        <v>3619263.56</v>
      </c>
      <c r="F26" s="271">
        <f>SUM(F5:F25)</f>
        <v>3219263.56</v>
      </c>
      <c r="G26" s="271">
        <f>SUM(G5:G25)</f>
        <v>1089754.52</v>
      </c>
      <c r="H26" s="271">
        <f t="shared" si="22"/>
        <v>1939754.52</v>
      </c>
      <c r="I26" s="271">
        <f t="shared" si="22"/>
        <v>579877.26</v>
      </c>
      <c r="J26" s="271">
        <f>SUM(J5:J25)</f>
        <v>580450.9040000001</v>
      </c>
      <c r="K26" s="271">
        <f t="shared" si="22"/>
        <v>21164956.442461539</v>
      </c>
      <c r="L26" s="271">
        <f t="shared" si="22"/>
        <v>31188684.493743591</v>
      </c>
      <c r="M26" s="271">
        <f t="shared" si="22"/>
        <v>41437629.403674044</v>
      </c>
      <c r="N26" s="271">
        <f t="shared" si="22"/>
        <v>19598493.247774366</v>
      </c>
      <c r="O26" s="271">
        <f t="shared" si="22"/>
        <v>18869517.795774367</v>
      </c>
      <c r="P26" s="271">
        <f t="shared" si="22"/>
        <v>36179904.000902571</v>
      </c>
      <c r="Q26" s="271">
        <f t="shared" si="22"/>
        <v>35763237.334235907</v>
      </c>
      <c r="R26" s="271">
        <f t="shared" si="22"/>
        <v>36440745.28423591</v>
      </c>
      <c r="S26" s="271">
        <f t="shared" si="22"/>
        <v>36440745.28423591</v>
      </c>
      <c r="T26" s="271">
        <f t="shared" si="22"/>
        <v>36720102.83223591</v>
      </c>
      <c r="U26" s="271">
        <f t="shared" si="22"/>
        <v>39687605.815569237</v>
      </c>
      <c r="V26" s="271">
        <f>SUM(V5:V25)</f>
        <v>23245558.243774366</v>
      </c>
      <c r="W26" s="271">
        <f>SUM(W5:W25)</f>
        <v>30375687.218774367</v>
      </c>
      <c r="X26" s="271">
        <f>SUM(X5:X25)</f>
        <v>30617654.343774367</v>
      </c>
      <c r="Y26" s="271">
        <f>SUM(Y5:Y25)</f>
        <v>8104398.2809130251</v>
      </c>
      <c r="Z26" s="271">
        <f>SUM(Z5:Z25)</f>
        <v>4392324.9475796912</v>
      </c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2">
        <f t="shared" ref="AV26:AW26" si="23">SUM(AV5:AV25)</f>
        <v>461255609.29365903</v>
      </c>
      <c r="AW26" s="273">
        <f t="shared" si="23"/>
        <v>462852052.56865907</v>
      </c>
      <c r="AX26" s="273"/>
    </row>
    <row r="27" spans="1:50" ht="14.25" customHeight="1" x14ac:dyDescent="0.35">
      <c r="A27" s="152" t="s">
        <v>356</v>
      </c>
      <c r="B27" s="153">
        <f>'Phase I Financial'!B77</f>
        <v>-1285000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2"/>
      <c r="AW27" s="273"/>
      <c r="AX27" s="273"/>
    </row>
    <row r="28" spans="1:50" ht="14.25" customHeight="1" x14ac:dyDescent="0.35">
      <c r="A28" s="154" t="s">
        <v>357</v>
      </c>
      <c r="B28" s="155">
        <f>B26+B27</f>
        <v>461567052.56865907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4"/>
      <c r="AV28" s="156"/>
      <c r="AW28" s="156"/>
      <c r="AX28" s="156"/>
    </row>
    <row r="29" spans="1:50" ht="14.25" customHeight="1" x14ac:dyDescent="0.35">
      <c r="A29" s="157" t="s">
        <v>358</v>
      </c>
      <c r="B29" s="170">
        <f>SUM(C29:P29)</f>
        <v>150970436.24518451</v>
      </c>
      <c r="C29" s="135">
        <f>C26</f>
        <v>0</v>
      </c>
      <c r="D29" s="135">
        <f t="shared" ref="D29:P29" si="24">IF(C30+D26&lt;=$B$30,D26,($B$30-C30))</f>
        <v>0</v>
      </c>
      <c r="E29" s="135">
        <f t="shared" ref="E29:K29" si="25">IF(D30+E26&lt;=$B$30,E26,($B$30-D30))</f>
        <v>3619263.56</v>
      </c>
      <c r="F29" s="135">
        <f t="shared" si="25"/>
        <v>3219263.56</v>
      </c>
      <c r="G29" s="135">
        <f t="shared" si="25"/>
        <v>1089754.52</v>
      </c>
      <c r="H29" s="135">
        <f t="shared" si="25"/>
        <v>1939754.52</v>
      </c>
      <c r="I29" s="135">
        <f t="shared" si="25"/>
        <v>579877.26</v>
      </c>
      <c r="J29" s="135">
        <f t="shared" si="25"/>
        <v>580450.9040000001</v>
      </c>
      <c r="K29" s="135">
        <f t="shared" si="25"/>
        <v>21164956.442461539</v>
      </c>
      <c r="L29" s="135">
        <f t="shared" si="24"/>
        <v>31188684.493743591</v>
      </c>
      <c r="M29" s="135">
        <f t="shared" si="24"/>
        <v>41437629.403674044</v>
      </c>
      <c r="N29" s="135">
        <f t="shared" si="24"/>
        <v>19598493.247774366</v>
      </c>
      <c r="O29" s="135">
        <f t="shared" si="24"/>
        <v>18869517.795774367</v>
      </c>
      <c r="P29" s="135">
        <f t="shared" si="24"/>
        <v>7682790.537756592</v>
      </c>
      <c r="Q29" s="135">
        <f t="shared" ref="Q29:Z29" si="26">IF(P30+Q26&lt;=$B$30,Q26,($B$30-P30))</f>
        <v>0</v>
      </c>
      <c r="R29" s="135">
        <f t="shared" si="26"/>
        <v>0</v>
      </c>
      <c r="S29" s="135">
        <f t="shared" si="26"/>
        <v>0</v>
      </c>
      <c r="T29" s="135">
        <f t="shared" si="26"/>
        <v>0</v>
      </c>
      <c r="U29" s="135">
        <f t="shared" si="26"/>
        <v>0</v>
      </c>
      <c r="V29" s="135">
        <f t="shared" si="26"/>
        <v>0</v>
      </c>
      <c r="W29" s="135">
        <f t="shared" ca="1" si="26"/>
        <v>0</v>
      </c>
      <c r="X29" s="135">
        <f t="shared" ca="1" si="26"/>
        <v>0</v>
      </c>
      <c r="Y29" s="135">
        <f t="shared" ca="1" si="26"/>
        <v>0</v>
      </c>
      <c r="Z29" s="135">
        <f t="shared" ca="1" si="26"/>
        <v>0</v>
      </c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59"/>
      <c r="AW29" s="159"/>
      <c r="AX29" s="159"/>
    </row>
    <row r="30" spans="1:50" ht="14.25" customHeight="1" x14ac:dyDescent="0.35">
      <c r="A30" s="269" t="s">
        <v>359</v>
      </c>
      <c r="B30" s="160">
        <f>'Phase I Financial'!B82</f>
        <v>150970436.24518451</v>
      </c>
      <c r="C30" s="135">
        <f>C29</f>
        <v>0</v>
      </c>
      <c r="D30" s="135">
        <f>IF(SUM($C$29:D$29)&lt;=$B30,SUM($C$29:D$29),0)</f>
        <v>0</v>
      </c>
      <c r="E30" s="135">
        <f t="shared" ref="E30:U30" si="27">IF(SUM($C$29:E29)&lt;=$B30,SUM($C$29:E29),0)</f>
        <v>3619263.56</v>
      </c>
      <c r="F30" s="135">
        <f t="shared" si="27"/>
        <v>6838527.1200000001</v>
      </c>
      <c r="G30" s="135">
        <f t="shared" si="27"/>
        <v>7928281.6400000006</v>
      </c>
      <c r="H30" s="135">
        <f t="shared" si="27"/>
        <v>9868036.1600000001</v>
      </c>
      <c r="I30" s="135">
        <f t="shared" si="27"/>
        <v>10447913.42</v>
      </c>
      <c r="J30" s="135">
        <f t="shared" si="27"/>
        <v>11028364.324000001</v>
      </c>
      <c r="K30" s="135">
        <f t="shared" si="27"/>
        <v>32193320.76646154</v>
      </c>
      <c r="L30" s="135">
        <f t="shared" si="27"/>
        <v>63382005.260205135</v>
      </c>
      <c r="M30" s="135">
        <f t="shared" si="27"/>
        <v>104819634.66387919</v>
      </c>
      <c r="N30" s="135">
        <f t="shared" si="27"/>
        <v>124418127.91165355</v>
      </c>
      <c r="O30" s="135">
        <f t="shared" si="27"/>
        <v>143287645.70742792</v>
      </c>
      <c r="P30" s="135">
        <f t="shared" si="27"/>
        <v>150970436.24518451</v>
      </c>
      <c r="Q30" s="135">
        <f t="shared" si="27"/>
        <v>150970436.24518451</v>
      </c>
      <c r="R30" s="135">
        <f t="shared" si="27"/>
        <v>150970436.24518451</v>
      </c>
      <c r="S30" s="135">
        <f t="shared" si="27"/>
        <v>150970436.24518451</v>
      </c>
      <c r="T30" s="135">
        <f t="shared" si="27"/>
        <v>150970436.24518451</v>
      </c>
      <c r="U30" s="135">
        <f t="shared" si="27"/>
        <v>150970436.24518451</v>
      </c>
      <c r="V30" s="135">
        <f ca="1">IF(SUM($C$29:AP29)&lt;=$B30,SUM($C$29:AP29),0)</f>
        <v>137055292.68014535</v>
      </c>
      <c r="W30" s="135">
        <f ca="1">IF(SUM($C$29:AQ29)&lt;=$B30,SUM($C$29:AQ29),0)</f>
        <v>137055292.68014535</v>
      </c>
      <c r="X30" s="135">
        <f ca="1">IF(SUM($C$29:AR29)&lt;=$B30,SUM($C$29:AR29),0)</f>
        <v>137055292.68014535</v>
      </c>
      <c r="Y30" s="135">
        <f ca="1">IF(SUM($C$29:AS29)&lt;=$B30,SUM($C$29:AS29),0)</f>
        <v>137055292.68014535</v>
      </c>
      <c r="Z30" s="135">
        <f ca="1">IF(SUM($C$29:AT29)&lt;=$B30,SUM($C$29:AT29),0)</f>
        <v>137055292.68014535</v>
      </c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59"/>
      <c r="AW30" s="159"/>
      <c r="AX30" s="159"/>
    </row>
    <row r="31" spans="1:50" ht="14.25" customHeight="1" x14ac:dyDescent="0.35">
      <c r="A31" s="88" t="s">
        <v>360</v>
      </c>
      <c r="B31" s="161">
        <f>'Phase I Financial'!B79</f>
        <v>300853834.16962838</v>
      </c>
      <c r="C31" s="274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274"/>
      <c r="AW31" s="274"/>
      <c r="AX31" s="159"/>
    </row>
    <row r="32" spans="1:50" ht="14.25" customHeight="1" x14ac:dyDescent="0.35">
      <c r="A32" s="163" t="s">
        <v>361</v>
      </c>
      <c r="B32" s="164">
        <f>PMT(0.045,30,(B31))</f>
        <v>-18469881.069639508</v>
      </c>
      <c r="C32" s="274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274"/>
      <c r="AW32" s="274"/>
      <c r="AX32" s="159"/>
    </row>
    <row r="33" spans="1:50" ht="14.25" customHeight="1" x14ac:dyDescent="0.35">
      <c r="A33" s="275" t="s">
        <v>362</v>
      </c>
      <c r="B33" s="165">
        <f>SUM(C33:AV33)</f>
        <v>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4"/>
      <c r="AW33" s="162"/>
      <c r="AX33" s="159"/>
    </row>
    <row r="34" spans="1:50" ht="14.25" customHeight="1" x14ac:dyDescent="0.35">
      <c r="A34" s="275"/>
      <c r="B34" s="490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4"/>
      <c r="AW34" s="162"/>
      <c r="AX34" s="159"/>
    </row>
    <row r="35" spans="1:50" ht="14.25" customHeight="1" x14ac:dyDescent="0.35">
      <c r="A35" s="293" t="s">
        <v>363</v>
      </c>
      <c r="B35" s="490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4"/>
      <c r="AW35" s="162"/>
      <c r="AX35" s="159"/>
    </row>
    <row r="36" spans="1:50" ht="14.25" customHeight="1" x14ac:dyDescent="0.35">
      <c r="A36" s="275" t="s">
        <v>364</v>
      </c>
      <c r="B36" s="490">
        <f>'Phase I Financial'!B89-'Phase I Financial'!B79</f>
        <v>287182098.25564814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4"/>
      <c r="AW36" s="162"/>
      <c r="AX36" s="159"/>
    </row>
    <row r="37" spans="1:50" ht="14.25" customHeight="1" x14ac:dyDescent="0.35">
      <c r="A37" s="275" t="s">
        <v>365</v>
      </c>
      <c r="B37" s="490">
        <f>SUM(C37:Z37)</f>
        <v>136211662.01046363</v>
      </c>
      <c r="C37" s="135">
        <f>-C29</f>
        <v>0</v>
      </c>
      <c r="D37" s="135">
        <f t="shared" ref="D37:V37" si="28">-D29</f>
        <v>0</v>
      </c>
      <c r="E37" s="135">
        <f t="shared" si="28"/>
        <v>-3619263.56</v>
      </c>
      <c r="F37" s="135">
        <f t="shared" si="28"/>
        <v>-3219263.56</v>
      </c>
      <c r="G37" s="135">
        <f t="shared" si="28"/>
        <v>-1089754.52</v>
      </c>
      <c r="H37" s="135">
        <f t="shared" si="28"/>
        <v>-1939754.52</v>
      </c>
      <c r="I37" s="135">
        <f t="shared" si="28"/>
        <v>-579877.26</v>
      </c>
      <c r="J37" s="135">
        <f t="shared" si="28"/>
        <v>-580450.9040000001</v>
      </c>
      <c r="K37" s="135">
        <f t="shared" si="28"/>
        <v>-21164956.442461539</v>
      </c>
      <c r="L37" s="135">
        <f t="shared" si="28"/>
        <v>-31188684.493743591</v>
      </c>
      <c r="M37" s="135">
        <f t="shared" si="28"/>
        <v>-41437629.403674044</v>
      </c>
      <c r="N37" s="135">
        <f t="shared" si="28"/>
        <v>-19598493.247774366</v>
      </c>
      <c r="O37" s="135">
        <f t="shared" si="28"/>
        <v>-18869517.795774367</v>
      </c>
      <c r="P37" s="135">
        <f t="shared" si="28"/>
        <v>-7682790.537756592</v>
      </c>
      <c r="Q37" s="135">
        <f t="shared" si="28"/>
        <v>0</v>
      </c>
      <c r="R37" s="135">
        <f t="shared" si="28"/>
        <v>0</v>
      </c>
      <c r="S37" s="135">
        <f t="shared" si="28"/>
        <v>0</v>
      </c>
      <c r="T37" s="135">
        <f t="shared" si="28"/>
        <v>0</v>
      </c>
      <c r="U37" s="135">
        <f t="shared" si="28"/>
        <v>0</v>
      </c>
      <c r="V37" s="135">
        <f t="shared" si="28"/>
        <v>0</v>
      </c>
      <c r="W37" s="135">
        <v>0</v>
      </c>
      <c r="X37" s="135">
        <v>0</v>
      </c>
      <c r="Y37" s="135">
        <v>0</v>
      </c>
      <c r="Z37" s="175">
        <f>B36</f>
        <v>287182098.25564814</v>
      </c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4"/>
      <c r="AW37" s="162"/>
      <c r="AX37" s="159"/>
    </row>
    <row r="38" spans="1:50" ht="14.25" customHeight="1" x14ac:dyDescent="0.35">
      <c r="A38" s="275" t="s">
        <v>366</v>
      </c>
      <c r="B38" s="491">
        <f>IRR(C37:Z37)</f>
        <v>4.8589242626383644E-2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4"/>
      <c r="AW38" s="162"/>
      <c r="AX38" s="159"/>
    </row>
    <row r="39" spans="1:50" ht="14.25" customHeight="1" x14ac:dyDescent="0.35">
      <c r="A39" s="275" t="s">
        <v>367</v>
      </c>
      <c r="B39" s="492">
        <f>POWER(1+B38,4)-1</f>
        <v>0.20898689160648898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4"/>
      <c r="AW39" s="162"/>
      <c r="AX39" s="159"/>
    </row>
    <row r="40" spans="1:50" ht="14.25" customHeight="1" x14ac:dyDescent="0.35">
      <c r="A40" s="293" t="s">
        <v>368</v>
      </c>
      <c r="B40" s="490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4"/>
      <c r="AW40" s="162"/>
      <c r="AX40" s="159"/>
    </row>
    <row r="41" spans="1:50" ht="14.25" customHeight="1" x14ac:dyDescent="0.35">
      <c r="A41" s="275" t="s">
        <v>369</v>
      </c>
      <c r="B41" s="490">
        <f>'Phase I Financial'!B89-'Phase I Draw'!B27</f>
        <v>589320932.42527652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4"/>
      <c r="AW41" s="162"/>
      <c r="AX41" s="159"/>
    </row>
    <row r="42" spans="1:50" ht="14.25" customHeight="1" x14ac:dyDescent="0.35">
      <c r="A42" s="275" t="s">
        <v>370</v>
      </c>
      <c r="B42" s="490">
        <f>SUM(C42:Z42)</f>
        <v>128065323.13161731</v>
      </c>
      <c r="C42" s="135">
        <f>-C26</f>
        <v>0</v>
      </c>
      <c r="D42" s="135">
        <f>-D26</f>
        <v>0</v>
      </c>
      <c r="E42" s="135">
        <f t="shared" ref="E42:Y42" si="29">-E26</f>
        <v>-3619263.56</v>
      </c>
      <c r="F42" s="135">
        <f t="shared" si="29"/>
        <v>-3219263.56</v>
      </c>
      <c r="G42" s="135">
        <f t="shared" si="29"/>
        <v>-1089754.52</v>
      </c>
      <c r="H42" s="135">
        <f t="shared" si="29"/>
        <v>-1939754.52</v>
      </c>
      <c r="I42" s="135">
        <f t="shared" si="29"/>
        <v>-579877.26</v>
      </c>
      <c r="J42" s="135">
        <f t="shared" si="29"/>
        <v>-580450.9040000001</v>
      </c>
      <c r="K42" s="135">
        <f t="shared" si="29"/>
        <v>-21164956.442461539</v>
      </c>
      <c r="L42" s="135">
        <f t="shared" si="29"/>
        <v>-31188684.493743591</v>
      </c>
      <c r="M42" s="135">
        <f t="shared" si="29"/>
        <v>-41437629.403674044</v>
      </c>
      <c r="N42" s="135">
        <f t="shared" si="29"/>
        <v>-19598493.247774366</v>
      </c>
      <c r="O42" s="135">
        <f t="shared" si="29"/>
        <v>-18869517.795774367</v>
      </c>
      <c r="P42" s="135">
        <f t="shared" si="29"/>
        <v>-36179904.000902571</v>
      </c>
      <c r="Q42" s="135">
        <f t="shared" si="29"/>
        <v>-35763237.334235907</v>
      </c>
      <c r="R42" s="135">
        <f t="shared" si="29"/>
        <v>-36440745.28423591</v>
      </c>
      <c r="S42" s="135">
        <f t="shared" si="29"/>
        <v>-36440745.28423591</v>
      </c>
      <c r="T42" s="135">
        <f t="shared" si="29"/>
        <v>-36720102.83223591</v>
      </c>
      <c r="U42" s="135">
        <f t="shared" si="29"/>
        <v>-39687605.815569237</v>
      </c>
      <c r="V42" s="135">
        <f t="shared" si="29"/>
        <v>-23245558.243774366</v>
      </c>
      <c r="W42" s="135">
        <f t="shared" si="29"/>
        <v>-30375687.218774367</v>
      </c>
      <c r="X42" s="135">
        <f t="shared" si="29"/>
        <v>-30617654.343774367</v>
      </c>
      <c r="Y42" s="135">
        <f t="shared" si="29"/>
        <v>-8104398.2809130251</v>
      </c>
      <c r="Z42" s="175">
        <f>-Z26+B41</f>
        <v>584928607.47769678</v>
      </c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4"/>
      <c r="AW42" s="162"/>
      <c r="AX42" s="159"/>
    </row>
    <row r="43" spans="1:50" ht="14.25" customHeight="1" x14ac:dyDescent="0.35">
      <c r="A43" s="275" t="s">
        <v>371</v>
      </c>
      <c r="B43" s="491">
        <f>IF(B42&lt;0,0,IRR(C42:AU42))</f>
        <v>2.8812165979768212E-2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4"/>
      <c r="AW43" s="162"/>
      <c r="AX43" s="159"/>
    </row>
    <row r="44" spans="1:50" ht="14.25" customHeight="1" x14ac:dyDescent="0.35">
      <c r="A44" s="275" t="s">
        <v>372</v>
      </c>
      <c r="B44" s="492">
        <f>POWER(1+B43,4)-1</f>
        <v>0.12032587113423787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4"/>
      <c r="AW44" s="162"/>
      <c r="AX44" s="159"/>
    </row>
    <row r="45" spans="1:50" ht="14.25" customHeight="1" x14ac:dyDescent="0.35">
      <c r="A45" s="275"/>
      <c r="B45" s="490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4"/>
      <c r="AW45" s="162"/>
      <c r="AX45" s="159"/>
    </row>
    <row r="46" spans="1:50" ht="14.25" customHeight="1" x14ac:dyDescent="0.35">
      <c r="A46" s="275"/>
      <c r="B46" s="490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4"/>
      <c r="AW46" s="162"/>
      <c r="AX46" s="159"/>
    </row>
    <row r="47" spans="1:50" ht="14.25" customHeight="1" x14ac:dyDescent="0.35">
      <c r="A47" s="275"/>
      <c r="B47" s="490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4"/>
      <c r="AW47" s="162"/>
      <c r="AX47" s="159"/>
    </row>
    <row r="48" spans="1:50" ht="14.25" customHeight="1" x14ac:dyDescent="0.35">
      <c r="A48" s="275"/>
      <c r="B48" s="490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4"/>
      <c r="AW48" s="162"/>
      <c r="AX48" s="159"/>
    </row>
    <row r="49" spans="1:70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4.25" customHeight="1" x14ac:dyDescent="0.35">
      <c r="A51" s="2"/>
      <c r="B51" s="58"/>
      <c r="C51" s="41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1:70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1:70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1:70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1:70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1:70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1:70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1:70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1:70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1:70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1:70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1:70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1:70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1:70" ht="14.25" customHeight="1" x14ac:dyDescent="0.35">
      <c r="A248" s="2"/>
      <c r="B248" s="2"/>
      <c r="C248" s="2"/>
      <c r="D248" s="2"/>
      <c r="E248" s="2"/>
      <c r="F248" s="2"/>
      <c r="G248" s="27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1:70" ht="14.25" customHeight="1" x14ac:dyDescent="0.35">
      <c r="A249" s="2"/>
      <c r="B249" s="2"/>
      <c r="C249" s="2"/>
      <c r="D249" s="2"/>
      <c r="E249" s="2"/>
      <c r="F249" s="2"/>
      <c r="G249" s="27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1:70" ht="14.25" customHeight="1" x14ac:dyDescent="0.35">
      <c r="A250" s="2"/>
      <c r="B250" s="2"/>
      <c r="C250" s="2"/>
      <c r="D250" s="2"/>
      <c r="E250" s="2"/>
      <c r="F250" s="2"/>
      <c r="G250" s="27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1:70" ht="14.25" customHeight="1" x14ac:dyDescent="0.35">
      <c r="A251" s="2"/>
      <c r="B251" s="2"/>
      <c r="C251" s="2"/>
      <c r="D251" s="2"/>
      <c r="E251" s="2"/>
      <c r="F251" s="2"/>
      <c r="G251" s="27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1:70" ht="14.25" customHeight="1" x14ac:dyDescent="0.35">
      <c r="A252" s="2"/>
      <c r="B252" s="2"/>
      <c r="C252" s="2"/>
      <c r="D252" s="2"/>
      <c r="E252" s="2"/>
      <c r="F252" s="2"/>
      <c r="G252" s="27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1:70" ht="14.25" customHeight="1" x14ac:dyDescent="0.35">
      <c r="A253" s="2"/>
      <c r="B253" s="2"/>
      <c r="C253" s="2"/>
      <c r="D253" s="2"/>
      <c r="E253" s="2"/>
      <c r="F253" s="2"/>
      <c r="G253" s="27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1:70" ht="14.25" customHeight="1" x14ac:dyDescent="0.35">
      <c r="A254" s="2"/>
      <c r="B254" s="2"/>
      <c r="C254" s="2"/>
      <c r="D254" s="2"/>
      <c r="E254" s="2"/>
      <c r="F254" s="2"/>
      <c r="G254" s="27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1:70" ht="14.25" customHeight="1" x14ac:dyDescent="0.35">
      <c r="A255" s="2"/>
      <c r="B255" s="2"/>
      <c r="C255" s="2"/>
      <c r="D255" s="2"/>
      <c r="E255" s="2"/>
      <c r="F255" s="2"/>
      <c r="G255" s="27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1:70" ht="14.25" customHeight="1" x14ac:dyDescent="0.35">
      <c r="A256" s="2"/>
      <c r="B256" s="2"/>
      <c r="C256" s="2"/>
      <c r="D256" s="2"/>
      <c r="E256" s="2"/>
      <c r="F256" s="2"/>
      <c r="G256" s="27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1:70" ht="14.25" customHeight="1" x14ac:dyDescent="0.35">
      <c r="A257" s="2"/>
      <c r="B257" s="2"/>
      <c r="C257" s="2"/>
      <c r="D257" s="2"/>
      <c r="E257" s="2"/>
      <c r="F257" s="2"/>
      <c r="G257" s="27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1:70" ht="14.25" customHeight="1" x14ac:dyDescent="0.35">
      <c r="A258" s="2"/>
      <c r="B258" s="2"/>
      <c r="C258" s="2"/>
      <c r="D258" s="2"/>
      <c r="E258" s="2"/>
      <c r="F258" s="2"/>
      <c r="G258" s="27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1:70" ht="14.25" customHeight="1" x14ac:dyDescent="0.35">
      <c r="A259" s="2"/>
      <c r="B259" s="2"/>
      <c r="C259" s="2"/>
      <c r="D259" s="2"/>
      <c r="E259" s="2"/>
      <c r="F259" s="2"/>
      <c r="G259" s="27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1:70" ht="14.25" customHeight="1" x14ac:dyDescent="0.35">
      <c r="A260" s="2"/>
      <c r="B260" s="2"/>
      <c r="C260" s="2"/>
      <c r="D260" s="2"/>
      <c r="E260" s="2"/>
      <c r="F260" s="2"/>
      <c r="G260" s="27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1:70" ht="14.25" customHeight="1" x14ac:dyDescent="0.35">
      <c r="A261" s="2"/>
      <c r="B261" s="2"/>
      <c r="C261" s="2"/>
      <c r="D261" s="2"/>
      <c r="E261" s="2"/>
      <c r="F261" s="2"/>
      <c r="G261" s="27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1:70" ht="14.25" customHeight="1" x14ac:dyDescent="0.35">
      <c r="A262" s="2"/>
      <c r="B262" s="2"/>
      <c r="C262" s="2"/>
      <c r="D262" s="2"/>
      <c r="E262" s="2"/>
      <c r="F262" s="2"/>
      <c r="G262" s="27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1:70" ht="14.25" customHeight="1" x14ac:dyDescent="0.35">
      <c r="A263" s="2"/>
      <c r="B263" s="2"/>
      <c r="C263" s="2"/>
      <c r="D263" s="2"/>
      <c r="E263" s="2"/>
      <c r="F263" s="2"/>
      <c r="G263" s="27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1:70" ht="14.25" customHeight="1" x14ac:dyDescent="0.35">
      <c r="A264" s="2"/>
      <c r="B264" s="2"/>
      <c r="C264" s="2"/>
      <c r="D264" s="2"/>
      <c r="E264" s="2"/>
      <c r="F264" s="2"/>
      <c r="G264" s="27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1:70" ht="14.25" customHeight="1" x14ac:dyDescent="0.35">
      <c r="A265" s="2"/>
      <c r="B265" s="2"/>
      <c r="C265" s="2"/>
      <c r="D265" s="2"/>
      <c r="E265" s="2"/>
      <c r="F265" s="2"/>
      <c r="G265" s="27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1:70" ht="14.25" customHeight="1" x14ac:dyDescent="0.35">
      <c r="A266" s="2"/>
      <c r="B266" s="2"/>
      <c r="C266" s="2"/>
      <c r="D266" s="2"/>
      <c r="E266" s="2"/>
      <c r="F266" s="2"/>
      <c r="G266" s="27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1:70" ht="14.25" customHeight="1" x14ac:dyDescent="0.35">
      <c r="A267" s="2"/>
      <c r="B267" s="2"/>
      <c r="C267" s="2"/>
      <c r="D267" s="2"/>
      <c r="E267" s="2"/>
      <c r="F267" s="2"/>
      <c r="G267" s="27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1:70" ht="14.25" customHeight="1" x14ac:dyDescent="0.35">
      <c r="A268" s="2"/>
      <c r="B268" s="2"/>
      <c r="C268" s="2"/>
      <c r="D268" s="2"/>
      <c r="E268" s="2"/>
      <c r="F268" s="2"/>
      <c r="G268" s="27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1:70" ht="14.25" customHeight="1" x14ac:dyDescent="0.35">
      <c r="A269" s="2"/>
      <c r="B269" s="2"/>
      <c r="C269" s="2"/>
      <c r="D269" s="2"/>
      <c r="E269" s="2"/>
      <c r="F269" s="2"/>
      <c r="G269" s="27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1:70" ht="14.25" customHeight="1" x14ac:dyDescent="0.35">
      <c r="A270" s="2"/>
      <c r="B270" s="2"/>
      <c r="C270" s="2"/>
      <c r="D270" s="2"/>
      <c r="E270" s="2"/>
      <c r="F270" s="2"/>
      <c r="G270" s="27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1:70" ht="14.25" customHeight="1" x14ac:dyDescent="0.35">
      <c r="A271" s="2"/>
      <c r="B271" s="2"/>
      <c r="C271" s="2"/>
      <c r="D271" s="2"/>
      <c r="E271" s="2"/>
      <c r="F271" s="2"/>
      <c r="G271" s="27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1:70" ht="14.25" customHeight="1" x14ac:dyDescent="0.35">
      <c r="A272" s="2"/>
      <c r="B272" s="2"/>
      <c r="C272" s="2"/>
      <c r="D272" s="2"/>
      <c r="E272" s="2"/>
      <c r="F272" s="2"/>
      <c r="G272" s="27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1:70" ht="14.25" customHeight="1" x14ac:dyDescent="0.35">
      <c r="A273" s="2"/>
      <c r="B273" s="2"/>
      <c r="C273" s="2"/>
      <c r="D273" s="2"/>
      <c r="E273" s="2"/>
      <c r="F273" s="2"/>
      <c r="G273" s="27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1:70" ht="14.25" customHeight="1" x14ac:dyDescent="0.35">
      <c r="A274" s="2"/>
      <c r="B274" s="2"/>
      <c r="C274" s="2"/>
      <c r="D274" s="2"/>
      <c r="E274" s="2"/>
      <c r="F274" s="2"/>
      <c r="G274" s="27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1:70" ht="14.25" customHeight="1" x14ac:dyDescent="0.35">
      <c r="A275" s="2"/>
      <c r="B275" s="2"/>
      <c r="C275" s="2"/>
      <c r="D275" s="2"/>
      <c r="E275" s="2"/>
      <c r="F275" s="2"/>
      <c r="G275" s="27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1:70" ht="14.25" customHeight="1" x14ac:dyDescent="0.35">
      <c r="A276" s="2"/>
      <c r="B276" s="2"/>
      <c r="C276" s="2"/>
      <c r="D276" s="2"/>
      <c r="E276" s="2"/>
      <c r="F276" s="2"/>
      <c r="G276" s="27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1:70" ht="14.25" customHeight="1" x14ac:dyDescent="0.35">
      <c r="A277" s="2"/>
      <c r="B277" s="2"/>
      <c r="C277" s="2"/>
      <c r="D277" s="2"/>
      <c r="E277" s="2"/>
      <c r="F277" s="2"/>
      <c r="G277" s="27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1:70" ht="14.25" customHeight="1" x14ac:dyDescent="0.35">
      <c r="A278" s="2"/>
      <c r="B278" s="2"/>
      <c r="C278" s="2"/>
      <c r="D278" s="2"/>
      <c r="E278" s="2"/>
      <c r="F278" s="2"/>
      <c r="G278" s="27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1:70" ht="14.25" customHeight="1" x14ac:dyDescent="0.35">
      <c r="A279" s="2"/>
      <c r="B279" s="2"/>
      <c r="C279" s="2"/>
      <c r="D279" s="2"/>
      <c r="E279" s="2"/>
      <c r="F279" s="2"/>
      <c r="G279" s="27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1:70" ht="14.25" customHeight="1" x14ac:dyDescent="0.35">
      <c r="A280" s="2"/>
      <c r="B280" s="2"/>
      <c r="C280" s="2"/>
      <c r="D280" s="2"/>
      <c r="E280" s="2"/>
      <c r="F280" s="2"/>
      <c r="G280" s="27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1:70" ht="14.25" customHeight="1" x14ac:dyDescent="0.35">
      <c r="A281" s="2"/>
      <c r="B281" s="2"/>
      <c r="C281" s="2"/>
      <c r="D281" s="2"/>
      <c r="E281" s="2"/>
      <c r="F281" s="2"/>
      <c r="G281" s="27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1:70" ht="14.25" customHeight="1" x14ac:dyDescent="0.35">
      <c r="A282" s="2"/>
      <c r="B282" s="2"/>
      <c r="C282" s="2"/>
      <c r="D282" s="2"/>
      <c r="E282" s="2"/>
      <c r="F282" s="2"/>
      <c r="G282" s="27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1:70" ht="14.25" customHeight="1" x14ac:dyDescent="0.35">
      <c r="A283" s="2"/>
      <c r="B283" s="2"/>
      <c r="C283" s="2"/>
      <c r="D283" s="2"/>
      <c r="E283" s="2"/>
      <c r="F283" s="2"/>
      <c r="G283" s="27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1:70" ht="14.25" customHeight="1" x14ac:dyDescent="0.35">
      <c r="A284" s="2"/>
      <c r="B284" s="2"/>
      <c r="C284" s="2"/>
      <c r="D284" s="2"/>
      <c r="E284" s="2"/>
      <c r="F284" s="2"/>
      <c r="G284" s="27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1:70" ht="14.25" customHeight="1" x14ac:dyDescent="0.35">
      <c r="A285" s="2"/>
      <c r="B285" s="2"/>
      <c r="C285" s="2"/>
      <c r="D285" s="2"/>
      <c r="E285" s="2"/>
      <c r="F285" s="2"/>
      <c r="G285" s="27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1:70" ht="14.25" customHeight="1" x14ac:dyDescent="0.35">
      <c r="A286" s="2"/>
      <c r="B286" s="2"/>
      <c r="C286" s="2"/>
      <c r="D286" s="2"/>
      <c r="E286" s="2"/>
      <c r="F286" s="2"/>
      <c r="G286" s="27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1:70" ht="14.25" customHeight="1" x14ac:dyDescent="0.35">
      <c r="A287" s="2"/>
      <c r="B287" s="2"/>
      <c r="C287" s="2"/>
      <c r="D287" s="2"/>
      <c r="E287" s="2"/>
      <c r="F287" s="2"/>
      <c r="G287" s="27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1:70" ht="14.25" customHeight="1" x14ac:dyDescent="0.35">
      <c r="A288" s="2"/>
      <c r="B288" s="2"/>
      <c r="C288" s="2"/>
      <c r="D288" s="2"/>
      <c r="E288" s="2"/>
      <c r="F288" s="2"/>
      <c r="G288" s="27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1:70" ht="14.25" customHeight="1" x14ac:dyDescent="0.35">
      <c r="A289" s="2"/>
      <c r="B289" s="2"/>
      <c r="C289" s="2"/>
      <c r="D289" s="2"/>
      <c r="E289" s="2"/>
      <c r="F289" s="2"/>
      <c r="G289" s="27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1:70" ht="14.25" customHeight="1" x14ac:dyDescent="0.35">
      <c r="A290" s="2"/>
      <c r="B290" s="2"/>
      <c r="C290" s="2"/>
      <c r="D290" s="2"/>
      <c r="E290" s="2"/>
      <c r="F290" s="2"/>
      <c r="G290" s="27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1:70" ht="14.25" customHeight="1" x14ac:dyDescent="0.35">
      <c r="A291" s="2"/>
      <c r="B291" s="2"/>
      <c r="C291" s="2"/>
      <c r="D291" s="2"/>
      <c r="E291" s="2"/>
      <c r="F291" s="2"/>
      <c r="G291" s="27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1:70" ht="14.25" customHeight="1" x14ac:dyDescent="0.35">
      <c r="A292" s="2"/>
      <c r="B292" s="2"/>
      <c r="C292" s="2"/>
      <c r="D292" s="2"/>
      <c r="E292" s="2"/>
      <c r="F292" s="2"/>
      <c r="G292" s="27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1:70" ht="14.25" customHeight="1" x14ac:dyDescent="0.35">
      <c r="A293" s="2"/>
      <c r="B293" s="2"/>
      <c r="C293" s="2"/>
      <c r="D293" s="2"/>
      <c r="E293" s="2"/>
      <c r="F293" s="2"/>
      <c r="G293" s="27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1:70" ht="14.25" customHeight="1" x14ac:dyDescent="0.35">
      <c r="A294" s="2"/>
      <c r="B294" s="2"/>
      <c r="C294" s="2"/>
      <c r="D294" s="2"/>
      <c r="E294" s="2"/>
      <c r="F294" s="2"/>
      <c r="G294" s="27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1:70" ht="14.25" customHeight="1" x14ac:dyDescent="0.35">
      <c r="A295" s="2"/>
      <c r="B295" s="2"/>
      <c r="C295" s="2"/>
      <c r="D295" s="2"/>
      <c r="E295" s="2"/>
      <c r="F295" s="2"/>
      <c r="G295" s="27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1:70" ht="14.25" customHeight="1" x14ac:dyDescent="0.35">
      <c r="A296" s="2"/>
      <c r="B296" s="2"/>
      <c r="C296" s="2"/>
      <c r="D296" s="2"/>
      <c r="E296" s="2"/>
      <c r="F296" s="2"/>
      <c r="G296" s="27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1:70" ht="14.25" customHeight="1" x14ac:dyDescent="0.35">
      <c r="A297" s="2"/>
      <c r="B297" s="2"/>
      <c r="C297" s="2"/>
      <c r="D297" s="2"/>
      <c r="E297" s="2"/>
      <c r="F297" s="2"/>
      <c r="G297" s="27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1:70" ht="14.25" customHeight="1" x14ac:dyDescent="0.35">
      <c r="A298" s="2"/>
      <c r="B298" s="2"/>
      <c r="C298" s="2"/>
      <c r="D298" s="2"/>
      <c r="E298" s="2"/>
      <c r="F298" s="2"/>
      <c r="G298" s="27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1:70" ht="14.25" customHeight="1" x14ac:dyDescent="0.35">
      <c r="A299" s="2"/>
      <c r="B299" s="2"/>
      <c r="C299" s="2"/>
      <c r="D299" s="2"/>
      <c r="E299" s="2"/>
      <c r="F299" s="2"/>
      <c r="G299" s="27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1:70" ht="14.25" customHeight="1" x14ac:dyDescent="0.35">
      <c r="A300" s="2"/>
      <c r="B300" s="2"/>
      <c r="C300" s="2"/>
      <c r="D300" s="2"/>
      <c r="E300" s="2"/>
      <c r="F300" s="2"/>
      <c r="G300" s="27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1:70" ht="14.25" customHeight="1" x14ac:dyDescent="0.35">
      <c r="A301" s="2"/>
      <c r="B301" s="2"/>
      <c r="C301" s="2"/>
      <c r="D301" s="2"/>
      <c r="E301" s="2"/>
      <c r="F301" s="2"/>
      <c r="G301" s="27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1:70" ht="14.25" customHeight="1" x14ac:dyDescent="0.35">
      <c r="A302" s="2"/>
      <c r="B302" s="2"/>
      <c r="C302" s="2"/>
      <c r="D302" s="2"/>
      <c r="E302" s="2"/>
      <c r="F302" s="2"/>
      <c r="G302" s="27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1:70" ht="14.25" customHeight="1" x14ac:dyDescent="0.35">
      <c r="A303" s="2"/>
      <c r="B303" s="2"/>
      <c r="C303" s="2"/>
      <c r="D303" s="2"/>
      <c r="E303" s="2"/>
      <c r="F303" s="2"/>
      <c r="G303" s="27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1:70" ht="14.25" customHeight="1" x14ac:dyDescent="0.35">
      <c r="A304" s="2"/>
      <c r="B304" s="2"/>
      <c r="C304" s="2"/>
      <c r="D304" s="2"/>
      <c r="E304" s="2"/>
      <c r="F304" s="2"/>
      <c r="G304" s="27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1:70" ht="14.25" customHeight="1" x14ac:dyDescent="0.35">
      <c r="A305" s="2"/>
      <c r="B305" s="2"/>
      <c r="C305" s="2"/>
      <c r="D305" s="2"/>
      <c r="E305" s="2"/>
      <c r="F305" s="2"/>
      <c r="G305" s="27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1:70" ht="14.25" customHeight="1" x14ac:dyDescent="0.35">
      <c r="A306" s="2"/>
      <c r="B306" s="2"/>
      <c r="C306" s="2"/>
      <c r="D306" s="2"/>
      <c r="E306" s="2"/>
      <c r="F306" s="2"/>
      <c r="G306" s="27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1:70" ht="14.25" customHeight="1" x14ac:dyDescent="0.35">
      <c r="A307" s="2"/>
      <c r="B307" s="2"/>
      <c r="C307" s="2"/>
      <c r="D307" s="2"/>
      <c r="E307" s="2"/>
      <c r="F307" s="2"/>
      <c r="G307" s="27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1:70" ht="14.25" customHeight="1" x14ac:dyDescent="0.35">
      <c r="A308" s="2"/>
      <c r="B308" s="2"/>
      <c r="C308" s="2"/>
      <c r="D308" s="2"/>
      <c r="E308" s="2"/>
      <c r="F308" s="2"/>
      <c r="G308" s="27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1:70" ht="14.25" customHeight="1" x14ac:dyDescent="0.35">
      <c r="A309" s="2"/>
      <c r="B309" s="2"/>
      <c r="C309" s="2"/>
      <c r="D309" s="2"/>
      <c r="E309" s="2"/>
      <c r="F309" s="2"/>
      <c r="G309" s="27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1:70" ht="14.25" customHeight="1" x14ac:dyDescent="0.35">
      <c r="A310" s="2"/>
      <c r="B310" s="2"/>
      <c r="C310" s="2"/>
      <c r="D310" s="2"/>
      <c r="E310" s="2"/>
      <c r="F310" s="2"/>
      <c r="G310" s="27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1:70" ht="14.25" customHeight="1" x14ac:dyDescent="0.35">
      <c r="A311" s="2"/>
      <c r="B311" s="2"/>
      <c r="C311" s="2"/>
      <c r="D311" s="2"/>
      <c r="E311" s="2"/>
      <c r="F311" s="2"/>
      <c r="G311" s="27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1:70" ht="14.25" customHeight="1" x14ac:dyDescent="0.35">
      <c r="A312" s="2"/>
      <c r="B312" s="2"/>
      <c r="C312" s="2"/>
      <c r="D312" s="2"/>
      <c r="E312" s="2"/>
      <c r="F312" s="2"/>
      <c r="G312" s="27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1:70" ht="14.25" customHeight="1" x14ac:dyDescent="0.35">
      <c r="A313" s="2"/>
      <c r="B313" s="2"/>
      <c r="C313" s="2"/>
      <c r="D313" s="2"/>
      <c r="E313" s="2"/>
      <c r="F313" s="2"/>
      <c r="G313" s="27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1:70" ht="14.25" customHeight="1" x14ac:dyDescent="0.35">
      <c r="A314" s="2"/>
      <c r="B314" s="2"/>
      <c r="C314" s="2"/>
      <c r="D314" s="2"/>
      <c r="E314" s="2"/>
      <c r="F314" s="2"/>
      <c r="G314" s="27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1:70" ht="14.25" customHeight="1" x14ac:dyDescent="0.35">
      <c r="A315" s="2"/>
      <c r="B315" s="2"/>
      <c r="C315" s="2"/>
      <c r="D315" s="2"/>
      <c r="E315" s="2"/>
      <c r="F315" s="2"/>
      <c r="G315" s="27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1:70" ht="14.25" customHeight="1" x14ac:dyDescent="0.35">
      <c r="A316" s="2"/>
      <c r="B316" s="2"/>
      <c r="C316" s="2"/>
      <c r="D316" s="2"/>
      <c r="E316" s="2"/>
      <c r="F316" s="2"/>
      <c r="G316" s="27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1:70" ht="14.25" customHeight="1" x14ac:dyDescent="0.35">
      <c r="A317" s="2"/>
      <c r="B317" s="2"/>
      <c r="C317" s="2"/>
      <c r="D317" s="2"/>
      <c r="E317" s="2"/>
      <c r="F317" s="2"/>
      <c r="G317" s="27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1:70" ht="14.25" customHeight="1" x14ac:dyDescent="0.35">
      <c r="A318" s="2"/>
      <c r="B318" s="2"/>
      <c r="C318" s="2"/>
      <c r="D318" s="2"/>
      <c r="E318" s="2"/>
      <c r="F318" s="2"/>
      <c r="G318" s="27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1:70" ht="14.25" customHeight="1" x14ac:dyDescent="0.35">
      <c r="A319" s="2"/>
      <c r="B319" s="2"/>
      <c r="C319" s="2"/>
      <c r="D319" s="2"/>
      <c r="E319" s="2"/>
      <c r="F319" s="2"/>
      <c r="G319" s="27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1:70" ht="14.25" customHeight="1" x14ac:dyDescent="0.35">
      <c r="A320" s="2"/>
      <c r="B320" s="2"/>
      <c r="C320" s="2"/>
      <c r="D320" s="2"/>
      <c r="E320" s="2"/>
      <c r="F320" s="2"/>
      <c r="G320" s="27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1:70" ht="14.25" customHeight="1" x14ac:dyDescent="0.35">
      <c r="A321" s="2"/>
      <c r="B321" s="2"/>
      <c r="C321" s="2"/>
      <c r="D321" s="2"/>
      <c r="E321" s="2"/>
      <c r="F321" s="2"/>
      <c r="G321" s="27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1:70" ht="14.25" customHeight="1" x14ac:dyDescent="0.35">
      <c r="A322" s="2"/>
      <c r="B322" s="2"/>
      <c r="C322" s="2"/>
      <c r="D322" s="2"/>
      <c r="E322" s="2"/>
      <c r="F322" s="2"/>
      <c r="G322" s="27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1:70" ht="14.25" customHeight="1" x14ac:dyDescent="0.35">
      <c r="A323" s="2"/>
      <c r="B323" s="2"/>
      <c r="C323" s="2"/>
      <c r="D323" s="2"/>
      <c r="E323" s="2"/>
      <c r="F323" s="2"/>
      <c r="G323" s="27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1:70" ht="14.25" customHeight="1" x14ac:dyDescent="0.35">
      <c r="A324" s="2"/>
      <c r="B324" s="2"/>
      <c r="C324" s="2"/>
      <c r="D324" s="2"/>
      <c r="E324" s="2"/>
      <c r="F324" s="2"/>
      <c r="G324" s="27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1:70" ht="14.25" customHeight="1" x14ac:dyDescent="0.35">
      <c r="A325" s="2"/>
      <c r="B325" s="2"/>
      <c r="C325" s="2"/>
      <c r="D325" s="2"/>
      <c r="E325" s="2"/>
      <c r="F325" s="2"/>
      <c r="G325" s="27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1:70" ht="14.25" customHeight="1" x14ac:dyDescent="0.35">
      <c r="A326" s="2"/>
      <c r="B326" s="2"/>
      <c r="C326" s="2"/>
      <c r="D326" s="2"/>
      <c r="E326" s="2"/>
      <c r="F326" s="2"/>
      <c r="G326" s="27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1:70" ht="14.25" customHeight="1" x14ac:dyDescent="0.35">
      <c r="A327" s="2"/>
      <c r="B327" s="2"/>
      <c r="C327" s="2"/>
      <c r="D327" s="2"/>
      <c r="E327" s="2"/>
      <c r="F327" s="2"/>
      <c r="G327" s="27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1:70" ht="14.25" customHeight="1" x14ac:dyDescent="0.35">
      <c r="A328" s="2"/>
      <c r="B328" s="2"/>
      <c r="C328" s="2"/>
      <c r="D328" s="2"/>
      <c r="E328" s="2"/>
      <c r="F328" s="2"/>
      <c r="G328" s="27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1:70" ht="14.25" customHeight="1" x14ac:dyDescent="0.35">
      <c r="A329" s="2"/>
      <c r="B329" s="2"/>
      <c r="C329" s="2"/>
      <c r="D329" s="2"/>
      <c r="E329" s="2"/>
      <c r="F329" s="2"/>
      <c r="G329" s="27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1:70" ht="14.25" customHeight="1" x14ac:dyDescent="0.35">
      <c r="A330" s="2"/>
      <c r="B330" s="2"/>
      <c r="C330" s="2"/>
      <c r="D330" s="2"/>
      <c r="E330" s="2"/>
      <c r="F330" s="2"/>
      <c r="G330" s="27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1:70" ht="14.25" customHeight="1" x14ac:dyDescent="0.35">
      <c r="A331" s="2"/>
      <c r="B331" s="2"/>
      <c r="C331" s="2"/>
      <c r="D331" s="2"/>
      <c r="E331" s="2"/>
      <c r="F331" s="2"/>
      <c r="G331" s="27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1:70" ht="14.25" customHeight="1" x14ac:dyDescent="0.35">
      <c r="A332" s="2"/>
      <c r="B332" s="2"/>
      <c r="C332" s="2"/>
      <c r="D332" s="2"/>
      <c r="E332" s="2"/>
      <c r="F332" s="2"/>
      <c r="G332" s="27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1:70" ht="14.25" customHeight="1" x14ac:dyDescent="0.35">
      <c r="A333" s="2"/>
      <c r="B333" s="2"/>
      <c r="C333" s="2"/>
      <c r="D333" s="2"/>
      <c r="E333" s="2"/>
      <c r="F333" s="2"/>
      <c r="G333" s="27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1:70" ht="14.25" customHeight="1" x14ac:dyDescent="0.35">
      <c r="A334" s="2"/>
      <c r="B334" s="2"/>
      <c r="C334" s="2"/>
      <c r="D334" s="2"/>
      <c r="E334" s="2"/>
      <c r="F334" s="2"/>
      <c r="G334" s="27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1:70" ht="14.25" customHeight="1" x14ac:dyDescent="0.35">
      <c r="A335" s="2"/>
      <c r="B335" s="2"/>
      <c r="C335" s="2"/>
      <c r="D335" s="2"/>
      <c r="E335" s="2"/>
      <c r="F335" s="2"/>
      <c r="G335" s="27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1:70" ht="14.25" customHeight="1" x14ac:dyDescent="0.35">
      <c r="A336" s="2"/>
      <c r="B336" s="2"/>
      <c r="C336" s="2"/>
      <c r="D336" s="2"/>
      <c r="E336" s="2"/>
      <c r="F336" s="2"/>
      <c r="G336" s="27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1:70" ht="14.25" customHeight="1" x14ac:dyDescent="0.35">
      <c r="A337" s="2"/>
      <c r="B337" s="2"/>
      <c r="C337" s="2"/>
      <c r="D337" s="2"/>
      <c r="E337" s="2"/>
      <c r="F337" s="2"/>
      <c r="G337" s="27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1:70" ht="14.25" customHeight="1" x14ac:dyDescent="0.35">
      <c r="A338" s="2"/>
      <c r="B338" s="2"/>
      <c r="C338" s="2"/>
      <c r="D338" s="2"/>
      <c r="E338" s="2"/>
      <c r="F338" s="2"/>
      <c r="G338" s="27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1:70" ht="14.25" customHeight="1" x14ac:dyDescent="0.35">
      <c r="A339" s="2"/>
      <c r="B339" s="2"/>
      <c r="C339" s="2"/>
      <c r="D339" s="2"/>
      <c r="E339" s="2"/>
      <c r="F339" s="2"/>
      <c r="G339" s="27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1:70" ht="14.25" customHeight="1" x14ac:dyDescent="0.35">
      <c r="A340" s="2"/>
      <c r="B340" s="2"/>
      <c r="C340" s="2"/>
      <c r="D340" s="2"/>
      <c r="E340" s="2"/>
      <c r="F340" s="2"/>
      <c r="G340" s="27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1:70" ht="14.25" customHeight="1" x14ac:dyDescent="0.35">
      <c r="A341" s="2"/>
      <c r="B341" s="2"/>
      <c r="C341" s="2"/>
      <c r="D341" s="2"/>
      <c r="E341" s="2"/>
      <c r="F341" s="2"/>
      <c r="G341" s="27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1:70" ht="14.25" customHeight="1" x14ac:dyDescent="0.35">
      <c r="A342" s="2"/>
      <c r="B342" s="2"/>
      <c r="C342" s="2"/>
      <c r="D342" s="2"/>
      <c r="E342" s="2"/>
      <c r="F342" s="2"/>
      <c r="G342" s="27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1:70" ht="14.25" customHeight="1" x14ac:dyDescent="0.35">
      <c r="A343" s="2"/>
      <c r="B343" s="2"/>
      <c r="C343" s="2"/>
      <c r="D343" s="2"/>
      <c r="E343" s="2"/>
      <c r="F343" s="2"/>
      <c r="G343" s="27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1:70" ht="14.25" customHeight="1" x14ac:dyDescent="0.35">
      <c r="A344" s="2"/>
      <c r="B344" s="2"/>
      <c r="C344" s="2"/>
      <c r="D344" s="2"/>
      <c r="E344" s="2"/>
      <c r="F344" s="2"/>
      <c r="G344" s="27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1:70" ht="14.25" customHeight="1" x14ac:dyDescent="0.35">
      <c r="A345" s="2"/>
      <c r="B345" s="2"/>
      <c r="C345" s="2"/>
      <c r="D345" s="2"/>
      <c r="E345" s="2"/>
      <c r="F345" s="2"/>
      <c r="G345" s="27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1:70" ht="14.25" customHeight="1" x14ac:dyDescent="0.35">
      <c r="A346" s="2"/>
      <c r="B346" s="2"/>
      <c r="C346" s="2"/>
      <c r="D346" s="2"/>
      <c r="E346" s="2"/>
      <c r="F346" s="2"/>
      <c r="G346" s="27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1:70" ht="14.25" customHeight="1" x14ac:dyDescent="0.35">
      <c r="A347" s="2"/>
      <c r="B347" s="2"/>
      <c r="C347" s="2"/>
      <c r="D347" s="2"/>
      <c r="E347" s="2"/>
      <c r="F347" s="2"/>
      <c r="G347" s="27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1:70" ht="14.25" customHeight="1" x14ac:dyDescent="0.35">
      <c r="A348" s="2"/>
      <c r="B348" s="2"/>
      <c r="C348" s="2"/>
      <c r="D348" s="2"/>
      <c r="E348" s="2"/>
      <c r="F348" s="2"/>
      <c r="G348" s="27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1:70" ht="14.25" customHeight="1" x14ac:dyDescent="0.35">
      <c r="A349" s="2"/>
      <c r="B349" s="2"/>
      <c r="C349" s="2"/>
      <c r="D349" s="2"/>
      <c r="E349" s="2"/>
      <c r="F349" s="2"/>
      <c r="G349" s="27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1:70" ht="14.25" customHeight="1" x14ac:dyDescent="0.35">
      <c r="A350" s="2"/>
      <c r="B350" s="2"/>
      <c r="C350" s="2"/>
      <c r="D350" s="2"/>
      <c r="E350" s="2"/>
      <c r="F350" s="2"/>
      <c r="G350" s="27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1:70" ht="14.25" customHeight="1" x14ac:dyDescent="0.35">
      <c r="A351" s="2"/>
      <c r="B351" s="2"/>
      <c r="C351" s="2"/>
      <c r="D351" s="2"/>
      <c r="E351" s="2"/>
      <c r="F351" s="2"/>
      <c r="G351" s="27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1:70" ht="14.25" customHeight="1" x14ac:dyDescent="0.35">
      <c r="A352" s="2"/>
      <c r="B352" s="2"/>
      <c r="C352" s="2"/>
      <c r="D352" s="2"/>
      <c r="E352" s="2"/>
      <c r="F352" s="2"/>
      <c r="G352" s="27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1:70" ht="14.25" customHeight="1" x14ac:dyDescent="0.35">
      <c r="A353" s="2"/>
      <c r="B353" s="2"/>
      <c r="C353" s="2"/>
      <c r="D353" s="2"/>
      <c r="E353" s="2"/>
      <c r="F353" s="2"/>
      <c r="G353" s="27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1:70" ht="14.25" customHeight="1" x14ac:dyDescent="0.35">
      <c r="A354" s="2"/>
      <c r="B354" s="2"/>
      <c r="C354" s="2"/>
      <c r="D354" s="2"/>
      <c r="E354" s="2"/>
      <c r="F354" s="2"/>
      <c r="G354" s="27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1:70" ht="14.25" customHeight="1" x14ac:dyDescent="0.35">
      <c r="A355" s="2"/>
      <c r="B355" s="2"/>
      <c r="C355" s="2"/>
      <c r="D355" s="2"/>
      <c r="E355" s="2"/>
      <c r="F355" s="2"/>
      <c r="G355" s="27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1:70" ht="14.25" customHeight="1" x14ac:dyDescent="0.35">
      <c r="A356" s="2"/>
      <c r="B356" s="2"/>
      <c r="C356" s="2"/>
      <c r="D356" s="2"/>
      <c r="E356" s="2"/>
      <c r="F356" s="2"/>
      <c r="G356" s="27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1:70" ht="14.25" customHeight="1" x14ac:dyDescent="0.35">
      <c r="A357" s="2"/>
      <c r="B357" s="2"/>
      <c r="C357" s="2"/>
      <c r="D357" s="2"/>
      <c r="E357" s="2"/>
      <c r="F357" s="2"/>
      <c r="G357" s="27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1:70" ht="14.25" customHeight="1" x14ac:dyDescent="0.35">
      <c r="A358" s="2"/>
      <c r="B358" s="2"/>
      <c r="C358" s="2"/>
      <c r="D358" s="2"/>
      <c r="E358" s="2"/>
      <c r="F358" s="2"/>
      <c r="G358" s="27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1:70" ht="14.25" customHeight="1" x14ac:dyDescent="0.35">
      <c r="A359" s="2"/>
      <c r="B359" s="2"/>
      <c r="C359" s="2"/>
      <c r="D359" s="2"/>
      <c r="E359" s="2"/>
      <c r="F359" s="2"/>
      <c r="G359" s="27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1:70" ht="14.25" customHeight="1" x14ac:dyDescent="0.35">
      <c r="A360" s="2"/>
      <c r="B360" s="2"/>
      <c r="C360" s="2"/>
      <c r="D360" s="2"/>
      <c r="E360" s="2"/>
      <c r="F360" s="2"/>
      <c r="G360" s="27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1:70" ht="14.25" customHeight="1" x14ac:dyDescent="0.35">
      <c r="A361" s="2"/>
      <c r="B361" s="2"/>
      <c r="C361" s="2"/>
      <c r="D361" s="2"/>
      <c r="E361" s="2"/>
      <c r="F361" s="2"/>
      <c r="G361" s="27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1:70" ht="14.25" customHeight="1" x14ac:dyDescent="0.35">
      <c r="A362" s="2"/>
      <c r="B362" s="2"/>
      <c r="C362" s="2"/>
      <c r="D362" s="2"/>
      <c r="E362" s="2"/>
      <c r="F362" s="2"/>
      <c r="G362" s="27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1:70" ht="14.25" customHeight="1" x14ac:dyDescent="0.35">
      <c r="A363" s="2"/>
      <c r="B363" s="2"/>
      <c r="C363" s="2"/>
      <c r="D363" s="2"/>
      <c r="E363" s="2"/>
      <c r="F363" s="2"/>
      <c r="G363" s="27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1:70" ht="14.25" customHeight="1" x14ac:dyDescent="0.35">
      <c r="A364" s="2"/>
      <c r="B364" s="2"/>
      <c r="C364" s="2"/>
      <c r="D364" s="2"/>
      <c r="E364" s="2"/>
      <c r="F364" s="2"/>
      <c r="G364" s="27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1:70" ht="14.25" customHeight="1" x14ac:dyDescent="0.35">
      <c r="A365" s="2"/>
      <c r="B365" s="2"/>
      <c r="C365" s="2"/>
      <c r="D365" s="2"/>
      <c r="E365" s="2"/>
      <c r="F365" s="2"/>
      <c r="G365" s="27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1:70" ht="14.25" customHeight="1" x14ac:dyDescent="0.35">
      <c r="A366" s="2"/>
      <c r="B366" s="2"/>
      <c r="C366" s="2"/>
      <c r="D366" s="2"/>
      <c r="E366" s="2"/>
      <c r="F366" s="2"/>
      <c r="G366" s="27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1:70" ht="14.25" customHeight="1" x14ac:dyDescent="0.35">
      <c r="A367" s="2"/>
      <c r="B367" s="2"/>
      <c r="C367" s="2"/>
      <c r="D367" s="2"/>
      <c r="E367" s="2"/>
      <c r="F367" s="2"/>
      <c r="G367" s="27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1:70" ht="14.25" customHeight="1" x14ac:dyDescent="0.35">
      <c r="A368" s="2"/>
      <c r="B368" s="2"/>
      <c r="C368" s="2"/>
      <c r="D368" s="2"/>
      <c r="E368" s="2"/>
      <c r="F368" s="2"/>
      <c r="G368" s="27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1:70" ht="14.25" customHeight="1" x14ac:dyDescent="0.35">
      <c r="A369" s="2"/>
      <c r="B369" s="2"/>
      <c r="C369" s="2"/>
      <c r="D369" s="2"/>
      <c r="E369" s="2"/>
      <c r="F369" s="2"/>
      <c r="G369" s="27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1:70" ht="14.25" customHeight="1" x14ac:dyDescent="0.35">
      <c r="A370" s="2"/>
      <c r="B370" s="2"/>
      <c r="C370" s="2"/>
      <c r="D370" s="2"/>
      <c r="E370" s="2"/>
      <c r="F370" s="2"/>
      <c r="G370" s="27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1:70" ht="14.25" customHeight="1" x14ac:dyDescent="0.35">
      <c r="A371" s="2"/>
      <c r="B371" s="2"/>
      <c r="C371" s="2"/>
      <c r="D371" s="2"/>
      <c r="E371" s="2"/>
      <c r="F371" s="2"/>
      <c r="G371" s="27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1:70" ht="14.25" customHeight="1" x14ac:dyDescent="0.35">
      <c r="A372" s="2"/>
      <c r="B372" s="2"/>
      <c r="C372" s="2"/>
      <c r="D372" s="2"/>
      <c r="E372" s="2"/>
      <c r="F372" s="2"/>
      <c r="G372" s="27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1:70" ht="14.25" customHeight="1" x14ac:dyDescent="0.35">
      <c r="A373" s="2"/>
      <c r="B373" s="2"/>
      <c r="C373" s="2"/>
      <c r="D373" s="2"/>
      <c r="E373" s="2"/>
      <c r="F373" s="2"/>
      <c r="G373" s="27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1:70" ht="14.25" customHeight="1" x14ac:dyDescent="0.35">
      <c r="A374" s="2"/>
      <c r="B374" s="2"/>
      <c r="C374" s="2"/>
      <c r="D374" s="2"/>
      <c r="E374" s="2"/>
      <c r="F374" s="2"/>
      <c r="G374" s="27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1:70" ht="14.25" customHeight="1" x14ac:dyDescent="0.35">
      <c r="A375" s="2"/>
      <c r="B375" s="2"/>
      <c r="C375" s="2"/>
      <c r="D375" s="2"/>
      <c r="E375" s="2"/>
      <c r="F375" s="2"/>
      <c r="G375" s="27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1:70" ht="14.25" customHeight="1" x14ac:dyDescent="0.35">
      <c r="A376" s="2"/>
      <c r="B376" s="2"/>
      <c r="C376" s="2"/>
      <c r="D376" s="2"/>
      <c r="E376" s="2"/>
      <c r="F376" s="2"/>
      <c r="G376" s="27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1:70" ht="14.25" customHeight="1" x14ac:dyDescent="0.35">
      <c r="A377" s="2"/>
      <c r="B377" s="2"/>
      <c r="C377" s="2"/>
      <c r="D377" s="2"/>
      <c r="E377" s="2"/>
      <c r="F377" s="2"/>
      <c r="G377" s="27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1:70" ht="14.25" customHeight="1" x14ac:dyDescent="0.35">
      <c r="A378" s="2"/>
      <c r="B378" s="2"/>
      <c r="C378" s="2"/>
      <c r="D378" s="2"/>
      <c r="E378" s="2"/>
      <c r="F378" s="2"/>
      <c r="G378" s="27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1:70" ht="14.25" customHeight="1" x14ac:dyDescent="0.35">
      <c r="A379" s="2"/>
      <c r="B379" s="2"/>
      <c r="C379" s="2"/>
      <c r="D379" s="2"/>
      <c r="E379" s="2"/>
      <c r="F379" s="2"/>
      <c r="G379" s="27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1:70" ht="14.25" customHeight="1" x14ac:dyDescent="0.35">
      <c r="A380" s="2"/>
      <c r="B380" s="2"/>
      <c r="C380" s="2"/>
      <c r="D380" s="2"/>
      <c r="E380" s="2"/>
      <c r="F380" s="2"/>
      <c r="G380" s="27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1:70" ht="14.25" customHeight="1" x14ac:dyDescent="0.35">
      <c r="A381" s="2"/>
      <c r="B381" s="2"/>
      <c r="C381" s="2"/>
      <c r="D381" s="2"/>
      <c r="E381" s="2"/>
      <c r="F381" s="2"/>
      <c r="G381" s="27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1:70" ht="14.25" customHeight="1" x14ac:dyDescent="0.35">
      <c r="A382" s="2"/>
      <c r="B382" s="2"/>
      <c r="C382" s="2"/>
      <c r="D382" s="2"/>
      <c r="E382" s="2"/>
      <c r="F382" s="2"/>
      <c r="G382" s="27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1:70" ht="14.25" customHeight="1" x14ac:dyDescent="0.35">
      <c r="A383" s="2"/>
      <c r="B383" s="2"/>
      <c r="C383" s="2"/>
      <c r="D383" s="2"/>
      <c r="E383" s="2"/>
      <c r="F383" s="2"/>
      <c r="G383" s="27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1:70" ht="14.25" customHeight="1" x14ac:dyDescent="0.35">
      <c r="A384" s="2"/>
      <c r="B384" s="2"/>
      <c r="C384" s="2"/>
      <c r="D384" s="2"/>
      <c r="E384" s="2"/>
      <c r="F384" s="2"/>
      <c r="G384" s="27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1:70" ht="14.25" customHeight="1" x14ac:dyDescent="0.35">
      <c r="A385" s="2"/>
      <c r="B385" s="2"/>
      <c r="C385" s="2"/>
      <c r="D385" s="2"/>
      <c r="E385" s="2"/>
      <c r="F385" s="2"/>
      <c r="G385" s="27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1:70" ht="14.25" customHeight="1" x14ac:dyDescent="0.35">
      <c r="A386" s="2"/>
      <c r="B386" s="2"/>
      <c r="C386" s="2"/>
      <c r="D386" s="2"/>
      <c r="E386" s="2"/>
      <c r="F386" s="2"/>
      <c r="G386" s="27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1:70" ht="14.25" customHeight="1" x14ac:dyDescent="0.35">
      <c r="A387" s="2"/>
      <c r="B387" s="2"/>
      <c r="C387" s="2"/>
      <c r="D387" s="2"/>
      <c r="E387" s="2"/>
      <c r="F387" s="2"/>
      <c r="G387" s="27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1:70" ht="14.25" customHeight="1" x14ac:dyDescent="0.35">
      <c r="A388" s="2"/>
      <c r="B388" s="2"/>
      <c r="C388" s="2"/>
      <c r="D388" s="2"/>
      <c r="E388" s="2"/>
      <c r="F388" s="2"/>
      <c r="G388" s="27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1:70" ht="14.25" customHeight="1" x14ac:dyDescent="0.35">
      <c r="A389" s="2"/>
      <c r="B389" s="2"/>
      <c r="C389" s="2"/>
      <c r="D389" s="2"/>
      <c r="E389" s="2"/>
      <c r="F389" s="2"/>
      <c r="G389" s="27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1:70" ht="14.25" customHeight="1" x14ac:dyDescent="0.35">
      <c r="A390" s="2"/>
      <c r="B390" s="2"/>
      <c r="C390" s="2"/>
      <c r="D390" s="2"/>
      <c r="E390" s="2"/>
      <c r="F390" s="2"/>
      <c r="G390" s="27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1:70" ht="14.25" customHeight="1" x14ac:dyDescent="0.35">
      <c r="A391" s="2"/>
      <c r="B391" s="2"/>
      <c r="C391" s="2"/>
      <c r="D391" s="2"/>
      <c r="E391" s="2"/>
      <c r="F391" s="2"/>
      <c r="G391" s="27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1:70" ht="14.25" customHeight="1" x14ac:dyDescent="0.35">
      <c r="A392" s="2"/>
      <c r="B392" s="2"/>
      <c r="C392" s="2"/>
      <c r="D392" s="2"/>
      <c r="E392" s="2"/>
      <c r="F392" s="2"/>
      <c r="G392" s="27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1:70" ht="14.25" customHeight="1" x14ac:dyDescent="0.35">
      <c r="A393" s="2"/>
      <c r="B393" s="2"/>
      <c r="C393" s="2"/>
      <c r="D393" s="2"/>
      <c r="E393" s="2"/>
      <c r="F393" s="2"/>
      <c r="G393" s="27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1:70" ht="14.25" customHeight="1" x14ac:dyDescent="0.35">
      <c r="A394" s="2"/>
      <c r="B394" s="2"/>
      <c r="C394" s="2"/>
      <c r="D394" s="2"/>
      <c r="E394" s="2"/>
      <c r="F394" s="2"/>
      <c r="G394" s="27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1:70" ht="14.25" customHeight="1" x14ac:dyDescent="0.35">
      <c r="A395" s="2"/>
      <c r="B395" s="2"/>
      <c r="C395" s="2"/>
      <c r="D395" s="2"/>
      <c r="E395" s="2"/>
      <c r="F395" s="2"/>
      <c r="G395" s="27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1:70" ht="14.25" customHeight="1" x14ac:dyDescent="0.35">
      <c r="A396" s="2"/>
      <c r="B396" s="2"/>
      <c r="C396" s="2"/>
      <c r="D396" s="2"/>
      <c r="E396" s="2"/>
      <c r="F396" s="2"/>
      <c r="G396" s="27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1:70" ht="14.25" customHeight="1" x14ac:dyDescent="0.35">
      <c r="A397" s="2"/>
      <c r="B397" s="2"/>
      <c r="C397" s="2"/>
      <c r="D397" s="2"/>
      <c r="E397" s="2"/>
      <c r="F397" s="2"/>
      <c r="G397" s="27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1:70" ht="14.25" customHeight="1" x14ac:dyDescent="0.35">
      <c r="A398" s="2"/>
      <c r="B398" s="2"/>
      <c r="C398" s="2"/>
      <c r="D398" s="2"/>
      <c r="E398" s="2"/>
      <c r="F398" s="2"/>
      <c r="G398" s="27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1:70" ht="14.25" customHeight="1" x14ac:dyDescent="0.35">
      <c r="A399" s="2"/>
      <c r="B399" s="2"/>
      <c r="C399" s="2"/>
      <c r="D399" s="2"/>
      <c r="E399" s="2"/>
      <c r="F399" s="2"/>
      <c r="G399" s="27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1:70" ht="14.25" customHeight="1" x14ac:dyDescent="0.35">
      <c r="A400" s="2"/>
      <c r="B400" s="2"/>
      <c r="C400" s="2"/>
      <c r="D400" s="2"/>
      <c r="E400" s="2"/>
      <c r="F400" s="2"/>
      <c r="G400" s="27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1:70" ht="14.25" customHeight="1" x14ac:dyDescent="0.35">
      <c r="A401" s="2"/>
      <c r="B401" s="2"/>
      <c r="C401" s="2"/>
      <c r="D401" s="2"/>
      <c r="E401" s="2"/>
      <c r="F401" s="2"/>
      <c r="G401" s="27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1:70" ht="14.25" customHeight="1" x14ac:dyDescent="0.35">
      <c r="A402" s="2"/>
      <c r="B402" s="2"/>
      <c r="C402" s="2"/>
      <c r="D402" s="2"/>
      <c r="E402" s="2"/>
      <c r="F402" s="2"/>
      <c r="G402" s="27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1:70" ht="14.25" customHeight="1" x14ac:dyDescent="0.35">
      <c r="A403" s="2"/>
      <c r="B403" s="2"/>
      <c r="C403" s="2"/>
      <c r="D403" s="2"/>
      <c r="E403" s="2"/>
      <c r="F403" s="2"/>
      <c r="G403" s="27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1:70" ht="14.25" customHeight="1" x14ac:dyDescent="0.35">
      <c r="A404" s="2"/>
      <c r="B404" s="2"/>
      <c r="C404" s="2"/>
      <c r="D404" s="2"/>
      <c r="E404" s="2"/>
      <c r="F404" s="2"/>
      <c r="G404" s="27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1:70" ht="14.25" customHeight="1" x14ac:dyDescent="0.35">
      <c r="A405" s="2"/>
      <c r="B405" s="2"/>
      <c r="C405" s="2"/>
      <c r="D405" s="2"/>
      <c r="E405" s="2"/>
      <c r="F405" s="2"/>
      <c r="G405" s="27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1:70" ht="14.25" customHeight="1" x14ac:dyDescent="0.35">
      <c r="A406" s="2"/>
      <c r="B406" s="2"/>
      <c r="C406" s="2"/>
      <c r="D406" s="2"/>
      <c r="E406" s="2"/>
      <c r="F406" s="2"/>
      <c r="G406" s="27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1:70" ht="14.25" customHeight="1" x14ac:dyDescent="0.35">
      <c r="A407" s="2"/>
      <c r="B407" s="2"/>
      <c r="C407" s="2"/>
      <c r="D407" s="2"/>
      <c r="E407" s="2"/>
      <c r="F407" s="2"/>
      <c r="G407" s="27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1:70" ht="14.25" customHeight="1" x14ac:dyDescent="0.35">
      <c r="A408" s="2"/>
      <c r="B408" s="2"/>
      <c r="C408" s="2"/>
      <c r="D408" s="2"/>
      <c r="E408" s="2"/>
      <c r="F408" s="2"/>
      <c r="G408" s="27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1:70" ht="14.25" customHeight="1" x14ac:dyDescent="0.35">
      <c r="A409" s="2"/>
      <c r="B409" s="2"/>
      <c r="C409" s="2"/>
      <c r="D409" s="2"/>
      <c r="E409" s="2"/>
      <c r="F409" s="2"/>
      <c r="G409" s="27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1:70" ht="14.25" customHeight="1" x14ac:dyDescent="0.35">
      <c r="A410" s="2"/>
      <c r="B410" s="2"/>
      <c r="C410" s="2"/>
      <c r="D410" s="2"/>
      <c r="E410" s="2"/>
      <c r="F410" s="2"/>
      <c r="G410" s="27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1:70" ht="14.25" customHeight="1" x14ac:dyDescent="0.35">
      <c r="A411" s="2"/>
      <c r="B411" s="2"/>
      <c r="C411" s="2"/>
      <c r="D411" s="2"/>
      <c r="E411" s="2"/>
      <c r="F411" s="2"/>
      <c r="G411" s="27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1:70" ht="14.25" customHeight="1" x14ac:dyDescent="0.35">
      <c r="A412" s="2"/>
      <c r="B412" s="2"/>
      <c r="C412" s="2"/>
      <c r="D412" s="2"/>
      <c r="E412" s="2"/>
      <c r="F412" s="2"/>
      <c r="G412" s="27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1:70" ht="14.25" customHeight="1" x14ac:dyDescent="0.35">
      <c r="A413" s="2"/>
      <c r="B413" s="2"/>
      <c r="C413" s="2"/>
      <c r="D413" s="2"/>
      <c r="E413" s="2"/>
      <c r="F413" s="2"/>
      <c r="G413" s="27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1:70" ht="14.25" customHeight="1" x14ac:dyDescent="0.35">
      <c r="A414" s="2"/>
      <c r="B414" s="2"/>
      <c r="C414" s="2"/>
      <c r="D414" s="2"/>
      <c r="E414" s="2"/>
      <c r="F414" s="2"/>
      <c r="G414" s="27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1:70" ht="14.25" customHeight="1" x14ac:dyDescent="0.35">
      <c r="A415" s="2"/>
      <c r="B415" s="2"/>
      <c r="C415" s="2"/>
      <c r="D415" s="2"/>
      <c r="E415" s="2"/>
      <c r="F415" s="2"/>
      <c r="G415" s="27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1:70" ht="14.25" customHeight="1" x14ac:dyDescent="0.35">
      <c r="A416" s="2"/>
      <c r="B416" s="2"/>
      <c r="C416" s="2"/>
      <c r="D416" s="2"/>
      <c r="E416" s="2"/>
      <c r="F416" s="2"/>
      <c r="G416" s="27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1:70" ht="14.25" customHeight="1" x14ac:dyDescent="0.35">
      <c r="A417" s="2"/>
      <c r="B417" s="2"/>
      <c r="C417" s="2"/>
      <c r="D417" s="2"/>
      <c r="E417" s="2"/>
      <c r="F417" s="2"/>
      <c r="G417" s="27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1:70" ht="14.25" customHeight="1" x14ac:dyDescent="0.35">
      <c r="A418" s="2"/>
      <c r="B418" s="2"/>
      <c r="C418" s="2"/>
      <c r="D418" s="2"/>
      <c r="E418" s="2"/>
      <c r="F418" s="2"/>
      <c r="G418" s="27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1:70" ht="14.25" customHeight="1" x14ac:dyDescent="0.35">
      <c r="A419" s="2"/>
      <c r="B419" s="2"/>
      <c r="C419" s="2"/>
      <c r="D419" s="2"/>
      <c r="E419" s="2"/>
      <c r="F419" s="2"/>
      <c r="G419" s="27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1:70" ht="14.25" customHeight="1" x14ac:dyDescent="0.35">
      <c r="A420" s="2"/>
      <c r="B420" s="2"/>
      <c r="C420" s="2"/>
      <c r="D420" s="2"/>
      <c r="E420" s="2"/>
      <c r="F420" s="2"/>
      <c r="G420" s="27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1:70" ht="14.25" customHeight="1" x14ac:dyDescent="0.35">
      <c r="A421" s="2"/>
      <c r="B421" s="2"/>
      <c r="C421" s="2"/>
      <c r="D421" s="2"/>
      <c r="E421" s="2"/>
      <c r="F421" s="2"/>
      <c r="G421" s="27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1:70" ht="14.25" customHeight="1" x14ac:dyDescent="0.35">
      <c r="A422" s="2"/>
      <c r="B422" s="2"/>
      <c r="C422" s="2"/>
      <c r="D422" s="2"/>
      <c r="E422" s="2"/>
      <c r="F422" s="2"/>
      <c r="G422" s="27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1:70" ht="14.25" customHeight="1" x14ac:dyDescent="0.35">
      <c r="A423" s="2"/>
      <c r="B423" s="2"/>
      <c r="C423" s="2"/>
      <c r="D423" s="2"/>
      <c r="E423" s="2"/>
      <c r="F423" s="2"/>
      <c r="G423" s="27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1:70" ht="14.25" customHeight="1" x14ac:dyDescent="0.35">
      <c r="A424" s="2"/>
      <c r="B424" s="2"/>
      <c r="C424" s="2"/>
      <c r="D424" s="2"/>
      <c r="E424" s="2"/>
      <c r="F424" s="2"/>
      <c r="G424" s="27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1:70" ht="14.25" customHeight="1" x14ac:dyDescent="0.35">
      <c r="A425" s="2"/>
      <c r="B425" s="2"/>
      <c r="C425" s="2"/>
      <c r="D425" s="2"/>
      <c r="E425" s="2"/>
      <c r="F425" s="2"/>
      <c r="G425" s="27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1:70" ht="14.25" customHeight="1" x14ac:dyDescent="0.35">
      <c r="A426" s="2"/>
      <c r="B426" s="2"/>
      <c r="C426" s="2"/>
      <c r="D426" s="2"/>
      <c r="E426" s="2"/>
      <c r="F426" s="2"/>
      <c r="G426" s="27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1:70" ht="14.25" customHeight="1" x14ac:dyDescent="0.35">
      <c r="A427" s="2"/>
      <c r="B427" s="2"/>
      <c r="C427" s="2"/>
      <c r="D427" s="2"/>
      <c r="E427" s="2"/>
      <c r="F427" s="2"/>
      <c r="G427" s="27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1:70" ht="14.25" customHeight="1" x14ac:dyDescent="0.35">
      <c r="A428" s="2"/>
      <c r="B428" s="2"/>
      <c r="C428" s="2"/>
      <c r="D428" s="2"/>
      <c r="E428" s="2"/>
      <c r="F428" s="2"/>
      <c r="G428" s="27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1:70" ht="14.25" customHeight="1" x14ac:dyDescent="0.35">
      <c r="A429" s="2"/>
      <c r="B429" s="2"/>
      <c r="C429" s="2"/>
      <c r="D429" s="2"/>
      <c r="E429" s="2"/>
      <c r="F429" s="2"/>
      <c r="G429" s="27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  <row r="430" spans="1:70" ht="14.25" customHeight="1" x14ac:dyDescent="0.35">
      <c r="A430" s="2"/>
      <c r="B430" s="2"/>
      <c r="C430" s="2"/>
      <c r="D430" s="2"/>
      <c r="E430" s="2"/>
      <c r="F430" s="2"/>
      <c r="G430" s="27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</row>
    <row r="431" spans="1:70" ht="14.25" customHeight="1" x14ac:dyDescent="0.35">
      <c r="A431" s="2"/>
      <c r="B431" s="2"/>
      <c r="C431" s="2"/>
      <c r="D431" s="2"/>
      <c r="E431" s="2"/>
      <c r="F431" s="2"/>
      <c r="G431" s="27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</row>
    <row r="432" spans="1:70" ht="14.25" customHeight="1" x14ac:dyDescent="0.35">
      <c r="A432" s="2"/>
      <c r="B432" s="2"/>
      <c r="C432" s="2"/>
      <c r="D432" s="2"/>
      <c r="E432" s="2"/>
      <c r="F432" s="2"/>
      <c r="G432" s="27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</row>
    <row r="433" spans="1:70" ht="14.25" customHeight="1" x14ac:dyDescent="0.35">
      <c r="A433" s="2"/>
      <c r="B433" s="2"/>
      <c r="C433" s="2"/>
      <c r="D433" s="2"/>
      <c r="E433" s="2"/>
      <c r="F433" s="2"/>
      <c r="G433" s="27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</row>
    <row r="434" spans="1:70" ht="14.25" customHeight="1" x14ac:dyDescent="0.35">
      <c r="A434" s="2"/>
      <c r="B434" s="2"/>
      <c r="C434" s="2"/>
      <c r="D434" s="2"/>
      <c r="E434" s="2"/>
      <c r="F434" s="2"/>
      <c r="G434" s="27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</row>
    <row r="435" spans="1:70" ht="14.25" customHeight="1" x14ac:dyDescent="0.35">
      <c r="A435" s="2"/>
      <c r="B435" s="2"/>
      <c r="C435" s="2"/>
      <c r="D435" s="2"/>
      <c r="E435" s="2"/>
      <c r="F435" s="2"/>
      <c r="G435" s="27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</row>
    <row r="436" spans="1:70" ht="14.25" customHeight="1" x14ac:dyDescent="0.35">
      <c r="A436" s="2"/>
      <c r="B436" s="2"/>
      <c r="C436" s="2"/>
      <c r="D436" s="2"/>
      <c r="E436" s="2"/>
      <c r="F436" s="2"/>
      <c r="G436" s="27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</row>
    <row r="437" spans="1:70" ht="14.25" customHeight="1" x14ac:dyDescent="0.35">
      <c r="A437" s="2"/>
      <c r="B437" s="2"/>
      <c r="C437" s="2"/>
      <c r="D437" s="2"/>
      <c r="E437" s="2"/>
      <c r="F437" s="2"/>
      <c r="G437" s="27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</row>
    <row r="438" spans="1:70" ht="14.25" customHeight="1" x14ac:dyDescent="0.35">
      <c r="A438" s="2"/>
      <c r="B438" s="2"/>
      <c r="C438" s="2"/>
      <c r="D438" s="2"/>
      <c r="E438" s="2"/>
      <c r="F438" s="2"/>
      <c r="G438" s="27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</row>
    <row r="439" spans="1:70" ht="14.25" customHeight="1" x14ac:dyDescent="0.35">
      <c r="A439" s="2"/>
      <c r="B439" s="2"/>
      <c r="C439" s="2"/>
      <c r="D439" s="2"/>
      <c r="E439" s="2"/>
      <c r="F439" s="2"/>
      <c r="G439" s="27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</row>
    <row r="440" spans="1:70" ht="14.25" customHeight="1" x14ac:dyDescent="0.35">
      <c r="A440" s="2"/>
      <c r="B440" s="2"/>
      <c r="C440" s="2"/>
      <c r="D440" s="2"/>
      <c r="E440" s="2"/>
      <c r="F440" s="2"/>
      <c r="G440" s="27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</row>
    <row r="441" spans="1:70" ht="14.25" customHeight="1" x14ac:dyDescent="0.35">
      <c r="A441" s="2"/>
      <c r="B441" s="2"/>
      <c r="C441" s="2"/>
      <c r="D441" s="2"/>
      <c r="E441" s="2"/>
      <c r="F441" s="2"/>
      <c r="G441" s="27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</row>
    <row r="442" spans="1:70" ht="14.25" customHeight="1" x14ac:dyDescent="0.35">
      <c r="A442" s="2"/>
      <c r="B442" s="2"/>
      <c r="C442" s="2"/>
      <c r="D442" s="2"/>
      <c r="E442" s="2"/>
      <c r="F442" s="2"/>
      <c r="G442" s="27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</row>
    <row r="443" spans="1:70" ht="14.25" customHeight="1" x14ac:dyDescent="0.35">
      <c r="A443" s="2"/>
      <c r="B443" s="2"/>
      <c r="C443" s="2"/>
      <c r="D443" s="2"/>
      <c r="E443" s="2"/>
      <c r="F443" s="2"/>
      <c r="G443" s="27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</row>
    <row r="444" spans="1:70" ht="14.25" customHeight="1" x14ac:dyDescent="0.35">
      <c r="A444" s="2"/>
      <c r="B444" s="2"/>
      <c r="C444" s="2"/>
      <c r="D444" s="2"/>
      <c r="E444" s="2"/>
      <c r="F444" s="2"/>
      <c r="G444" s="27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</row>
    <row r="445" spans="1:70" ht="14.25" customHeight="1" x14ac:dyDescent="0.35">
      <c r="A445" s="2"/>
      <c r="B445" s="2"/>
      <c r="C445" s="2"/>
      <c r="D445" s="2"/>
      <c r="E445" s="2"/>
      <c r="F445" s="2"/>
      <c r="G445" s="27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</row>
    <row r="446" spans="1:70" ht="14.25" customHeight="1" x14ac:dyDescent="0.35">
      <c r="A446" s="2"/>
      <c r="B446" s="2"/>
      <c r="C446" s="2"/>
      <c r="D446" s="2"/>
      <c r="E446" s="2"/>
      <c r="F446" s="2"/>
      <c r="G446" s="27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</row>
    <row r="447" spans="1:70" ht="14.25" customHeight="1" x14ac:dyDescent="0.35">
      <c r="A447" s="2"/>
      <c r="B447" s="2"/>
      <c r="C447" s="2"/>
      <c r="D447" s="2"/>
      <c r="E447" s="2"/>
      <c r="F447" s="2"/>
      <c r="G447" s="27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</row>
    <row r="448" spans="1:70" ht="14.25" customHeight="1" x14ac:dyDescent="0.35">
      <c r="A448" s="2"/>
      <c r="B448" s="2"/>
      <c r="C448" s="2"/>
      <c r="D448" s="2"/>
      <c r="E448" s="2"/>
      <c r="F448" s="2"/>
      <c r="G448" s="27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</row>
    <row r="449" spans="1:70" ht="14.25" customHeight="1" x14ac:dyDescent="0.35">
      <c r="A449" s="2"/>
      <c r="B449" s="2"/>
      <c r="C449" s="2"/>
      <c r="D449" s="2"/>
      <c r="E449" s="2"/>
      <c r="F449" s="2"/>
      <c r="G449" s="27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</row>
    <row r="450" spans="1:70" ht="14.25" customHeight="1" x14ac:dyDescent="0.35">
      <c r="A450" s="2"/>
      <c r="B450" s="2"/>
      <c r="C450" s="2"/>
      <c r="D450" s="2"/>
      <c r="E450" s="2"/>
      <c r="F450" s="2"/>
      <c r="G450" s="27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</row>
    <row r="451" spans="1:70" ht="14.25" customHeight="1" x14ac:dyDescent="0.35">
      <c r="A451" s="2"/>
      <c r="B451" s="2"/>
      <c r="C451" s="2"/>
      <c r="D451" s="2"/>
      <c r="E451" s="2"/>
      <c r="F451" s="2"/>
      <c r="G451" s="27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</row>
    <row r="452" spans="1:70" ht="14.25" customHeight="1" x14ac:dyDescent="0.35">
      <c r="A452" s="2"/>
      <c r="B452" s="2"/>
      <c r="C452" s="2"/>
      <c r="D452" s="2"/>
      <c r="E452" s="2"/>
      <c r="F452" s="2"/>
      <c r="G452" s="27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</row>
    <row r="453" spans="1:70" ht="14.25" customHeight="1" x14ac:dyDescent="0.35">
      <c r="A453" s="2"/>
      <c r="B453" s="2"/>
      <c r="C453" s="2"/>
      <c r="D453" s="2"/>
      <c r="E453" s="2"/>
      <c r="F453" s="2"/>
      <c r="G453" s="27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</row>
    <row r="454" spans="1:70" ht="14.25" customHeight="1" x14ac:dyDescent="0.35">
      <c r="A454" s="2"/>
      <c r="B454" s="2"/>
      <c r="C454" s="2"/>
      <c r="D454" s="2"/>
      <c r="E454" s="2"/>
      <c r="F454" s="2"/>
      <c r="G454" s="27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</row>
    <row r="455" spans="1:70" ht="14.25" customHeight="1" x14ac:dyDescent="0.35">
      <c r="A455" s="2"/>
      <c r="B455" s="2"/>
      <c r="C455" s="2"/>
      <c r="D455" s="2"/>
      <c r="E455" s="2"/>
      <c r="F455" s="2"/>
      <c r="G455" s="27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</row>
    <row r="456" spans="1:70" ht="14.25" customHeight="1" x14ac:dyDescent="0.35">
      <c r="A456" s="2"/>
      <c r="B456" s="2"/>
      <c r="C456" s="2"/>
      <c r="D456" s="2"/>
      <c r="E456" s="2"/>
      <c r="F456" s="2"/>
      <c r="G456" s="27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</row>
    <row r="457" spans="1:70" ht="14.25" customHeight="1" x14ac:dyDescent="0.35">
      <c r="A457" s="2"/>
      <c r="B457" s="2"/>
      <c r="C457" s="2"/>
      <c r="D457" s="2"/>
      <c r="E457" s="2"/>
      <c r="F457" s="2"/>
      <c r="G457" s="27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</row>
    <row r="458" spans="1:70" ht="14.25" customHeight="1" x14ac:dyDescent="0.35">
      <c r="A458" s="2"/>
      <c r="B458" s="2"/>
      <c r="C458" s="2"/>
      <c r="D458" s="2"/>
      <c r="E458" s="2"/>
      <c r="F458" s="2"/>
      <c r="G458" s="27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</row>
    <row r="459" spans="1:70" ht="14.25" customHeight="1" x14ac:dyDescent="0.35">
      <c r="A459" s="2"/>
      <c r="B459" s="2"/>
      <c r="C459" s="2"/>
      <c r="D459" s="2"/>
      <c r="E459" s="2"/>
      <c r="F459" s="2"/>
      <c r="G459" s="27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</row>
    <row r="460" spans="1:70" ht="14.25" customHeight="1" x14ac:dyDescent="0.35">
      <c r="A460" s="2"/>
      <c r="B460" s="2"/>
      <c r="C460" s="2"/>
      <c r="D460" s="2"/>
      <c r="E460" s="2"/>
      <c r="F460" s="2"/>
      <c r="G460" s="27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</row>
    <row r="461" spans="1:70" ht="14.25" customHeight="1" x14ac:dyDescent="0.35">
      <c r="A461" s="2"/>
      <c r="B461" s="2"/>
      <c r="C461" s="2"/>
      <c r="D461" s="2"/>
      <c r="E461" s="2"/>
      <c r="F461" s="2"/>
      <c r="G461" s="27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</row>
    <row r="462" spans="1:70" ht="14.25" customHeight="1" x14ac:dyDescent="0.35">
      <c r="A462" s="2"/>
      <c r="B462" s="2"/>
      <c r="C462" s="2"/>
      <c r="D462" s="2"/>
      <c r="E462" s="2"/>
      <c r="F462" s="2"/>
      <c r="G462" s="27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</row>
    <row r="463" spans="1:70" ht="14.25" customHeight="1" x14ac:dyDescent="0.35">
      <c r="A463" s="2"/>
      <c r="B463" s="2"/>
      <c r="C463" s="2"/>
      <c r="D463" s="2"/>
      <c r="E463" s="2"/>
      <c r="F463" s="2"/>
      <c r="G463" s="27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</row>
    <row r="464" spans="1:70" ht="14.25" customHeight="1" x14ac:dyDescent="0.35">
      <c r="A464" s="2"/>
      <c r="B464" s="2"/>
      <c r="C464" s="2"/>
      <c r="D464" s="2"/>
      <c r="E464" s="2"/>
      <c r="F464" s="2"/>
      <c r="G464" s="27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</row>
    <row r="465" spans="1:70" ht="14.25" customHeight="1" x14ac:dyDescent="0.35">
      <c r="A465" s="2"/>
      <c r="B465" s="2"/>
      <c r="C465" s="2"/>
      <c r="D465" s="2"/>
      <c r="E465" s="2"/>
      <c r="F465" s="2"/>
      <c r="G465" s="27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</row>
    <row r="466" spans="1:70" ht="14.25" customHeight="1" x14ac:dyDescent="0.35">
      <c r="A466" s="2"/>
      <c r="B466" s="2"/>
      <c r="C466" s="2"/>
      <c r="D466" s="2"/>
      <c r="E466" s="2"/>
      <c r="F466" s="2"/>
      <c r="G466" s="27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</row>
    <row r="467" spans="1:70" ht="14.25" customHeight="1" x14ac:dyDescent="0.35">
      <c r="A467" s="2"/>
      <c r="B467" s="2"/>
      <c r="C467" s="2"/>
      <c r="D467" s="2"/>
      <c r="E467" s="2"/>
      <c r="F467" s="2"/>
      <c r="G467" s="27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</row>
    <row r="468" spans="1:70" ht="14.25" customHeight="1" x14ac:dyDescent="0.35">
      <c r="A468" s="2"/>
      <c r="B468" s="2"/>
      <c r="C468" s="2"/>
      <c r="D468" s="2"/>
      <c r="E468" s="2"/>
      <c r="F468" s="2"/>
      <c r="G468" s="27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</row>
    <row r="469" spans="1:70" ht="14.25" customHeight="1" x14ac:dyDescent="0.35">
      <c r="A469" s="2"/>
      <c r="B469" s="2"/>
      <c r="C469" s="2"/>
      <c r="D469" s="2"/>
      <c r="E469" s="2"/>
      <c r="F469" s="2"/>
      <c r="G469" s="27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</row>
    <row r="470" spans="1:70" ht="14.25" customHeight="1" x14ac:dyDescent="0.35">
      <c r="A470" s="2"/>
      <c r="B470" s="2"/>
      <c r="C470" s="2"/>
      <c r="D470" s="2"/>
      <c r="E470" s="2"/>
      <c r="F470" s="2"/>
      <c r="G470" s="27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</row>
    <row r="471" spans="1:70" ht="14.25" customHeight="1" x14ac:dyDescent="0.35">
      <c r="A471" s="2"/>
      <c r="B471" s="2"/>
      <c r="C471" s="2"/>
      <c r="D471" s="2"/>
      <c r="E471" s="2"/>
      <c r="F471" s="2"/>
      <c r="G471" s="27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</row>
    <row r="472" spans="1:70" ht="14.25" customHeight="1" x14ac:dyDescent="0.35">
      <c r="A472" s="2"/>
      <c r="B472" s="2"/>
      <c r="C472" s="2"/>
      <c r="D472" s="2"/>
      <c r="E472" s="2"/>
      <c r="F472" s="2"/>
      <c r="G472" s="27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</row>
    <row r="473" spans="1:70" ht="14.25" customHeight="1" x14ac:dyDescent="0.35">
      <c r="A473" s="2"/>
      <c r="B473" s="2"/>
      <c r="C473" s="2"/>
      <c r="D473" s="2"/>
      <c r="E473" s="2"/>
      <c r="F473" s="2"/>
      <c r="G473" s="27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</row>
    <row r="474" spans="1:70" ht="14.25" customHeight="1" x14ac:dyDescent="0.35">
      <c r="A474" s="2"/>
      <c r="B474" s="2"/>
      <c r="C474" s="2"/>
      <c r="D474" s="2"/>
      <c r="E474" s="2"/>
      <c r="F474" s="2"/>
      <c r="G474" s="27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</row>
    <row r="475" spans="1:70" ht="14.25" customHeight="1" x14ac:dyDescent="0.35">
      <c r="A475" s="2"/>
      <c r="B475" s="2"/>
      <c r="C475" s="2"/>
      <c r="D475" s="2"/>
      <c r="E475" s="2"/>
      <c r="F475" s="2"/>
      <c r="G475" s="27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</row>
    <row r="476" spans="1:70" ht="14.25" customHeight="1" x14ac:dyDescent="0.35">
      <c r="A476" s="2"/>
      <c r="B476" s="2"/>
      <c r="C476" s="2"/>
      <c r="D476" s="2"/>
      <c r="E476" s="2"/>
      <c r="F476" s="2"/>
      <c r="G476" s="27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</row>
    <row r="477" spans="1:70" ht="14.25" customHeight="1" x14ac:dyDescent="0.35">
      <c r="A477" s="2"/>
      <c r="B477" s="2"/>
      <c r="C477" s="2"/>
      <c r="D477" s="2"/>
      <c r="E477" s="2"/>
      <c r="F477" s="2"/>
      <c r="G477" s="27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</row>
    <row r="478" spans="1:70" ht="14.25" customHeight="1" x14ac:dyDescent="0.35">
      <c r="A478" s="2"/>
      <c r="B478" s="2"/>
      <c r="C478" s="2"/>
      <c r="D478" s="2"/>
      <c r="E478" s="2"/>
      <c r="F478" s="2"/>
      <c r="G478" s="27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</row>
    <row r="479" spans="1:70" ht="14.25" customHeight="1" x14ac:dyDescent="0.35">
      <c r="A479" s="2"/>
      <c r="B479" s="2"/>
      <c r="C479" s="2"/>
      <c r="D479" s="2"/>
      <c r="E479" s="2"/>
      <c r="F479" s="2"/>
      <c r="G479" s="27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</row>
    <row r="480" spans="1:70" ht="14.25" customHeight="1" x14ac:dyDescent="0.35">
      <c r="A480" s="2"/>
      <c r="B480" s="2"/>
      <c r="C480" s="2"/>
      <c r="D480" s="2"/>
      <c r="E480" s="2"/>
      <c r="F480" s="2"/>
      <c r="G480" s="27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</row>
    <row r="481" spans="1:70" ht="14.25" customHeight="1" x14ac:dyDescent="0.35">
      <c r="A481" s="2"/>
      <c r="B481" s="2"/>
      <c r="C481" s="2"/>
      <c r="D481" s="2"/>
      <c r="E481" s="2"/>
      <c r="F481" s="2"/>
      <c r="G481" s="27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</row>
    <row r="482" spans="1:70" ht="14.25" customHeight="1" x14ac:dyDescent="0.35">
      <c r="A482" s="2"/>
      <c r="B482" s="2"/>
      <c r="C482" s="2"/>
      <c r="D482" s="2"/>
      <c r="E482" s="2"/>
      <c r="F482" s="2"/>
      <c r="G482" s="27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</row>
    <row r="483" spans="1:70" ht="14.25" customHeight="1" x14ac:dyDescent="0.35">
      <c r="A483" s="2"/>
      <c r="B483" s="2"/>
      <c r="C483" s="2"/>
      <c r="D483" s="2"/>
      <c r="E483" s="2"/>
      <c r="F483" s="2"/>
      <c r="G483" s="27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</row>
    <row r="484" spans="1:70" ht="14.25" customHeight="1" x14ac:dyDescent="0.35">
      <c r="A484" s="2"/>
      <c r="B484" s="2"/>
      <c r="C484" s="2"/>
      <c r="D484" s="2"/>
      <c r="E484" s="2"/>
      <c r="F484" s="2"/>
      <c r="G484" s="27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</row>
    <row r="485" spans="1:70" ht="14.25" customHeight="1" x14ac:dyDescent="0.35">
      <c r="A485" s="2"/>
      <c r="B485" s="2"/>
      <c r="C485" s="2"/>
      <c r="D485" s="2"/>
      <c r="E485" s="2"/>
      <c r="F485" s="2"/>
      <c r="G485" s="27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</row>
    <row r="486" spans="1:70" ht="14.25" customHeight="1" x14ac:dyDescent="0.35">
      <c r="A486" s="2"/>
      <c r="B486" s="2"/>
      <c r="C486" s="2"/>
      <c r="D486" s="2"/>
      <c r="E486" s="2"/>
      <c r="F486" s="2"/>
      <c r="G486" s="27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</row>
    <row r="487" spans="1:70" ht="14.25" customHeight="1" x14ac:dyDescent="0.35">
      <c r="A487" s="2"/>
      <c r="B487" s="2"/>
      <c r="C487" s="2"/>
      <c r="D487" s="2"/>
      <c r="E487" s="2"/>
      <c r="F487" s="2"/>
      <c r="G487" s="27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</row>
    <row r="488" spans="1:70" ht="14.25" customHeight="1" x14ac:dyDescent="0.35">
      <c r="A488" s="2"/>
      <c r="B488" s="2"/>
      <c r="C488" s="2"/>
      <c r="D488" s="2"/>
      <c r="E488" s="2"/>
      <c r="F488" s="2"/>
      <c r="G488" s="27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</row>
    <row r="489" spans="1:70" ht="14.25" customHeight="1" x14ac:dyDescent="0.35">
      <c r="A489" s="2"/>
      <c r="B489" s="2"/>
      <c r="C489" s="2"/>
      <c r="D489" s="2"/>
      <c r="E489" s="2"/>
      <c r="F489" s="2"/>
      <c r="G489" s="27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</row>
    <row r="490" spans="1:70" ht="14.25" customHeight="1" x14ac:dyDescent="0.35">
      <c r="A490" s="2"/>
      <c r="B490" s="2"/>
      <c r="C490" s="2"/>
      <c r="D490" s="2"/>
      <c r="E490" s="2"/>
      <c r="F490" s="2"/>
      <c r="G490" s="27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</row>
    <row r="491" spans="1:70" ht="14.25" customHeight="1" x14ac:dyDescent="0.35">
      <c r="A491" s="2"/>
      <c r="B491" s="2"/>
      <c r="C491" s="2"/>
      <c r="D491" s="2"/>
      <c r="E491" s="2"/>
      <c r="F491" s="2"/>
      <c r="G491" s="27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</row>
    <row r="492" spans="1:70" ht="14.25" customHeight="1" x14ac:dyDescent="0.35">
      <c r="A492" s="2"/>
      <c r="B492" s="2"/>
      <c r="C492" s="2"/>
      <c r="D492" s="2"/>
      <c r="E492" s="2"/>
      <c r="F492" s="2"/>
      <c r="G492" s="27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</row>
    <row r="493" spans="1:70" ht="14.25" customHeight="1" x14ac:dyDescent="0.35">
      <c r="A493" s="2"/>
      <c r="B493" s="2"/>
      <c r="C493" s="2"/>
      <c r="D493" s="2"/>
      <c r="E493" s="2"/>
      <c r="F493" s="2"/>
      <c r="G493" s="27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</row>
    <row r="494" spans="1:70" ht="14.25" customHeight="1" x14ac:dyDescent="0.35">
      <c r="A494" s="2"/>
      <c r="B494" s="2"/>
      <c r="C494" s="2"/>
      <c r="D494" s="2"/>
      <c r="E494" s="2"/>
      <c r="F494" s="2"/>
      <c r="G494" s="27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</row>
    <row r="495" spans="1:70" ht="14.25" customHeight="1" x14ac:dyDescent="0.35">
      <c r="A495" s="2"/>
      <c r="B495" s="2"/>
      <c r="C495" s="2"/>
      <c r="D495" s="2"/>
      <c r="E495" s="2"/>
      <c r="F495" s="2"/>
      <c r="G495" s="27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</row>
    <row r="496" spans="1:70" ht="14.25" customHeight="1" x14ac:dyDescent="0.35">
      <c r="A496" s="2"/>
      <c r="B496" s="2"/>
      <c r="C496" s="2"/>
      <c r="D496" s="2"/>
      <c r="E496" s="2"/>
      <c r="F496" s="2"/>
      <c r="G496" s="27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</row>
    <row r="497" spans="1:70" ht="14.25" customHeight="1" x14ac:dyDescent="0.35">
      <c r="A497" s="2"/>
      <c r="B497" s="2"/>
      <c r="C497" s="2"/>
      <c r="D497" s="2"/>
      <c r="E497" s="2"/>
      <c r="F497" s="2"/>
      <c r="G497" s="27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</row>
    <row r="498" spans="1:70" ht="14.25" customHeight="1" x14ac:dyDescent="0.35">
      <c r="A498" s="2"/>
      <c r="B498" s="2"/>
      <c r="C498" s="2"/>
      <c r="D498" s="2"/>
      <c r="E498" s="2"/>
      <c r="F498" s="2"/>
      <c r="G498" s="27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</row>
    <row r="499" spans="1:70" ht="14.25" customHeight="1" x14ac:dyDescent="0.35">
      <c r="A499" s="2"/>
      <c r="B499" s="2"/>
      <c r="C499" s="2"/>
      <c r="D499" s="2"/>
      <c r="E499" s="2"/>
      <c r="F499" s="2"/>
      <c r="G499" s="27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</row>
    <row r="500" spans="1:70" ht="14.25" customHeight="1" x14ac:dyDescent="0.35">
      <c r="A500" s="2"/>
      <c r="B500" s="2"/>
      <c r="C500" s="2"/>
      <c r="D500" s="2"/>
      <c r="E500" s="2"/>
      <c r="F500" s="2"/>
      <c r="G500" s="27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</row>
    <row r="501" spans="1:70" ht="14.25" customHeight="1" x14ac:dyDescent="0.35">
      <c r="A501" s="2"/>
      <c r="B501" s="2"/>
      <c r="C501" s="2"/>
      <c r="D501" s="2"/>
      <c r="E501" s="2"/>
      <c r="F501" s="2"/>
      <c r="G501" s="27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</row>
    <row r="502" spans="1:70" ht="14.25" customHeight="1" x14ac:dyDescent="0.35">
      <c r="A502" s="2"/>
      <c r="B502" s="2"/>
      <c r="C502" s="2"/>
      <c r="D502" s="2"/>
      <c r="E502" s="2"/>
      <c r="F502" s="2"/>
      <c r="G502" s="27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</row>
    <row r="503" spans="1:70" ht="14.25" customHeight="1" x14ac:dyDescent="0.35">
      <c r="A503" s="2"/>
      <c r="B503" s="2"/>
      <c r="C503" s="2"/>
      <c r="D503" s="2"/>
      <c r="E503" s="2"/>
      <c r="F503" s="2"/>
      <c r="G503" s="27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</row>
    <row r="504" spans="1:70" ht="14.25" customHeight="1" x14ac:dyDescent="0.35">
      <c r="A504" s="2"/>
      <c r="B504" s="2"/>
      <c r="C504" s="2"/>
      <c r="D504" s="2"/>
      <c r="E504" s="2"/>
      <c r="F504" s="2"/>
      <c r="G504" s="27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</row>
    <row r="505" spans="1:70" ht="14.25" customHeight="1" x14ac:dyDescent="0.35">
      <c r="A505" s="2"/>
      <c r="B505" s="2"/>
      <c r="C505" s="2"/>
      <c r="D505" s="2"/>
      <c r="E505" s="2"/>
      <c r="F505" s="2"/>
      <c r="G505" s="27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</row>
    <row r="506" spans="1:70" ht="14.25" customHeight="1" x14ac:dyDescent="0.35">
      <c r="A506" s="2"/>
      <c r="B506" s="2"/>
      <c r="C506" s="2"/>
      <c r="D506" s="2"/>
      <c r="E506" s="2"/>
      <c r="F506" s="2"/>
      <c r="G506" s="27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</row>
    <row r="507" spans="1:70" ht="14.25" customHeight="1" x14ac:dyDescent="0.35">
      <c r="A507" s="2"/>
      <c r="B507" s="2"/>
      <c r="C507" s="2"/>
      <c r="D507" s="2"/>
      <c r="E507" s="2"/>
      <c r="F507" s="2"/>
      <c r="G507" s="27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</row>
    <row r="508" spans="1:70" ht="14.25" customHeight="1" x14ac:dyDescent="0.35">
      <c r="A508" s="2"/>
      <c r="B508" s="2"/>
      <c r="C508" s="2"/>
      <c r="D508" s="2"/>
      <c r="E508" s="2"/>
      <c r="F508" s="2"/>
      <c r="G508" s="27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</row>
    <row r="509" spans="1:70" ht="14.25" customHeight="1" x14ac:dyDescent="0.35">
      <c r="A509" s="2"/>
      <c r="B509" s="2"/>
      <c r="C509" s="2"/>
      <c r="D509" s="2"/>
      <c r="E509" s="2"/>
      <c r="F509" s="2"/>
      <c r="G509" s="27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</row>
    <row r="510" spans="1:70" ht="14.25" customHeight="1" x14ac:dyDescent="0.35">
      <c r="A510" s="2"/>
      <c r="B510" s="2"/>
      <c r="C510" s="2"/>
      <c r="D510" s="2"/>
      <c r="E510" s="2"/>
      <c r="F510" s="2"/>
      <c r="G510" s="27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</row>
    <row r="511" spans="1:70" ht="14.25" customHeight="1" x14ac:dyDescent="0.35">
      <c r="A511" s="2"/>
      <c r="B511" s="2"/>
      <c r="C511" s="2"/>
      <c r="D511" s="2"/>
      <c r="E511" s="2"/>
      <c r="F511" s="2"/>
      <c r="G511" s="27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</row>
    <row r="512" spans="1:70" ht="14.25" customHeight="1" x14ac:dyDescent="0.35">
      <c r="A512" s="2"/>
      <c r="B512" s="2"/>
      <c r="C512" s="2"/>
      <c r="D512" s="2"/>
      <c r="E512" s="2"/>
      <c r="F512" s="2"/>
      <c r="G512" s="27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</row>
    <row r="513" spans="1:70" ht="14.25" customHeight="1" x14ac:dyDescent="0.35">
      <c r="A513" s="2"/>
      <c r="B513" s="2"/>
      <c r="C513" s="2"/>
      <c r="D513" s="2"/>
      <c r="E513" s="2"/>
      <c r="F513" s="2"/>
      <c r="G513" s="27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</row>
    <row r="514" spans="1:70" ht="14.25" customHeight="1" x14ac:dyDescent="0.35">
      <c r="A514" s="2"/>
      <c r="B514" s="2"/>
      <c r="C514" s="2"/>
      <c r="D514" s="2"/>
      <c r="E514" s="2"/>
      <c r="F514" s="2"/>
      <c r="G514" s="27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</row>
    <row r="515" spans="1:70" ht="14.25" customHeight="1" x14ac:dyDescent="0.35">
      <c r="A515" s="2"/>
      <c r="B515" s="2"/>
      <c r="C515" s="2"/>
      <c r="D515" s="2"/>
      <c r="E515" s="2"/>
      <c r="F515" s="2"/>
      <c r="G515" s="27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</row>
    <row r="516" spans="1:70" ht="14.25" customHeight="1" x14ac:dyDescent="0.35">
      <c r="A516" s="2"/>
      <c r="B516" s="2"/>
      <c r="C516" s="2"/>
      <c r="D516" s="2"/>
      <c r="E516" s="2"/>
      <c r="F516" s="2"/>
      <c r="G516" s="27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</row>
    <row r="517" spans="1:70" ht="14.25" customHeight="1" x14ac:dyDescent="0.35">
      <c r="A517" s="2"/>
      <c r="B517" s="2"/>
      <c r="C517" s="2"/>
      <c r="D517" s="2"/>
      <c r="E517" s="2"/>
      <c r="F517" s="2"/>
      <c r="G517" s="27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</row>
    <row r="518" spans="1:70" ht="14.25" customHeight="1" x14ac:dyDescent="0.35">
      <c r="A518" s="2"/>
      <c r="B518" s="2"/>
      <c r="C518" s="2"/>
      <c r="D518" s="2"/>
      <c r="E518" s="2"/>
      <c r="F518" s="2"/>
      <c r="G518" s="27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</row>
    <row r="519" spans="1:70" ht="14.25" customHeight="1" x14ac:dyDescent="0.35">
      <c r="A519" s="2"/>
      <c r="B519" s="2"/>
      <c r="C519" s="2"/>
      <c r="D519" s="2"/>
      <c r="E519" s="2"/>
      <c r="F519" s="2"/>
      <c r="G519" s="27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</row>
    <row r="520" spans="1:70" ht="14.25" customHeight="1" x14ac:dyDescent="0.35">
      <c r="A520" s="2"/>
      <c r="B520" s="2"/>
      <c r="C520" s="2"/>
      <c r="D520" s="2"/>
      <c r="E520" s="2"/>
      <c r="F520" s="2"/>
      <c r="G520" s="27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</row>
    <row r="521" spans="1:70" ht="14.25" customHeight="1" x14ac:dyDescent="0.35">
      <c r="A521" s="2"/>
      <c r="B521" s="2"/>
      <c r="C521" s="2"/>
      <c r="D521" s="2"/>
      <c r="E521" s="2"/>
      <c r="F521" s="2"/>
      <c r="G521" s="27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</row>
    <row r="522" spans="1:70" ht="14.25" customHeight="1" x14ac:dyDescent="0.35">
      <c r="A522" s="2"/>
      <c r="B522" s="2"/>
      <c r="C522" s="2"/>
      <c r="D522" s="2"/>
      <c r="E522" s="2"/>
      <c r="F522" s="2"/>
      <c r="G522" s="27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</row>
    <row r="523" spans="1:70" ht="14.25" customHeight="1" x14ac:dyDescent="0.35">
      <c r="A523" s="2"/>
      <c r="B523" s="2"/>
      <c r="C523" s="2"/>
      <c r="D523" s="2"/>
      <c r="E523" s="2"/>
      <c r="F523" s="2"/>
      <c r="G523" s="27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</row>
    <row r="524" spans="1:70" ht="14.25" customHeight="1" x14ac:dyDescent="0.35">
      <c r="A524" s="2"/>
      <c r="B524" s="2"/>
      <c r="C524" s="2"/>
      <c r="D524" s="2"/>
      <c r="E524" s="2"/>
      <c r="F524" s="2"/>
      <c r="G524" s="27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</row>
    <row r="525" spans="1:70" ht="14.25" customHeight="1" x14ac:dyDescent="0.35">
      <c r="A525" s="2"/>
      <c r="B525" s="2"/>
      <c r="C525" s="2"/>
      <c r="D525" s="2"/>
      <c r="E525" s="2"/>
      <c r="F525" s="2"/>
      <c r="G525" s="27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</row>
    <row r="526" spans="1:70" ht="14.25" customHeight="1" x14ac:dyDescent="0.35">
      <c r="A526" s="2"/>
      <c r="B526" s="2"/>
      <c r="C526" s="2"/>
      <c r="D526" s="2"/>
      <c r="E526" s="2"/>
      <c r="F526" s="2"/>
      <c r="G526" s="27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</row>
    <row r="527" spans="1:70" ht="14.25" customHeight="1" x14ac:dyDescent="0.35">
      <c r="A527" s="2"/>
      <c r="B527" s="2"/>
      <c r="C527" s="2"/>
      <c r="D527" s="2"/>
      <c r="E527" s="2"/>
      <c r="F527" s="2"/>
      <c r="G527" s="27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</row>
    <row r="528" spans="1:70" ht="14.25" customHeight="1" x14ac:dyDescent="0.35">
      <c r="A528" s="2"/>
      <c r="B528" s="2"/>
      <c r="C528" s="2"/>
      <c r="D528" s="2"/>
      <c r="E528" s="2"/>
      <c r="F528" s="2"/>
      <c r="G528" s="27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</row>
    <row r="529" spans="1:70" ht="14.25" customHeight="1" x14ac:dyDescent="0.35">
      <c r="A529" s="2"/>
      <c r="B529" s="2"/>
      <c r="C529" s="2"/>
      <c r="D529" s="2"/>
      <c r="E529" s="2"/>
      <c r="F529" s="2"/>
      <c r="G529" s="27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</row>
    <row r="530" spans="1:70" ht="14.25" customHeight="1" x14ac:dyDescent="0.35">
      <c r="A530" s="2"/>
      <c r="B530" s="2"/>
      <c r="C530" s="2"/>
      <c r="D530" s="2"/>
      <c r="E530" s="2"/>
      <c r="F530" s="2"/>
      <c r="G530" s="27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</row>
    <row r="531" spans="1:70" ht="14.25" customHeight="1" x14ac:dyDescent="0.35">
      <c r="A531" s="2"/>
      <c r="B531" s="2"/>
      <c r="C531" s="2"/>
      <c r="D531" s="2"/>
      <c r="E531" s="2"/>
      <c r="F531" s="2"/>
      <c r="G531" s="27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</row>
    <row r="532" spans="1:70" ht="14.25" customHeight="1" x14ac:dyDescent="0.35">
      <c r="A532" s="2"/>
      <c r="B532" s="2"/>
      <c r="C532" s="2"/>
      <c r="D532" s="2"/>
      <c r="E532" s="2"/>
      <c r="F532" s="2"/>
      <c r="G532" s="27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</row>
    <row r="533" spans="1:70" ht="14.25" customHeight="1" x14ac:dyDescent="0.35">
      <c r="A533" s="2"/>
      <c r="B533" s="2"/>
      <c r="C533" s="2"/>
      <c r="D533" s="2"/>
      <c r="E533" s="2"/>
      <c r="F533" s="2"/>
      <c r="G533" s="27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</row>
    <row r="534" spans="1:70" ht="14.25" customHeight="1" x14ac:dyDescent="0.35">
      <c r="A534" s="2"/>
      <c r="B534" s="2"/>
      <c r="C534" s="2"/>
      <c r="D534" s="2"/>
      <c r="E534" s="2"/>
      <c r="F534" s="2"/>
      <c r="G534" s="27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</row>
    <row r="535" spans="1:70" ht="14.25" customHeight="1" x14ac:dyDescent="0.35">
      <c r="A535" s="2"/>
      <c r="B535" s="2"/>
      <c r="C535" s="2"/>
      <c r="D535" s="2"/>
      <c r="E535" s="2"/>
      <c r="F535" s="2"/>
      <c r="G535" s="27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</row>
    <row r="536" spans="1:70" ht="14.25" customHeight="1" x14ac:dyDescent="0.35">
      <c r="A536" s="2"/>
      <c r="B536" s="2"/>
      <c r="C536" s="2"/>
      <c r="D536" s="2"/>
      <c r="E536" s="2"/>
      <c r="F536" s="2"/>
      <c r="G536" s="27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</row>
    <row r="537" spans="1:70" ht="14.25" customHeight="1" x14ac:dyDescent="0.35">
      <c r="A537" s="2"/>
      <c r="B537" s="2"/>
      <c r="C537" s="2"/>
      <c r="D537" s="2"/>
      <c r="E537" s="2"/>
      <c r="F537" s="2"/>
      <c r="G537" s="27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</row>
    <row r="538" spans="1:70" ht="14.25" customHeight="1" x14ac:dyDescent="0.35">
      <c r="A538" s="2"/>
      <c r="B538" s="2"/>
      <c r="C538" s="2"/>
      <c r="D538" s="2"/>
      <c r="E538" s="2"/>
      <c r="F538" s="2"/>
      <c r="G538" s="27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</row>
    <row r="539" spans="1:70" ht="14.25" customHeight="1" x14ac:dyDescent="0.35">
      <c r="A539" s="2"/>
      <c r="B539" s="2"/>
      <c r="C539" s="2"/>
      <c r="D539" s="2"/>
      <c r="E539" s="2"/>
      <c r="F539" s="2"/>
      <c r="G539" s="27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</row>
    <row r="540" spans="1:70" ht="14.25" customHeight="1" x14ac:dyDescent="0.35">
      <c r="A540" s="2"/>
      <c r="B540" s="2"/>
      <c r="C540" s="2"/>
      <c r="D540" s="2"/>
      <c r="E540" s="2"/>
      <c r="F540" s="2"/>
      <c r="G540" s="27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</row>
    <row r="541" spans="1:70" ht="14.25" customHeight="1" x14ac:dyDescent="0.35">
      <c r="A541" s="2"/>
      <c r="B541" s="2"/>
      <c r="C541" s="2"/>
      <c r="D541" s="2"/>
      <c r="E541" s="2"/>
      <c r="F541" s="2"/>
      <c r="G541" s="27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</row>
    <row r="542" spans="1:70" ht="14.25" customHeight="1" x14ac:dyDescent="0.35">
      <c r="A542" s="2"/>
      <c r="B542" s="2"/>
      <c r="C542" s="2"/>
      <c r="D542" s="2"/>
      <c r="E542" s="2"/>
      <c r="F542" s="2"/>
      <c r="G542" s="27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</row>
    <row r="543" spans="1:70" ht="14.25" customHeight="1" x14ac:dyDescent="0.35">
      <c r="A543" s="2"/>
      <c r="B543" s="2"/>
      <c r="C543" s="2"/>
      <c r="D543" s="2"/>
      <c r="E543" s="2"/>
      <c r="F543" s="2"/>
      <c r="G543" s="27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</row>
    <row r="544" spans="1:70" ht="14.25" customHeight="1" x14ac:dyDescent="0.35">
      <c r="A544" s="2"/>
      <c r="B544" s="2"/>
      <c r="C544" s="2"/>
      <c r="D544" s="2"/>
      <c r="E544" s="2"/>
      <c r="F544" s="2"/>
      <c r="G544" s="27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</row>
    <row r="545" spans="1:70" ht="14.25" customHeight="1" x14ac:dyDescent="0.35">
      <c r="A545" s="2"/>
      <c r="B545" s="2"/>
      <c r="C545" s="2"/>
      <c r="D545" s="2"/>
      <c r="E545" s="2"/>
      <c r="F545" s="2"/>
      <c r="G545" s="27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</row>
    <row r="546" spans="1:70" ht="14.25" customHeight="1" x14ac:dyDescent="0.35">
      <c r="A546" s="2"/>
      <c r="B546" s="2"/>
      <c r="C546" s="2"/>
      <c r="D546" s="2"/>
      <c r="E546" s="2"/>
      <c r="F546" s="2"/>
      <c r="G546" s="27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</row>
    <row r="547" spans="1:70" ht="14.25" customHeight="1" x14ac:dyDescent="0.35">
      <c r="A547" s="2"/>
      <c r="B547" s="2"/>
      <c r="C547" s="2"/>
      <c r="D547" s="2"/>
      <c r="E547" s="2"/>
      <c r="F547" s="2"/>
      <c r="G547" s="27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</row>
    <row r="548" spans="1:70" ht="14.25" customHeight="1" x14ac:dyDescent="0.35">
      <c r="A548" s="2"/>
      <c r="B548" s="2"/>
      <c r="C548" s="2"/>
      <c r="D548" s="2"/>
      <c r="E548" s="2"/>
      <c r="F548" s="2"/>
      <c r="G548" s="27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</row>
    <row r="549" spans="1:70" ht="14.25" customHeight="1" x14ac:dyDescent="0.35">
      <c r="A549" s="2"/>
      <c r="B549" s="2"/>
      <c r="C549" s="2"/>
      <c r="D549" s="2"/>
      <c r="E549" s="2"/>
      <c r="F549" s="2"/>
      <c r="G549" s="27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</row>
    <row r="550" spans="1:70" ht="14.25" customHeight="1" x14ac:dyDescent="0.35">
      <c r="A550" s="2"/>
      <c r="B550" s="2"/>
      <c r="C550" s="2"/>
      <c r="D550" s="2"/>
      <c r="E550" s="2"/>
      <c r="F550" s="2"/>
      <c r="G550" s="27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</row>
    <row r="551" spans="1:70" ht="14.25" customHeight="1" x14ac:dyDescent="0.35">
      <c r="A551" s="2"/>
      <c r="B551" s="2"/>
      <c r="C551" s="2"/>
      <c r="D551" s="2"/>
      <c r="E551" s="2"/>
      <c r="F551" s="2"/>
      <c r="G551" s="27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</row>
    <row r="552" spans="1:70" ht="14.25" customHeight="1" x14ac:dyDescent="0.35">
      <c r="A552" s="2"/>
      <c r="B552" s="2"/>
      <c r="C552" s="2"/>
      <c r="D552" s="2"/>
      <c r="E552" s="2"/>
      <c r="F552" s="2"/>
      <c r="G552" s="27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</row>
    <row r="553" spans="1:70" ht="14.25" customHeight="1" x14ac:dyDescent="0.35">
      <c r="A553" s="2"/>
      <c r="B553" s="2"/>
      <c r="C553" s="2"/>
      <c r="D553" s="2"/>
      <c r="E553" s="2"/>
      <c r="F553" s="2"/>
      <c r="G553" s="27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</row>
    <row r="554" spans="1:70" ht="14.25" customHeight="1" x14ac:dyDescent="0.35">
      <c r="A554" s="2"/>
      <c r="B554" s="2"/>
      <c r="C554" s="2"/>
      <c r="D554" s="2"/>
      <c r="E554" s="2"/>
      <c r="F554" s="2"/>
      <c r="G554" s="27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</row>
    <row r="555" spans="1:70" ht="14.25" customHeight="1" x14ac:dyDescent="0.35">
      <c r="A555" s="2"/>
      <c r="B555" s="2"/>
      <c r="C555" s="2"/>
      <c r="D555" s="2"/>
      <c r="E555" s="2"/>
      <c r="F555" s="2"/>
      <c r="G555" s="27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</row>
    <row r="556" spans="1:70" ht="14.25" customHeight="1" x14ac:dyDescent="0.35">
      <c r="A556" s="2"/>
      <c r="B556" s="2"/>
      <c r="C556" s="2"/>
      <c r="D556" s="2"/>
      <c r="E556" s="2"/>
      <c r="F556" s="2"/>
      <c r="G556" s="27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</row>
    <row r="557" spans="1:70" ht="14.25" customHeight="1" x14ac:dyDescent="0.35">
      <c r="A557" s="2"/>
      <c r="B557" s="2"/>
      <c r="C557" s="2"/>
      <c r="D557" s="2"/>
      <c r="E557" s="2"/>
      <c r="F557" s="2"/>
      <c r="G557" s="27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</row>
    <row r="558" spans="1:70" ht="14.25" customHeight="1" x14ac:dyDescent="0.35">
      <c r="A558" s="2"/>
      <c r="B558" s="2"/>
      <c r="C558" s="2"/>
      <c r="D558" s="2"/>
      <c r="E558" s="2"/>
      <c r="F558" s="2"/>
      <c r="G558" s="27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</row>
    <row r="559" spans="1:70" ht="14.25" customHeight="1" x14ac:dyDescent="0.35">
      <c r="A559" s="2"/>
      <c r="B559" s="2"/>
      <c r="C559" s="2"/>
      <c r="D559" s="2"/>
      <c r="E559" s="2"/>
      <c r="F559" s="2"/>
      <c r="G559" s="27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</row>
    <row r="560" spans="1:70" ht="14.25" customHeight="1" x14ac:dyDescent="0.35">
      <c r="A560" s="2"/>
      <c r="B560" s="2"/>
      <c r="C560" s="2"/>
      <c r="D560" s="2"/>
      <c r="E560" s="2"/>
      <c r="F560" s="2"/>
      <c r="G560" s="27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</row>
    <row r="561" spans="1:70" ht="14.25" customHeight="1" x14ac:dyDescent="0.35">
      <c r="A561" s="2"/>
      <c r="B561" s="2"/>
      <c r="C561" s="2"/>
      <c r="D561" s="2"/>
      <c r="E561" s="2"/>
      <c r="F561" s="2"/>
      <c r="G561" s="27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</row>
    <row r="562" spans="1:70" ht="14.25" customHeight="1" x14ac:dyDescent="0.35">
      <c r="A562" s="2"/>
      <c r="B562" s="2"/>
      <c r="C562" s="2"/>
      <c r="D562" s="2"/>
      <c r="E562" s="2"/>
      <c r="F562" s="2"/>
      <c r="G562" s="27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</row>
    <row r="563" spans="1:70" ht="14.25" customHeight="1" x14ac:dyDescent="0.35">
      <c r="A563" s="2"/>
      <c r="B563" s="2"/>
      <c r="C563" s="2"/>
      <c r="D563" s="2"/>
      <c r="E563" s="2"/>
      <c r="F563" s="2"/>
      <c r="G563" s="27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</row>
    <row r="564" spans="1:70" ht="14.25" customHeight="1" x14ac:dyDescent="0.35">
      <c r="A564" s="2"/>
      <c r="B564" s="2"/>
      <c r="C564" s="2"/>
      <c r="D564" s="2"/>
      <c r="E564" s="2"/>
      <c r="F564" s="2"/>
      <c r="G564" s="27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</row>
    <row r="565" spans="1:70" ht="14.25" customHeight="1" x14ac:dyDescent="0.35">
      <c r="A565" s="2"/>
      <c r="B565" s="2"/>
      <c r="C565" s="2"/>
      <c r="D565" s="2"/>
      <c r="E565" s="2"/>
      <c r="F565" s="2"/>
      <c r="G565" s="27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</row>
    <row r="566" spans="1:70" ht="14.25" customHeight="1" x14ac:dyDescent="0.35">
      <c r="A566" s="2"/>
      <c r="B566" s="2"/>
      <c r="C566" s="2"/>
      <c r="D566" s="2"/>
      <c r="E566" s="2"/>
      <c r="F566" s="2"/>
      <c r="G566" s="27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</row>
    <row r="567" spans="1:70" ht="14.25" customHeight="1" x14ac:dyDescent="0.35">
      <c r="A567" s="2"/>
      <c r="B567" s="2"/>
      <c r="C567" s="2"/>
      <c r="D567" s="2"/>
      <c r="E567" s="2"/>
      <c r="F567" s="2"/>
      <c r="G567" s="27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</row>
    <row r="568" spans="1:70" ht="14.25" customHeight="1" x14ac:dyDescent="0.35">
      <c r="A568" s="2"/>
      <c r="B568" s="2"/>
      <c r="C568" s="2"/>
      <c r="D568" s="2"/>
      <c r="E568" s="2"/>
      <c r="F568" s="2"/>
      <c r="G568" s="27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</row>
    <row r="569" spans="1:70" ht="14.25" customHeight="1" x14ac:dyDescent="0.35">
      <c r="A569" s="2"/>
      <c r="B569" s="2"/>
      <c r="C569" s="2"/>
      <c r="D569" s="2"/>
      <c r="E569" s="2"/>
      <c r="F569" s="2"/>
      <c r="G569" s="27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</row>
    <row r="570" spans="1:70" ht="14.25" customHeight="1" x14ac:dyDescent="0.35">
      <c r="A570" s="2"/>
      <c r="B570" s="2"/>
      <c r="C570" s="2"/>
      <c r="D570" s="2"/>
      <c r="E570" s="2"/>
      <c r="F570" s="2"/>
      <c r="G570" s="27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</row>
    <row r="571" spans="1:70" ht="14.25" customHeight="1" x14ac:dyDescent="0.35">
      <c r="A571" s="2"/>
      <c r="B571" s="2"/>
      <c r="C571" s="2"/>
      <c r="D571" s="2"/>
      <c r="E571" s="2"/>
      <c r="F571" s="2"/>
      <c r="G571" s="27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</row>
    <row r="572" spans="1:70" ht="14.25" customHeight="1" x14ac:dyDescent="0.35">
      <c r="A572" s="2"/>
      <c r="B572" s="2"/>
      <c r="C572" s="2"/>
      <c r="D572" s="2"/>
      <c r="E572" s="2"/>
      <c r="F572" s="2"/>
      <c r="G572" s="27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</row>
    <row r="573" spans="1:70" ht="14.25" customHeight="1" x14ac:dyDescent="0.35">
      <c r="A573" s="2"/>
      <c r="B573" s="2"/>
      <c r="C573" s="2"/>
      <c r="D573" s="2"/>
      <c r="E573" s="2"/>
      <c r="F573" s="2"/>
      <c r="G573" s="27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</row>
    <row r="574" spans="1:70" ht="14.25" customHeight="1" x14ac:dyDescent="0.35">
      <c r="A574" s="2"/>
      <c r="B574" s="2"/>
      <c r="C574" s="2"/>
      <c r="D574" s="2"/>
      <c r="E574" s="2"/>
      <c r="F574" s="2"/>
      <c r="G574" s="27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</row>
    <row r="575" spans="1:70" ht="14.25" customHeight="1" x14ac:dyDescent="0.35">
      <c r="A575" s="2"/>
      <c r="B575" s="2"/>
      <c r="C575" s="2"/>
      <c r="D575" s="2"/>
      <c r="E575" s="2"/>
      <c r="F575" s="2"/>
      <c r="G575" s="27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</row>
    <row r="576" spans="1:70" ht="14.25" customHeight="1" x14ac:dyDescent="0.35">
      <c r="A576" s="2"/>
      <c r="B576" s="2"/>
      <c r="C576" s="2"/>
      <c r="D576" s="2"/>
      <c r="E576" s="2"/>
      <c r="F576" s="2"/>
      <c r="G576" s="27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</row>
    <row r="577" spans="1:70" ht="14.25" customHeight="1" x14ac:dyDescent="0.35">
      <c r="A577" s="2"/>
      <c r="B577" s="2"/>
      <c r="C577" s="2"/>
      <c r="D577" s="2"/>
      <c r="E577" s="2"/>
      <c r="F577" s="2"/>
      <c r="G577" s="27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</row>
    <row r="578" spans="1:70" ht="14.25" customHeight="1" x14ac:dyDescent="0.35">
      <c r="A578" s="2"/>
      <c r="B578" s="2"/>
      <c r="C578" s="2"/>
      <c r="D578" s="2"/>
      <c r="E578" s="2"/>
      <c r="F578" s="2"/>
      <c r="G578" s="27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</row>
    <row r="579" spans="1:70" ht="14.25" customHeight="1" x14ac:dyDescent="0.35">
      <c r="A579" s="2"/>
      <c r="B579" s="2"/>
      <c r="C579" s="2"/>
      <c r="D579" s="2"/>
      <c r="E579" s="2"/>
      <c r="F579" s="2"/>
      <c r="G579" s="27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</row>
    <row r="580" spans="1:70" ht="14.25" customHeight="1" x14ac:dyDescent="0.35">
      <c r="A580" s="2"/>
      <c r="B580" s="2"/>
      <c r="C580" s="2"/>
      <c r="D580" s="2"/>
      <c r="E580" s="2"/>
      <c r="F580" s="2"/>
      <c r="G580" s="27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</row>
    <row r="581" spans="1:70" ht="14.25" customHeight="1" x14ac:dyDescent="0.35">
      <c r="A581" s="2"/>
      <c r="B581" s="2"/>
      <c r="C581" s="2"/>
      <c r="D581" s="2"/>
      <c r="E581" s="2"/>
      <c r="F581" s="2"/>
      <c r="G581" s="27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</row>
    <row r="582" spans="1:70" ht="14.25" customHeight="1" x14ac:dyDescent="0.35">
      <c r="A582" s="2"/>
      <c r="B582" s="2"/>
      <c r="C582" s="2"/>
      <c r="D582" s="2"/>
      <c r="E582" s="2"/>
      <c r="F582" s="2"/>
      <c r="G582" s="27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</row>
    <row r="583" spans="1:70" ht="14.25" customHeight="1" x14ac:dyDescent="0.35">
      <c r="A583" s="2"/>
      <c r="B583" s="2"/>
      <c r="C583" s="2"/>
      <c r="D583" s="2"/>
      <c r="E583" s="2"/>
      <c r="F583" s="2"/>
      <c r="G583" s="27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</row>
    <row r="584" spans="1:70" ht="14.25" customHeight="1" x14ac:dyDescent="0.35">
      <c r="A584" s="2"/>
      <c r="B584" s="2"/>
      <c r="C584" s="2"/>
      <c r="D584" s="2"/>
      <c r="E584" s="2"/>
      <c r="F584" s="2"/>
      <c r="G584" s="27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</row>
    <row r="585" spans="1:70" ht="14.25" customHeight="1" x14ac:dyDescent="0.35">
      <c r="A585" s="2"/>
      <c r="B585" s="2"/>
      <c r="C585" s="2"/>
      <c r="D585" s="2"/>
      <c r="E585" s="2"/>
      <c r="F585" s="2"/>
      <c r="G585" s="27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</row>
    <row r="586" spans="1:70" ht="14.25" customHeight="1" x14ac:dyDescent="0.35">
      <c r="A586" s="2"/>
      <c r="B586" s="2"/>
      <c r="C586" s="2"/>
      <c r="D586" s="2"/>
      <c r="E586" s="2"/>
      <c r="F586" s="2"/>
      <c r="G586" s="27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</row>
    <row r="587" spans="1:70" ht="14.25" customHeight="1" x14ac:dyDescent="0.35">
      <c r="A587" s="2"/>
      <c r="B587" s="2"/>
      <c r="C587" s="2"/>
      <c r="D587" s="2"/>
      <c r="E587" s="2"/>
      <c r="F587" s="2"/>
      <c r="G587" s="27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</row>
    <row r="588" spans="1:70" ht="14.25" customHeight="1" x14ac:dyDescent="0.35">
      <c r="A588" s="2"/>
      <c r="B588" s="2"/>
      <c r="C588" s="2"/>
      <c r="D588" s="2"/>
      <c r="E588" s="2"/>
      <c r="F588" s="2"/>
      <c r="G588" s="27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</row>
    <row r="589" spans="1:70" ht="14.25" customHeight="1" x14ac:dyDescent="0.35">
      <c r="A589" s="2"/>
      <c r="B589" s="2"/>
      <c r="C589" s="2"/>
      <c r="D589" s="2"/>
      <c r="E589" s="2"/>
      <c r="F589" s="2"/>
      <c r="G589" s="27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</row>
    <row r="590" spans="1:70" ht="14.25" customHeight="1" x14ac:dyDescent="0.35">
      <c r="A590" s="2"/>
      <c r="B590" s="2"/>
      <c r="C590" s="2"/>
      <c r="D590" s="2"/>
      <c r="E590" s="2"/>
      <c r="F590" s="2"/>
      <c r="G590" s="27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</row>
    <row r="591" spans="1:70" ht="14.25" customHeight="1" x14ac:dyDescent="0.35">
      <c r="A591" s="2"/>
      <c r="B591" s="2"/>
      <c r="C591" s="2"/>
      <c r="D591" s="2"/>
      <c r="E591" s="2"/>
      <c r="F591" s="2"/>
      <c r="G591" s="27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</row>
    <row r="592" spans="1:70" ht="14.25" customHeight="1" x14ac:dyDescent="0.35">
      <c r="A592" s="2"/>
      <c r="B592" s="2"/>
      <c r="C592" s="2"/>
      <c r="D592" s="2"/>
      <c r="E592" s="2"/>
      <c r="F592" s="2"/>
      <c r="G592" s="27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</row>
    <row r="593" spans="1:70" ht="14.25" customHeight="1" x14ac:dyDescent="0.35">
      <c r="A593" s="2"/>
      <c r="B593" s="2"/>
      <c r="C593" s="2"/>
      <c r="D593" s="2"/>
      <c r="E593" s="2"/>
      <c r="F593" s="2"/>
      <c r="G593" s="27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</row>
    <row r="594" spans="1:70" ht="14.25" customHeight="1" x14ac:dyDescent="0.35">
      <c r="A594" s="2"/>
      <c r="B594" s="2"/>
      <c r="C594" s="2"/>
      <c r="D594" s="2"/>
      <c r="E594" s="2"/>
      <c r="F594" s="2"/>
      <c r="G594" s="27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</row>
    <row r="595" spans="1:70" ht="14.25" customHeight="1" x14ac:dyDescent="0.35">
      <c r="A595" s="2"/>
      <c r="B595" s="2"/>
      <c r="C595" s="2"/>
      <c r="D595" s="2"/>
      <c r="E595" s="2"/>
      <c r="F595" s="2"/>
      <c r="G595" s="27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</row>
    <row r="596" spans="1:70" ht="14.25" customHeight="1" x14ac:dyDescent="0.35">
      <c r="A596" s="2"/>
      <c r="B596" s="2"/>
      <c r="C596" s="2"/>
      <c r="D596" s="2"/>
      <c r="E596" s="2"/>
      <c r="F596" s="2"/>
      <c r="G596" s="27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</row>
    <row r="597" spans="1:70" ht="14.25" customHeight="1" x14ac:dyDescent="0.35">
      <c r="A597" s="2"/>
      <c r="B597" s="2"/>
      <c r="C597" s="2"/>
      <c r="D597" s="2"/>
      <c r="E597" s="2"/>
      <c r="F597" s="2"/>
      <c r="G597" s="27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</row>
    <row r="598" spans="1:70" ht="14.25" customHeight="1" x14ac:dyDescent="0.35">
      <c r="A598" s="2"/>
      <c r="B598" s="2"/>
      <c r="C598" s="2"/>
      <c r="D598" s="2"/>
      <c r="E598" s="2"/>
      <c r="F598" s="2"/>
      <c r="G598" s="27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</row>
    <row r="599" spans="1:70" ht="14.25" customHeight="1" x14ac:dyDescent="0.35">
      <c r="A599" s="2"/>
      <c r="B599" s="2"/>
      <c r="C599" s="2"/>
      <c r="D599" s="2"/>
      <c r="E599" s="2"/>
      <c r="F599" s="2"/>
      <c r="G599" s="27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</row>
    <row r="600" spans="1:70" ht="14.25" customHeight="1" x14ac:dyDescent="0.35">
      <c r="A600" s="2"/>
      <c r="B600" s="2"/>
      <c r="C600" s="2"/>
      <c r="D600" s="2"/>
      <c r="E600" s="2"/>
      <c r="F600" s="2"/>
      <c r="G600" s="27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</row>
    <row r="601" spans="1:70" ht="14.25" customHeight="1" x14ac:dyDescent="0.35">
      <c r="A601" s="2"/>
      <c r="B601" s="2"/>
      <c r="C601" s="2"/>
      <c r="D601" s="2"/>
      <c r="E601" s="2"/>
      <c r="F601" s="2"/>
      <c r="G601" s="27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</row>
    <row r="602" spans="1:70" ht="14.25" customHeight="1" x14ac:dyDescent="0.35">
      <c r="A602" s="2"/>
      <c r="B602" s="2"/>
      <c r="C602" s="2"/>
      <c r="D602" s="2"/>
      <c r="E602" s="2"/>
      <c r="F602" s="2"/>
      <c r="G602" s="27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</row>
    <row r="603" spans="1:70" ht="14.25" customHeight="1" x14ac:dyDescent="0.35">
      <c r="A603" s="2"/>
      <c r="B603" s="2"/>
      <c r="C603" s="2"/>
      <c r="D603" s="2"/>
      <c r="E603" s="2"/>
      <c r="F603" s="2"/>
      <c r="G603" s="27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</row>
    <row r="604" spans="1:70" ht="14.25" customHeight="1" x14ac:dyDescent="0.35">
      <c r="A604" s="2"/>
      <c r="B604" s="2"/>
      <c r="C604" s="2"/>
      <c r="D604" s="2"/>
      <c r="E604" s="2"/>
      <c r="F604" s="2"/>
      <c r="G604" s="27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</row>
    <row r="605" spans="1:70" ht="14.25" customHeight="1" x14ac:dyDescent="0.35">
      <c r="A605" s="2"/>
      <c r="B605" s="2"/>
      <c r="C605" s="2"/>
      <c r="D605" s="2"/>
      <c r="E605" s="2"/>
      <c r="F605" s="2"/>
      <c r="G605" s="27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</row>
    <row r="606" spans="1:70" ht="14.25" customHeight="1" x14ac:dyDescent="0.35">
      <c r="A606" s="2"/>
      <c r="B606" s="2"/>
      <c r="C606" s="2"/>
      <c r="D606" s="2"/>
      <c r="E606" s="2"/>
      <c r="F606" s="2"/>
      <c r="G606" s="27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</row>
    <row r="607" spans="1:70" ht="14.25" customHeight="1" x14ac:dyDescent="0.35">
      <c r="A607" s="2"/>
      <c r="B607" s="2"/>
      <c r="C607" s="2"/>
      <c r="D607" s="2"/>
      <c r="E607" s="2"/>
      <c r="F607" s="2"/>
      <c r="G607" s="27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</row>
    <row r="608" spans="1:70" ht="14.25" customHeight="1" x14ac:dyDescent="0.35">
      <c r="A608" s="2"/>
      <c r="B608" s="2"/>
      <c r="C608" s="2"/>
      <c r="D608" s="2"/>
      <c r="E608" s="2"/>
      <c r="F608" s="2"/>
      <c r="G608" s="27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</row>
    <row r="609" spans="1:70" ht="14.25" customHeight="1" x14ac:dyDescent="0.35">
      <c r="A609" s="2"/>
      <c r="B609" s="2"/>
      <c r="C609" s="2"/>
      <c r="D609" s="2"/>
      <c r="E609" s="2"/>
      <c r="F609" s="2"/>
      <c r="G609" s="27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</row>
    <row r="610" spans="1:70" ht="14.25" customHeight="1" x14ac:dyDescent="0.35">
      <c r="A610" s="2"/>
      <c r="B610" s="2"/>
      <c r="C610" s="2"/>
      <c r="D610" s="2"/>
      <c r="E610" s="2"/>
      <c r="F610" s="2"/>
      <c r="G610" s="27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</row>
    <row r="611" spans="1:70" ht="14.25" customHeight="1" x14ac:dyDescent="0.35">
      <c r="A611" s="2"/>
      <c r="B611" s="2"/>
      <c r="C611" s="2"/>
      <c r="D611" s="2"/>
      <c r="E611" s="2"/>
      <c r="F611" s="2"/>
      <c r="G611" s="27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</row>
    <row r="612" spans="1:70" ht="14.25" customHeight="1" x14ac:dyDescent="0.35">
      <c r="A612" s="2"/>
      <c r="B612" s="2"/>
      <c r="C612" s="2"/>
      <c r="D612" s="2"/>
      <c r="E612" s="2"/>
      <c r="F612" s="2"/>
      <c r="G612" s="27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</row>
    <row r="613" spans="1:70" ht="14.25" customHeight="1" x14ac:dyDescent="0.35">
      <c r="A613" s="2"/>
      <c r="B613" s="2"/>
      <c r="C613" s="2"/>
      <c r="D613" s="2"/>
      <c r="E613" s="2"/>
      <c r="F613" s="2"/>
      <c r="G613" s="27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</row>
    <row r="614" spans="1:70" ht="14.25" customHeight="1" x14ac:dyDescent="0.35">
      <c r="A614" s="2"/>
      <c r="B614" s="2"/>
      <c r="C614" s="2"/>
      <c r="D614" s="2"/>
      <c r="E614" s="2"/>
      <c r="F614" s="2"/>
      <c r="G614" s="27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</row>
    <row r="615" spans="1:70" ht="14.25" customHeight="1" x14ac:dyDescent="0.35">
      <c r="A615" s="2"/>
      <c r="B615" s="2"/>
      <c r="C615" s="2"/>
      <c r="D615" s="2"/>
      <c r="E615" s="2"/>
      <c r="F615" s="2"/>
      <c r="G615" s="27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</row>
    <row r="616" spans="1:70" ht="14.25" customHeight="1" x14ac:dyDescent="0.35">
      <c r="A616" s="2"/>
      <c r="B616" s="2"/>
      <c r="C616" s="2"/>
      <c r="D616" s="2"/>
      <c r="E616" s="2"/>
      <c r="F616" s="2"/>
      <c r="G616" s="27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</row>
    <row r="617" spans="1:70" ht="14.25" customHeight="1" x14ac:dyDescent="0.35">
      <c r="A617" s="2"/>
      <c r="B617" s="2"/>
      <c r="C617" s="2"/>
      <c r="D617" s="2"/>
      <c r="E617" s="2"/>
      <c r="F617" s="2"/>
      <c r="G617" s="27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</row>
    <row r="618" spans="1:70" ht="14.25" customHeight="1" x14ac:dyDescent="0.35">
      <c r="A618" s="2"/>
      <c r="B618" s="2"/>
      <c r="C618" s="2"/>
      <c r="D618" s="2"/>
      <c r="E618" s="2"/>
      <c r="F618" s="2"/>
      <c r="G618" s="27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</row>
    <row r="619" spans="1:70" ht="14.25" customHeight="1" x14ac:dyDescent="0.35">
      <c r="A619" s="2"/>
      <c r="B619" s="2"/>
      <c r="C619" s="2"/>
      <c r="D619" s="2"/>
      <c r="E619" s="2"/>
      <c r="F619" s="2"/>
      <c r="G619" s="27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</row>
    <row r="620" spans="1:70" ht="14.25" customHeight="1" x14ac:dyDescent="0.35">
      <c r="A620" s="2"/>
      <c r="B620" s="2"/>
      <c r="C620" s="2"/>
      <c r="D620" s="2"/>
      <c r="E620" s="2"/>
      <c r="F620" s="2"/>
      <c r="G620" s="27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</row>
    <row r="621" spans="1:70" ht="14.25" customHeight="1" x14ac:dyDescent="0.35">
      <c r="A621" s="2"/>
      <c r="B621" s="2"/>
      <c r="C621" s="2"/>
      <c r="D621" s="2"/>
      <c r="E621" s="2"/>
      <c r="F621" s="2"/>
      <c r="G621" s="27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</row>
    <row r="622" spans="1:70" ht="14.25" customHeight="1" x14ac:dyDescent="0.35">
      <c r="A622" s="2"/>
      <c r="B622" s="2"/>
      <c r="C622" s="2"/>
      <c r="D622" s="2"/>
      <c r="E622" s="2"/>
      <c r="F622" s="2"/>
      <c r="G622" s="27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</row>
    <row r="623" spans="1:70" ht="14.25" customHeight="1" x14ac:dyDescent="0.35">
      <c r="A623" s="2"/>
      <c r="B623" s="2"/>
      <c r="C623" s="2"/>
      <c r="D623" s="2"/>
      <c r="E623" s="2"/>
      <c r="F623" s="2"/>
      <c r="G623" s="27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</row>
    <row r="624" spans="1:70" ht="14.25" customHeight="1" x14ac:dyDescent="0.35">
      <c r="A624" s="2"/>
      <c r="B624" s="2"/>
      <c r="C624" s="2"/>
      <c r="D624" s="2"/>
      <c r="E624" s="2"/>
      <c r="F624" s="2"/>
      <c r="G624" s="27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</row>
    <row r="625" spans="1:70" ht="14.25" customHeight="1" x14ac:dyDescent="0.35">
      <c r="A625" s="2"/>
      <c r="B625" s="2"/>
      <c r="C625" s="2"/>
      <c r="D625" s="2"/>
      <c r="E625" s="2"/>
      <c r="F625" s="2"/>
      <c r="G625" s="27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</row>
    <row r="626" spans="1:70" ht="14.25" customHeight="1" x14ac:dyDescent="0.35">
      <c r="A626" s="2"/>
      <c r="B626" s="2"/>
      <c r="C626" s="2"/>
      <c r="D626" s="2"/>
      <c r="E626" s="2"/>
      <c r="F626" s="2"/>
      <c r="G626" s="27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</row>
    <row r="627" spans="1:70" ht="14.25" customHeight="1" x14ac:dyDescent="0.35">
      <c r="A627" s="2"/>
      <c r="B627" s="2"/>
      <c r="C627" s="2"/>
      <c r="D627" s="2"/>
      <c r="E627" s="2"/>
      <c r="F627" s="2"/>
      <c r="G627" s="27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</row>
    <row r="628" spans="1:70" ht="14.25" customHeight="1" x14ac:dyDescent="0.35">
      <c r="A628" s="2"/>
      <c r="B628" s="2"/>
      <c r="C628" s="2"/>
      <c r="D628" s="2"/>
      <c r="E628" s="2"/>
      <c r="F628" s="2"/>
      <c r="G628" s="27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</row>
    <row r="629" spans="1:70" ht="14.25" customHeight="1" x14ac:dyDescent="0.35">
      <c r="A629" s="2"/>
      <c r="B629" s="2"/>
      <c r="C629" s="2"/>
      <c r="D629" s="2"/>
      <c r="E629" s="2"/>
      <c r="F629" s="2"/>
      <c r="G629" s="27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</row>
    <row r="630" spans="1:70" ht="14.25" customHeight="1" x14ac:dyDescent="0.35">
      <c r="A630" s="2"/>
      <c r="B630" s="2"/>
      <c r="C630" s="2"/>
      <c r="D630" s="2"/>
      <c r="E630" s="2"/>
      <c r="F630" s="2"/>
      <c r="G630" s="27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</row>
    <row r="631" spans="1:70" ht="14.25" customHeight="1" x14ac:dyDescent="0.35">
      <c r="A631" s="2"/>
      <c r="B631" s="2"/>
      <c r="C631" s="2"/>
      <c r="D631" s="2"/>
      <c r="E631" s="2"/>
      <c r="F631" s="2"/>
      <c r="G631" s="27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</row>
    <row r="632" spans="1:70" ht="14.25" customHeight="1" x14ac:dyDescent="0.35">
      <c r="A632" s="2"/>
      <c r="B632" s="2"/>
      <c r="C632" s="2"/>
      <c r="D632" s="2"/>
      <c r="E632" s="2"/>
      <c r="F632" s="2"/>
      <c r="G632" s="27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</row>
    <row r="633" spans="1:70" ht="14.25" customHeight="1" x14ac:dyDescent="0.35">
      <c r="A633" s="2"/>
      <c r="B633" s="2"/>
      <c r="C633" s="2"/>
      <c r="D633" s="2"/>
      <c r="E633" s="2"/>
      <c r="F633" s="2"/>
      <c r="G633" s="27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</row>
    <row r="634" spans="1:70" ht="14.25" customHeight="1" x14ac:dyDescent="0.35">
      <c r="A634" s="2"/>
      <c r="B634" s="2"/>
      <c r="C634" s="2"/>
      <c r="D634" s="2"/>
      <c r="E634" s="2"/>
      <c r="F634" s="2"/>
      <c r="G634" s="27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</row>
    <row r="635" spans="1:70" ht="14.25" customHeight="1" x14ac:dyDescent="0.35">
      <c r="A635" s="2"/>
      <c r="B635" s="2"/>
      <c r="C635" s="2"/>
      <c r="D635" s="2"/>
      <c r="E635" s="2"/>
      <c r="F635" s="2"/>
      <c r="G635" s="27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</row>
    <row r="636" spans="1:70" ht="14.25" customHeight="1" x14ac:dyDescent="0.35">
      <c r="A636" s="2"/>
      <c r="B636" s="2"/>
      <c r="C636" s="2"/>
      <c r="D636" s="2"/>
      <c r="E636" s="2"/>
      <c r="F636" s="2"/>
      <c r="G636" s="27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</row>
    <row r="637" spans="1:70" ht="14.25" customHeight="1" x14ac:dyDescent="0.35">
      <c r="A637" s="2"/>
      <c r="B637" s="2"/>
      <c r="C637" s="2"/>
      <c r="D637" s="2"/>
      <c r="E637" s="2"/>
      <c r="F637" s="2"/>
      <c r="G637" s="27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</row>
    <row r="638" spans="1:70" ht="14.25" customHeight="1" x14ac:dyDescent="0.35">
      <c r="A638" s="2"/>
      <c r="B638" s="2"/>
      <c r="C638" s="2"/>
      <c r="D638" s="2"/>
      <c r="E638" s="2"/>
      <c r="F638" s="2"/>
      <c r="G638" s="27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</row>
    <row r="639" spans="1:70" ht="14.25" customHeight="1" x14ac:dyDescent="0.35">
      <c r="A639" s="2"/>
      <c r="B639" s="2"/>
      <c r="C639" s="2"/>
      <c r="D639" s="2"/>
      <c r="E639" s="2"/>
      <c r="F639" s="2"/>
      <c r="G639" s="27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</row>
    <row r="640" spans="1:70" ht="14.25" customHeight="1" x14ac:dyDescent="0.35">
      <c r="A640" s="2"/>
      <c r="B640" s="2"/>
      <c r="C640" s="2"/>
      <c r="D640" s="2"/>
      <c r="E640" s="2"/>
      <c r="F640" s="2"/>
      <c r="G640" s="27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</row>
    <row r="641" spans="1:70" ht="14.25" customHeight="1" x14ac:dyDescent="0.35">
      <c r="A641" s="2"/>
      <c r="B641" s="2"/>
      <c r="C641" s="2"/>
      <c r="D641" s="2"/>
      <c r="E641" s="2"/>
      <c r="F641" s="2"/>
      <c r="G641" s="27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</row>
    <row r="642" spans="1:70" ht="14.25" customHeight="1" x14ac:dyDescent="0.35">
      <c r="A642" s="2"/>
      <c r="B642" s="2"/>
      <c r="C642" s="2"/>
      <c r="D642" s="2"/>
      <c r="E642" s="2"/>
      <c r="F642" s="2"/>
      <c r="G642" s="27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</row>
    <row r="643" spans="1:70" ht="14.25" customHeight="1" x14ac:dyDescent="0.35">
      <c r="A643" s="2"/>
      <c r="B643" s="2"/>
      <c r="C643" s="2"/>
      <c r="D643" s="2"/>
      <c r="E643" s="2"/>
      <c r="F643" s="2"/>
      <c r="G643" s="27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</row>
    <row r="644" spans="1:70" ht="14.25" customHeight="1" x14ac:dyDescent="0.35">
      <c r="A644" s="2"/>
      <c r="B644" s="2"/>
      <c r="C644" s="2"/>
      <c r="D644" s="2"/>
      <c r="E644" s="2"/>
      <c r="F644" s="2"/>
      <c r="G644" s="27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</row>
    <row r="645" spans="1:70" ht="14.25" customHeight="1" x14ac:dyDescent="0.35">
      <c r="A645" s="2"/>
      <c r="B645" s="2"/>
      <c r="C645" s="2"/>
      <c r="D645" s="2"/>
      <c r="E645" s="2"/>
      <c r="F645" s="2"/>
      <c r="G645" s="27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</row>
    <row r="646" spans="1:70" ht="14.25" customHeight="1" x14ac:dyDescent="0.35">
      <c r="A646" s="2"/>
      <c r="B646" s="2"/>
      <c r="C646" s="2"/>
      <c r="D646" s="2"/>
      <c r="E646" s="2"/>
      <c r="F646" s="2"/>
      <c r="G646" s="27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</row>
    <row r="647" spans="1:70" ht="14.25" customHeight="1" x14ac:dyDescent="0.35">
      <c r="A647" s="2"/>
      <c r="B647" s="2"/>
      <c r="C647" s="2"/>
      <c r="D647" s="2"/>
      <c r="E647" s="2"/>
      <c r="F647" s="2"/>
      <c r="G647" s="27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</row>
    <row r="648" spans="1:70" ht="14.25" customHeight="1" x14ac:dyDescent="0.35">
      <c r="A648" s="2"/>
      <c r="B648" s="2"/>
      <c r="C648" s="2"/>
      <c r="D648" s="2"/>
      <c r="E648" s="2"/>
      <c r="F648" s="2"/>
      <c r="G648" s="27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</row>
    <row r="649" spans="1:70" ht="14.25" customHeight="1" x14ac:dyDescent="0.35">
      <c r="A649" s="2"/>
      <c r="B649" s="2"/>
      <c r="C649" s="2"/>
      <c r="D649" s="2"/>
      <c r="E649" s="2"/>
      <c r="F649" s="2"/>
      <c r="G649" s="27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</row>
    <row r="650" spans="1:70" ht="14.25" customHeight="1" x14ac:dyDescent="0.35">
      <c r="A650" s="2"/>
      <c r="B650" s="2"/>
      <c r="C650" s="2"/>
      <c r="D650" s="2"/>
      <c r="E650" s="2"/>
      <c r="F650" s="2"/>
      <c r="G650" s="27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</row>
    <row r="651" spans="1:70" ht="14.25" customHeight="1" x14ac:dyDescent="0.35">
      <c r="A651" s="2"/>
      <c r="B651" s="2"/>
      <c r="C651" s="2"/>
      <c r="D651" s="2"/>
      <c r="E651" s="2"/>
      <c r="F651" s="2"/>
      <c r="G651" s="27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</row>
    <row r="652" spans="1:70" ht="14.25" customHeight="1" x14ac:dyDescent="0.35">
      <c r="A652" s="2"/>
      <c r="B652" s="2"/>
      <c r="C652" s="2"/>
      <c r="D652" s="2"/>
      <c r="E652" s="2"/>
      <c r="F652" s="2"/>
      <c r="G652" s="27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</row>
    <row r="653" spans="1:70" ht="14.25" customHeight="1" x14ac:dyDescent="0.35">
      <c r="A653" s="2"/>
      <c r="B653" s="2"/>
      <c r="C653" s="2"/>
      <c r="D653" s="2"/>
      <c r="E653" s="2"/>
      <c r="F653" s="2"/>
      <c r="G653" s="27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</row>
    <row r="654" spans="1:70" ht="14.25" customHeight="1" x14ac:dyDescent="0.35">
      <c r="A654" s="2"/>
      <c r="B654" s="2"/>
      <c r="C654" s="2"/>
      <c r="D654" s="2"/>
      <c r="E654" s="2"/>
      <c r="F654" s="2"/>
      <c r="G654" s="27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</row>
    <row r="655" spans="1:70" ht="14.25" customHeight="1" x14ac:dyDescent="0.35">
      <c r="A655" s="2"/>
      <c r="B655" s="2"/>
      <c r="C655" s="2"/>
      <c r="D655" s="2"/>
      <c r="E655" s="2"/>
      <c r="F655" s="2"/>
      <c r="G655" s="27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</row>
    <row r="656" spans="1:70" ht="14.25" customHeight="1" x14ac:dyDescent="0.35">
      <c r="A656" s="2"/>
      <c r="B656" s="2"/>
      <c r="C656" s="2"/>
      <c r="D656" s="2"/>
      <c r="E656" s="2"/>
      <c r="F656" s="2"/>
      <c r="G656" s="27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</row>
    <row r="657" spans="1:70" ht="14.25" customHeight="1" x14ac:dyDescent="0.35">
      <c r="A657" s="2"/>
      <c r="B657" s="2"/>
      <c r="C657" s="2"/>
      <c r="D657" s="2"/>
      <c r="E657" s="2"/>
      <c r="F657" s="2"/>
      <c r="G657" s="27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</row>
    <row r="658" spans="1:70" ht="14.25" customHeight="1" x14ac:dyDescent="0.35">
      <c r="A658" s="2"/>
      <c r="B658" s="2"/>
      <c r="C658" s="2"/>
      <c r="D658" s="2"/>
      <c r="E658" s="2"/>
      <c r="F658" s="2"/>
      <c r="G658" s="27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</row>
    <row r="659" spans="1:70" ht="14.25" customHeight="1" x14ac:dyDescent="0.35">
      <c r="A659" s="2"/>
      <c r="B659" s="2"/>
      <c r="C659" s="2"/>
      <c r="D659" s="2"/>
      <c r="E659" s="2"/>
      <c r="F659" s="2"/>
      <c r="G659" s="27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</row>
    <row r="660" spans="1:70" ht="14.25" customHeight="1" x14ac:dyDescent="0.35">
      <c r="A660" s="2"/>
      <c r="B660" s="2"/>
      <c r="C660" s="2"/>
      <c r="D660" s="2"/>
      <c r="E660" s="2"/>
      <c r="F660" s="2"/>
      <c r="G660" s="27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</row>
    <row r="661" spans="1:70" ht="14.25" customHeight="1" x14ac:dyDescent="0.35">
      <c r="A661" s="2"/>
      <c r="B661" s="2"/>
      <c r="C661" s="2"/>
      <c r="D661" s="2"/>
      <c r="E661" s="2"/>
      <c r="F661" s="2"/>
      <c r="G661" s="27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</row>
    <row r="662" spans="1:70" ht="14.25" customHeight="1" x14ac:dyDescent="0.35">
      <c r="A662" s="2"/>
      <c r="B662" s="2"/>
      <c r="C662" s="2"/>
      <c r="D662" s="2"/>
      <c r="E662" s="2"/>
      <c r="F662" s="2"/>
      <c r="G662" s="27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</row>
    <row r="663" spans="1:70" ht="14.25" customHeight="1" x14ac:dyDescent="0.35">
      <c r="A663" s="2"/>
      <c r="B663" s="2"/>
      <c r="C663" s="2"/>
      <c r="D663" s="2"/>
      <c r="E663" s="2"/>
      <c r="F663" s="2"/>
      <c r="G663" s="27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</row>
    <row r="664" spans="1:70" ht="14.25" customHeight="1" x14ac:dyDescent="0.35">
      <c r="A664" s="2"/>
      <c r="B664" s="2"/>
      <c r="C664" s="2"/>
      <c r="D664" s="2"/>
      <c r="E664" s="2"/>
      <c r="F664" s="2"/>
      <c r="G664" s="27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</row>
    <row r="665" spans="1:70" ht="14.25" customHeight="1" x14ac:dyDescent="0.35">
      <c r="A665" s="2"/>
      <c r="B665" s="2"/>
      <c r="C665" s="2"/>
      <c r="D665" s="2"/>
      <c r="E665" s="2"/>
      <c r="F665" s="2"/>
      <c r="G665" s="27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</row>
    <row r="666" spans="1:70" ht="14.25" customHeight="1" x14ac:dyDescent="0.35">
      <c r="A666" s="2"/>
      <c r="B666" s="2"/>
      <c r="C666" s="2"/>
      <c r="D666" s="2"/>
      <c r="E666" s="2"/>
      <c r="F666" s="2"/>
      <c r="G666" s="27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</row>
    <row r="667" spans="1:70" ht="14.25" customHeight="1" x14ac:dyDescent="0.35">
      <c r="A667" s="2"/>
      <c r="B667" s="2"/>
      <c r="C667" s="2"/>
      <c r="D667" s="2"/>
      <c r="E667" s="2"/>
      <c r="F667" s="2"/>
      <c r="G667" s="27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</row>
    <row r="668" spans="1:70" ht="14.25" customHeight="1" x14ac:dyDescent="0.35">
      <c r="A668" s="2"/>
      <c r="B668" s="2"/>
      <c r="C668" s="2"/>
      <c r="D668" s="2"/>
      <c r="E668" s="2"/>
      <c r="F668" s="2"/>
      <c r="G668" s="27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</row>
    <row r="669" spans="1:70" ht="14.25" customHeight="1" x14ac:dyDescent="0.35">
      <c r="A669" s="2"/>
      <c r="B669" s="2"/>
      <c r="C669" s="2"/>
      <c r="D669" s="2"/>
      <c r="E669" s="2"/>
      <c r="F669" s="2"/>
      <c r="G669" s="27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</row>
    <row r="670" spans="1:70" ht="14.25" customHeight="1" x14ac:dyDescent="0.35">
      <c r="A670" s="2"/>
      <c r="B670" s="2"/>
      <c r="C670" s="2"/>
      <c r="D670" s="2"/>
      <c r="E670" s="2"/>
      <c r="F670" s="2"/>
      <c r="G670" s="27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</row>
    <row r="671" spans="1:70" ht="14.25" customHeight="1" x14ac:dyDescent="0.35">
      <c r="A671" s="2"/>
      <c r="B671" s="2"/>
      <c r="C671" s="2"/>
      <c r="D671" s="2"/>
      <c r="E671" s="2"/>
      <c r="F671" s="2"/>
      <c r="G671" s="27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</row>
    <row r="672" spans="1:70" ht="14.25" customHeight="1" x14ac:dyDescent="0.35">
      <c r="A672" s="2"/>
      <c r="B672" s="2"/>
      <c r="C672" s="2"/>
      <c r="D672" s="2"/>
      <c r="E672" s="2"/>
      <c r="F672" s="2"/>
      <c r="G672" s="27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</row>
    <row r="673" spans="1:70" ht="14.25" customHeight="1" x14ac:dyDescent="0.35">
      <c r="A673" s="2"/>
      <c r="B673" s="2"/>
      <c r="C673" s="2"/>
      <c r="D673" s="2"/>
      <c r="E673" s="2"/>
      <c r="F673" s="2"/>
      <c r="G673" s="27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</row>
    <row r="674" spans="1:70" ht="14.25" customHeight="1" x14ac:dyDescent="0.35">
      <c r="A674" s="2"/>
      <c r="B674" s="2"/>
      <c r="C674" s="2"/>
      <c r="D674" s="2"/>
      <c r="E674" s="2"/>
      <c r="F674" s="2"/>
      <c r="G674" s="27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</row>
    <row r="675" spans="1:70" ht="14.25" customHeight="1" x14ac:dyDescent="0.35">
      <c r="A675" s="2"/>
      <c r="B675" s="2"/>
      <c r="C675" s="2"/>
      <c r="D675" s="2"/>
      <c r="E675" s="2"/>
      <c r="F675" s="2"/>
      <c r="G675" s="27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</row>
    <row r="676" spans="1:70" ht="14.25" customHeight="1" x14ac:dyDescent="0.35">
      <c r="A676" s="2"/>
      <c r="B676" s="2"/>
      <c r="C676" s="2"/>
      <c r="D676" s="2"/>
      <c r="E676" s="2"/>
      <c r="F676" s="2"/>
      <c r="G676" s="27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</row>
    <row r="677" spans="1:70" ht="14.25" customHeight="1" x14ac:dyDescent="0.35">
      <c r="A677" s="2"/>
      <c r="B677" s="2"/>
      <c r="C677" s="2"/>
      <c r="D677" s="2"/>
      <c r="E677" s="2"/>
      <c r="F677" s="2"/>
      <c r="G677" s="27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</row>
    <row r="678" spans="1:70" ht="14.25" customHeight="1" x14ac:dyDescent="0.35">
      <c r="A678" s="2"/>
      <c r="B678" s="2"/>
      <c r="C678" s="2"/>
      <c r="D678" s="2"/>
      <c r="E678" s="2"/>
      <c r="F678" s="2"/>
      <c r="G678" s="27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</row>
    <row r="679" spans="1:70" ht="14.25" customHeight="1" x14ac:dyDescent="0.35">
      <c r="A679" s="2"/>
      <c r="B679" s="2"/>
      <c r="C679" s="2"/>
      <c r="D679" s="2"/>
      <c r="E679" s="2"/>
      <c r="F679" s="2"/>
      <c r="G679" s="27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</row>
    <row r="680" spans="1:70" ht="14.25" customHeight="1" x14ac:dyDescent="0.35">
      <c r="A680" s="2"/>
      <c r="B680" s="2"/>
      <c r="C680" s="2"/>
      <c r="D680" s="2"/>
      <c r="E680" s="2"/>
      <c r="F680" s="2"/>
      <c r="G680" s="27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</row>
    <row r="681" spans="1:70" ht="14.25" customHeight="1" x14ac:dyDescent="0.35">
      <c r="A681" s="2"/>
      <c r="B681" s="2"/>
      <c r="C681" s="2"/>
      <c r="D681" s="2"/>
      <c r="E681" s="2"/>
      <c r="F681" s="2"/>
      <c r="G681" s="27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</row>
    <row r="682" spans="1:70" ht="14.25" customHeight="1" x14ac:dyDescent="0.35">
      <c r="A682" s="2"/>
      <c r="B682" s="2"/>
      <c r="C682" s="2"/>
      <c r="D682" s="2"/>
      <c r="E682" s="2"/>
      <c r="F682" s="2"/>
      <c r="G682" s="27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</row>
    <row r="683" spans="1:70" ht="14.25" customHeight="1" x14ac:dyDescent="0.35">
      <c r="A683" s="2"/>
      <c r="B683" s="2"/>
      <c r="C683" s="2"/>
      <c r="D683" s="2"/>
      <c r="E683" s="2"/>
      <c r="F683" s="2"/>
      <c r="G683" s="27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</row>
    <row r="684" spans="1:70" ht="14.25" customHeight="1" x14ac:dyDescent="0.35">
      <c r="A684" s="2"/>
      <c r="B684" s="2"/>
      <c r="C684" s="2"/>
      <c r="D684" s="2"/>
      <c r="E684" s="2"/>
      <c r="F684" s="2"/>
      <c r="G684" s="27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</row>
    <row r="685" spans="1:70" ht="14.25" customHeight="1" x14ac:dyDescent="0.35">
      <c r="A685" s="2"/>
      <c r="B685" s="2"/>
      <c r="C685" s="2"/>
      <c r="D685" s="2"/>
      <c r="E685" s="2"/>
      <c r="F685" s="2"/>
      <c r="G685" s="27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</row>
    <row r="686" spans="1:70" ht="14.25" customHeight="1" x14ac:dyDescent="0.35">
      <c r="A686" s="2"/>
      <c r="B686" s="2"/>
      <c r="C686" s="2"/>
      <c r="D686" s="2"/>
      <c r="E686" s="2"/>
      <c r="F686" s="2"/>
      <c r="G686" s="27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</row>
    <row r="687" spans="1:70" ht="14.25" customHeight="1" x14ac:dyDescent="0.35">
      <c r="A687" s="2"/>
      <c r="B687" s="2"/>
      <c r="C687" s="2"/>
      <c r="D687" s="2"/>
      <c r="E687" s="2"/>
      <c r="F687" s="2"/>
      <c r="G687" s="27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</row>
    <row r="688" spans="1:70" ht="14.25" customHeight="1" x14ac:dyDescent="0.35">
      <c r="A688" s="2"/>
      <c r="B688" s="2"/>
      <c r="C688" s="2"/>
      <c r="D688" s="2"/>
      <c r="E688" s="2"/>
      <c r="F688" s="2"/>
      <c r="G688" s="27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</row>
    <row r="689" spans="1:70" ht="14.25" customHeight="1" x14ac:dyDescent="0.35">
      <c r="A689" s="2"/>
      <c r="B689" s="2"/>
      <c r="C689" s="2"/>
      <c r="D689" s="2"/>
      <c r="E689" s="2"/>
      <c r="F689" s="2"/>
      <c r="G689" s="27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</row>
    <row r="690" spans="1:70" ht="14.25" customHeight="1" x14ac:dyDescent="0.35">
      <c r="A690" s="2"/>
      <c r="B690" s="2"/>
      <c r="C690" s="2"/>
      <c r="D690" s="2"/>
      <c r="E690" s="2"/>
      <c r="F690" s="2"/>
      <c r="G690" s="27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</row>
    <row r="691" spans="1:70" ht="14.25" customHeight="1" x14ac:dyDescent="0.35">
      <c r="A691" s="2"/>
      <c r="B691" s="2"/>
      <c r="C691" s="2"/>
      <c r="D691" s="2"/>
      <c r="E691" s="2"/>
      <c r="F691" s="2"/>
      <c r="G691" s="27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</row>
    <row r="692" spans="1:70" ht="14.25" customHeight="1" x14ac:dyDescent="0.35">
      <c r="A692" s="2"/>
      <c r="B692" s="2"/>
      <c r="C692" s="2"/>
      <c r="D692" s="2"/>
      <c r="E692" s="2"/>
      <c r="F692" s="2"/>
      <c r="G692" s="27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</row>
    <row r="693" spans="1:70" ht="14.25" customHeight="1" x14ac:dyDescent="0.35">
      <c r="A693" s="2"/>
      <c r="B693" s="2"/>
      <c r="C693" s="2"/>
      <c r="D693" s="2"/>
      <c r="E693" s="2"/>
      <c r="F693" s="2"/>
      <c r="G693" s="27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</row>
    <row r="694" spans="1:70" ht="14.25" customHeight="1" x14ac:dyDescent="0.35">
      <c r="A694" s="2"/>
      <c r="B694" s="2"/>
      <c r="C694" s="2"/>
      <c r="D694" s="2"/>
      <c r="E694" s="2"/>
      <c r="F694" s="2"/>
      <c r="G694" s="27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</row>
    <row r="695" spans="1:70" ht="14.25" customHeight="1" x14ac:dyDescent="0.35">
      <c r="A695" s="2"/>
      <c r="B695" s="2"/>
      <c r="C695" s="2"/>
      <c r="D695" s="2"/>
      <c r="E695" s="2"/>
      <c r="F695" s="2"/>
      <c r="G695" s="27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</row>
    <row r="696" spans="1:70" ht="14.25" customHeight="1" x14ac:dyDescent="0.35">
      <c r="A696" s="2"/>
      <c r="B696" s="2"/>
      <c r="C696" s="2"/>
      <c r="D696" s="2"/>
      <c r="E696" s="2"/>
      <c r="F696" s="2"/>
      <c r="G696" s="27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</row>
    <row r="697" spans="1:70" ht="14.25" customHeight="1" x14ac:dyDescent="0.35">
      <c r="A697" s="2"/>
      <c r="B697" s="2"/>
      <c r="C697" s="2"/>
      <c r="D697" s="2"/>
      <c r="E697" s="2"/>
      <c r="F697" s="2"/>
      <c r="G697" s="27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</row>
    <row r="698" spans="1:70" ht="14.25" customHeight="1" x14ac:dyDescent="0.35">
      <c r="A698" s="2"/>
      <c r="B698" s="2"/>
      <c r="C698" s="2"/>
      <c r="D698" s="2"/>
      <c r="E698" s="2"/>
      <c r="F698" s="2"/>
      <c r="G698" s="27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</row>
    <row r="699" spans="1:70" ht="14.25" customHeight="1" x14ac:dyDescent="0.35">
      <c r="A699" s="2"/>
      <c r="B699" s="2"/>
      <c r="C699" s="2"/>
      <c r="D699" s="2"/>
      <c r="E699" s="2"/>
      <c r="F699" s="2"/>
      <c r="G699" s="27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</row>
    <row r="700" spans="1:70" ht="14.25" customHeight="1" x14ac:dyDescent="0.35">
      <c r="A700" s="2"/>
      <c r="B700" s="2"/>
      <c r="C700" s="2"/>
      <c r="D700" s="2"/>
      <c r="E700" s="2"/>
      <c r="F700" s="2"/>
      <c r="G700" s="27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</row>
    <row r="701" spans="1:70" ht="14.25" customHeight="1" x14ac:dyDescent="0.35">
      <c r="A701" s="2"/>
      <c r="B701" s="2"/>
      <c r="C701" s="2"/>
      <c r="D701" s="2"/>
      <c r="E701" s="2"/>
      <c r="F701" s="2"/>
      <c r="G701" s="27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</row>
    <row r="702" spans="1:70" ht="14.25" customHeight="1" x14ac:dyDescent="0.35">
      <c r="A702" s="2"/>
      <c r="B702" s="2"/>
      <c r="C702" s="2"/>
      <c r="D702" s="2"/>
      <c r="E702" s="2"/>
      <c r="F702" s="2"/>
      <c r="G702" s="27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</row>
    <row r="703" spans="1:70" ht="14.25" customHeight="1" x14ac:dyDescent="0.35">
      <c r="A703" s="2"/>
      <c r="B703" s="2"/>
      <c r="C703" s="2"/>
      <c r="D703" s="2"/>
      <c r="E703" s="2"/>
      <c r="F703" s="2"/>
      <c r="G703" s="27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</row>
    <row r="704" spans="1:70" ht="14.25" customHeight="1" x14ac:dyDescent="0.35">
      <c r="A704" s="2"/>
      <c r="B704" s="2"/>
      <c r="C704" s="2"/>
      <c r="D704" s="2"/>
      <c r="E704" s="2"/>
      <c r="F704" s="2"/>
      <c r="G704" s="27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</row>
    <row r="705" spans="1:70" ht="14.25" customHeight="1" x14ac:dyDescent="0.35">
      <c r="A705" s="2"/>
      <c r="B705" s="2"/>
      <c r="C705" s="2"/>
      <c r="D705" s="2"/>
      <c r="E705" s="2"/>
      <c r="F705" s="2"/>
      <c r="G705" s="27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</row>
    <row r="706" spans="1:70" ht="14.25" customHeight="1" x14ac:dyDescent="0.35">
      <c r="A706" s="2"/>
      <c r="B706" s="2"/>
      <c r="C706" s="2"/>
      <c r="D706" s="2"/>
      <c r="E706" s="2"/>
      <c r="F706" s="2"/>
      <c r="G706" s="27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</row>
    <row r="707" spans="1:70" ht="14.25" customHeight="1" x14ac:dyDescent="0.35">
      <c r="A707" s="2"/>
      <c r="B707" s="2"/>
      <c r="C707" s="2"/>
      <c r="D707" s="2"/>
      <c r="E707" s="2"/>
      <c r="F707" s="2"/>
      <c r="G707" s="27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</row>
    <row r="708" spans="1:70" ht="14.25" customHeight="1" x14ac:dyDescent="0.35">
      <c r="A708" s="2"/>
      <c r="B708" s="2"/>
      <c r="C708" s="2"/>
      <c r="D708" s="2"/>
      <c r="E708" s="2"/>
      <c r="F708" s="2"/>
      <c r="G708" s="27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</row>
    <row r="709" spans="1:70" ht="14.25" customHeight="1" x14ac:dyDescent="0.35">
      <c r="A709" s="2"/>
      <c r="B709" s="2"/>
      <c r="C709" s="2"/>
      <c r="D709" s="2"/>
      <c r="E709" s="2"/>
      <c r="F709" s="2"/>
      <c r="G709" s="27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</row>
    <row r="710" spans="1:70" ht="14.25" customHeight="1" x14ac:dyDescent="0.35">
      <c r="A710" s="2"/>
      <c r="B710" s="2"/>
      <c r="C710" s="2"/>
      <c r="D710" s="2"/>
      <c r="E710" s="2"/>
      <c r="F710" s="2"/>
      <c r="G710" s="27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</row>
    <row r="711" spans="1:70" ht="14.25" customHeight="1" x14ac:dyDescent="0.35">
      <c r="A711" s="2"/>
      <c r="B711" s="2"/>
      <c r="C711" s="2"/>
      <c r="D711" s="2"/>
      <c r="E711" s="2"/>
      <c r="F711" s="2"/>
      <c r="G711" s="27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</row>
    <row r="712" spans="1:70" ht="14.25" customHeight="1" x14ac:dyDescent="0.35">
      <c r="A712" s="2"/>
      <c r="B712" s="2"/>
      <c r="C712" s="2"/>
      <c r="D712" s="2"/>
      <c r="E712" s="2"/>
      <c r="F712" s="2"/>
      <c r="G712" s="27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</row>
    <row r="713" spans="1:70" ht="14.25" customHeight="1" x14ac:dyDescent="0.35">
      <c r="A713" s="2"/>
      <c r="B713" s="2"/>
      <c r="C713" s="2"/>
      <c r="D713" s="2"/>
      <c r="E713" s="2"/>
      <c r="F713" s="2"/>
      <c r="G713" s="27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</row>
    <row r="714" spans="1:70" ht="14.25" customHeight="1" x14ac:dyDescent="0.35">
      <c r="A714" s="2"/>
      <c r="B714" s="2"/>
      <c r="C714" s="2"/>
      <c r="D714" s="2"/>
      <c r="E714" s="2"/>
      <c r="F714" s="2"/>
      <c r="G714" s="27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</row>
    <row r="715" spans="1:70" ht="14.25" customHeight="1" x14ac:dyDescent="0.35">
      <c r="A715" s="2"/>
      <c r="B715" s="2"/>
      <c r="C715" s="2"/>
      <c r="D715" s="2"/>
      <c r="E715" s="2"/>
      <c r="F715" s="2"/>
      <c r="G715" s="27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</row>
    <row r="716" spans="1:70" ht="14.25" customHeight="1" x14ac:dyDescent="0.35">
      <c r="A716" s="2"/>
      <c r="B716" s="2"/>
      <c r="C716" s="2"/>
      <c r="D716" s="2"/>
      <c r="E716" s="2"/>
      <c r="F716" s="2"/>
      <c r="G716" s="27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</row>
    <row r="717" spans="1:70" ht="14.25" customHeight="1" x14ac:dyDescent="0.35">
      <c r="A717" s="2"/>
      <c r="B717" s="2"/>
      <c r="C717" s="2"/>
      <c r="D717" s="2"/>
      <c r="E717" s="2"/>
      <c r="F717" s="2"/>
      <c r="G717" s="27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</row>
    <row r="718" spans="1:70" ht="14.25" customHeight="1" x14ac:dyDescent="0.35">
      <c r="A718" s="2"/>
      <c r="B718" s="2"/>
      <c r="C718" s="2"/>
      <c r="D718" s="2"/>
      <c r="E718" s="2"/>
      <c r="F718" s="2"/>
      <c r="G718" s="27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</row>
    <row r="719" spans="1:70" ht="14.25" customHeight="1" x14ac:dyDescent="0.35">
      <c r="A719" s="2"/>
      <c r="B719" s="2"/>
      <c r="C719" s="2"/>
      <c r="D719" s="2"/>
      <c r="E719" s="2"/>
      <c r="F719" s="2"/>
      <c r="G719" s="27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</row>
    <row r="720" spans="1:70" ht="14.25" customHeight="1" x14ac:dyDescent="0.35">
      <c r="A720" s="2"/>
      <c r="B720" s="2"/>
      <c r="C720" s="2"/>
      <c r="D720" s="2"/>
      <c r="E720" s="2"/>
      <c r="F720" s="2"/>
      <c r="G720" s="27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</row>
    <row r="721" spans="1:70" ht="14.25" customHeight="1" x14ac:dyDescent="0.35">
      <c r="A721" s="2"/>
      <c r="B721" s="2"/>
      <c r="C721" s="2"/>
      <c r="D721" s="2"/>
      <c r="E721" s="2"/>
      <c r="F721" s="2"/>
      <c r="G721" s="27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</row>
    <row r="722" spans="1:70" ht="14.25" customHeight="1" x14ac:dyDescent="0.35">
      <c r="A722" s="2"/>
      <c r="B722" s="2"/>
      <c r="C722" s="2"/>
      <c r="D722" s="2"/>
      <c r="E722" s="2"/>
      <c r="F722" s="2"/>
      <c r="G722" s="27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</row>
    <row r="723" spans="1:70" ht="14.25" customHeight="1" x14ac:dyDescent="0.35">
      <c r="A723" s="2"/>
      <c r="B723" s="2"/>
      <c r="C723" s="2"/>
      <c r="D723" s="2"/>
      <c r="E723" s="2"/>
      <c r="F723" s="2"/>
      <c r="G723" s="27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</row>
    <row r="724" spans="1:70" ht="14.25" customHeight="1" x14ac:dyDescent="0.35">
      <c r="A724" s="2"/>
      <c r="B724" s="2"/>
      <c r="C724" s="2"/>
      <c r="D724" s="2"/>
      <c r="E724" s="2"/>
      <c r="F724" s="2"/>
      <c r="G724" s="27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</row>
    <row r="725" spans="1:70" ht="14.25" customHeight="1" x14ac:dyDescent="0.35">
      <c r="A725" s="2"/>
      <c r="B725" s="2"/>
      <c r="C725" s="2"/>
      <c r="D725" s="2"/>
      <c r="E725" s="2"/>
      <c r="F725" s="2"/>
      <c r="G725" s="27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</row>
    <row r="726" spans="1:70" ht="14.25" customHeight="1" x14ac:dyDescent="0.35">
      <c r="A726" s="2"/>
      <c r="B726" s="2"/>
      <c r="C726" s="2"/>
      <c r="D726" s="2"/>
      <c r="E726" s="2"/>
      <c r="F726" s="2"/>
      <c r="G726" s="27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</row>
    <row r="727" spans="1:70" ht="14.25" customHeight="1" x14ac:dyDescent="0.35">
      <c r="A727" s="2"/>
      <c r="B727" s="2"/>
      <c r="C727" s="2"/>
      <c r="D727" s="2"/>
      <c r="E727" s="2"/>
      <c r="F727" s="2"/>
      <c r="G727" s="27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</row>
    <row r="728" spans="1:70" ht="14.25" customHeight="1" x14ac:dyDescent="0.35">
      <c r="A728" s="2"/>
      <c r="B728" s="2"/>
      <c r="C728" s="2"/>
      <c r="D728" s="2"/>
      <c r="E728" s="2"/>
      <c r="F728" s="2"/>
      <c r="G728" s="27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</row>
    <row r="729" spans="1:70" ht="14.25" customHeight="1" x14ac:dyDescent="0.35">
      <c r="A729" s="2"/>
      <c r="B729" s="2"/>
      <c r="C729" s="2"/>
      <c r="D729" s="2"/>
      <c r="E729" s="2"/>
      <c r="F729" s="2"/>
      <c r="G729" s="27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</row>
    <row r="730" spans="1:70" ht="14.25" customHeight="1" x14ac:dyDescent="0.35">
      <c r="A730" s="2"/>
      <c r="B730" s="2"/>
      <c r="C730" s="2"/>
      <c r="D730" s="2"/>
      <c r="E730" s="2"/>
      <c r="F730" s="2"/>
      <c r="G730" s="27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</row>
    <row r="731" spans="1:70" ht="14.25" customHeight="1" x14ac:dyDescent="0.35">
      <c r="A731" s="2"/>
      <c r="B731" s="2"/>
      <c r="C731" s="2"/>
      <c r="D731" s="2"/>
      <c r="E731" s="2"/>
      <c r="F731" s="2"/>
      <c r="G731" s="27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</row>
    <row r="732" spans="1:70" ht="14.25" customHeight="1" x14ac:dyDescent="0.35">
      <c r="A732" s="2"/>
      <c r="B732" s="2"/>
      <c r="C732" s="2"/>
      <c r="D732" s="2"/>
      <c r="E732" s="2"/>
      <c r="F732" s="2"/>
      <c r="G732" s="27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</row>
    <row r="733" spans="1:70" ht="14.25" customHeight="1" x14ac:dyDescent="0.35">
      <c r="A733" s="2"/>
      <c r="B733" s="2"/>
      <c r="C733" s="2"/>
      <c r="D733" s="2"/>
      <c r="E733" s="2"/>
      <c r="F733" s="2"/>
      <c r="G733" s="27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</row>
    <row r="734" spans="1:70" ht="14.25" customHeight="1" x14ac:dyDescent="0.35">
      <c r="A734" s="2"/>
      <c r="B734" s="2"/>
      <c r="C734" s="2"/>
      <c r="D734" s="2"/>
      <c r="E734" s="2"/>
      <c r="F734" s="2"/>
      <c r="G734" s="27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</row>
    <row r="735" spans="1:70" ht="14.25" customHeight="1" x14ac:dyDescent="0.35">
      <c r="A735" s="2"/>
      <c r="B735" s="2"/>
      <c r="C735" s="2"/>
      <c r="D735" s="2"/>
      <c r="E735" s="2"/>
      <c r="F735" s="2"/>
      <c r="G735" s="27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</row>
    <row r="736" spans="1:70" ht="14.25" customHeight="1" x14ac:dyDescent="0.35">
      <c r="A736" s="2"/>
      <c r="B736" s="2"/>
      <c r="C736" s="2"/>
      <c r="D736" s="2"/>
      <c r="E736" s="2"/>
      <c r="F736" s="2"/>
      <c r="G736" s="27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</row>
    <row r="737" spans="1:70" ht="14.25" customHeight="1" x14ac:dyDescent="0.35">
      <c r="A737" s="2"/>
      <c r="B737" s="2"/>
      <c r="C737" s="2"/>
      <c r="D737" s="2"/>
      <c r="E737" s="2"/>
      <c r="F737" s="2"/>
      <c r="G737" s="27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</row>
    <row r="738" spans="1:70" ht="14.25" customHeight="1" x14ac:dyDescent="0.35">
      <c r="A738" s="2"/>
      <c r="B738" s="2"/>
      <c r="C738" s="2"/>
      <c r="D738" s="2"/>
      <c r="E738" s="2"/>
      <c r="F738" s="2"/>
      <c r="G738" s="27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</row>
    <row r="739" spans="1:70" ht="14.25" customHeight="1" x14ac:dyDescent="0.35">
      <c r="A739" s="2"/>
      <c r="B739" s="2"/>
      <c r="C739" s="2"/>
      <c r="D739" s="2"/>
      <c r="E739" s="2"/>
      <c r="F739" s="2"/>
      <c r="G739" s="27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</row>
    <row r="740" spans="1:70" ht="14.25" customHeight="1" x14ac:dyDescent="0.35">
      <c r="A740" s="2"/>
      <c r="B740" s="2"/>
      <c r="C740" s="2"/>
      <c r="D740" s="2"/>
      <c r="E740" s="2"/>
      <c r="F740" s="2"/>
      <c r="G740" s="27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</row>
    <row r="741" spans="1:70" ht="14.25" customHeight="1" x14ac:dyDescent="0.35">
      <c r="A741" s="2"/>
      <c r="B741" s="2"/>
      <c r="C741" s="2"/>
      <c r="D741" s="2"/>
      <c r="E741" s="2"/>
      <c r="F741" s="2"/>
      <c r="G741" s="27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</row>
    <row r="742" spans="1:70" ht="14.25" customHeight="1" x14ac:dyDescent="0.35">
      <c r="A742" s="2"/>
      <c r="B742" s="2"/>
      <c r="C742" s="2"/>
      <c r="D742" s="2"/>
      <c r="E742" s="2"/>
      <c r="F742" s="2"/>
      <c r="G742" s="27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</row>
    <row r="743" spans="1:70" ht="14.25" customHeight="1" x14ac:dyDescent="0.35">
      <c r="A743" s="2"/>
      <c r="B743" s="2"/>
      <c r="C743" s="2"/>
      <c r="D743" s="2"/>
      <c r="E743" s="2"/>
      <c r="F743" s="2"/>
      <c r="G743" s="27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</row>
    <row r="744" spans="1:70" ht="14.25" customHeight="1" x14ac:dyDescent="0.35">
      <c r="A744" s="2"/>
      <c r="B744" s="2"/>
      <c r="C744" s="2"/>
      <c r="D744" s="2"/>
      <c r="E744" s="2"/>
      <c r="F744" s="2"/>
      <c r="G744" s="27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</row>
    <row r="745" spans="1:70" ht="14.25" customHeight="1" x14ac:dyDescent="0.35">
      <c r="A745" s="2"/>
      <c r="B745" s="2"/>
      <c r="C745" s="2"/>
      <c r="D745" s="2"/>
      <c r="E745" s="2"/>
      <c r="F745" s="2"/>
      <c r="G745" s="27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</row>
    <row r="746" spans="1:70" ht="14.25" customHeight="1" x14ac:dyDescent="0.35">
      <c r="A746" s="2"/>
      <c r="B746" s="2"/>
      <c r="C746" s="2"/>
      <c r="D746" s="2"/>
      <c r="E746" s="2"/>
      <c r="F746" s="2"/>
      <c r="G746" s="27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</row>
    <row r="747" spans="1:70" ht="14.25" customHeight="1" x14ac:dyDescent="0.35">
      <c r="A747" s="2"/>
      <c r="B747" s="2"/>
      <c r="C747" s="2"/>
      <c r="D747" s="2"/>
      <c r="E747" s="2"/>
      <c r="F747" s="2"/>
      <c r="G747" s="27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</row>
    <row r="748" spans="1:70" ht="14.25" customHeight="1" x14ac:dyDescent="0.35">
      <c r="A748" s="2"/>
      <c r="B748" s="2"/>
      <c r="C748" s="2"/>
      <c r="D748" s="2"/>
      <c r="E748" s="2"/>
      <c r="F748" s="2"/>
      <c r="G748" s="27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</row>
    <row r="749" spans="1:70" ht="14.25" customHeight="1" x14ac:dyDescent="0.35">
      <c r="A749" s="2"/>
      <c r="B749" s="2"/>
      <c r="C749" s="2"/>
      <c r="D749" s="2"/>
      <c r="E749" s="2"/>
      <c r="F749" s="2"/>
      <c r="G749" s="27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</row>
    <row r="750" spans="1:70" ht="14.25" customHeight="1" x14ac:dyDescent="0.35">
      <c r="A750" s="2"/>
      <c r="B750" s="2"/>
      <c r="C750" s="2"/>
      <c r="D750" s="2"/>
      <c r="E750" s="2"/>
      <c r="F750" s="2"/>
      <c r="G750" s="27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</row>
    <row r="751" spans="1:70" ht="14.25" customHeight="1" x14ac:dyDescent="0.35">
      <c r="A751" s="2"/>
      <c r="B751" s="2"/>
      <c r="C751" s="2"/>
      <c r="D751" s="2"/>
      <c r="E751" s="2"/>
      <c r="F751" s="2"/>
      <c r="G751" s="27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</row>
    <row r="752" spans="1:70" ht="14.25" customHeight="1" x14ac:dyDescent="0.35">
      <c r="A752" s="2"/>
      <c r="B752" s="2"/>
      <c r="C752" s="2"/>
      <c r="D752" s="2"/>
      <c r="E752" s="2"/>
      <c r="F752" s="2"/>
      <c r="G752" s="27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</row>
    <row r="753" spans="1:70" ht="14.25" customHeight="1" x14ac:dyDescent="0.35">
      <c r="A753" s="2"/>
      <c r="B753" s="2"/>
      <c r="C753" s="2"/>
      <c r="D753" s="2"/>
      <c r="E753" s="2"/>
      <c r="F753" s="2"/>
      <c r="G753" s="27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</row>
    <row r="754" spans="1:70" ht="14.25" customHeight="1" x14ac:dyDescent="0.35">
      <c r="A754" s="2"/>
      <c r="B754" s="2"/>
      <c r="C754" s="2"/>
      <c r="D754" s="2"/>
      <c r="E754" s="2"/>
      <c r="F754" s="2"/>
      <c r="G754" s="27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</row>
    <row r="755" spans="1:70" ht="14.25" customHeight="1" x14ac:dyDescent="0.35">
      <c r="A755" s="2"/>
      <c r="B755" s="2"/>
      <c r="C755" s="2"/>
      <c r="D755" s="2"/>
      <c r="E755" s="2"/>
      <c r="F755" s="2"/>
      <c r="G755" s="27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</row>
    <row r="756" spans="1:70" ht="14.25" customHeight="1" x14ac:dyDescent="0.35">
      <c r="A756" s="2"/>
      <c r="B756" s="2"/>
      <c r="C756" s="2"/>
      <c r="D756" s="2"/>
      <c r="E756" s="2"/>
      <c r="F756" s="2"/>
      <c r="G756" s="27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</row>
    <row r="757" spans="1:70" ht="14.25" customHeight="1" x14ac:dyDescent="0.35">
      <c r="A757" s="2"/>
      <c r="B757" s="2"/>
      <c r="C757" s="2"/>
      <c r="D757" s="2"/>
      <c r="E757" s="2"/>
      <c r="F757" s="2"/>
      <c r="G757" s="27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</row>
    <row r="758" spans="1:70" ht="14.25" customHeight="1" x14ac:dyDescent="0.35">
      <c r="A758" s="2"/>
      <c r="B758" s="2"/>
      <c r="C758" s="2"/>
      <c r="D758" s="2"/>
      <c r="E758" s="2"/>
      <c r="F758" s="2"/>
      <c r="G758" s="27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</row>
    <row r="759" spans="1:70" ht="14.25" customHeight="1" x14ac:dyDescent="0.35">
      <c r="A759" s="2"/>
      <c r="B759" s="2"/>
      <c r="C759" s="2"/>
      <c r="D759" s="2"/>
      <c r="E759" s="2"/>
      <c r="F759" s="2"/>
      <c r="G759" s="27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</row>
    <row r="760" spans="1:70" ht="14.25" customHeight="1" x14ac:dyDescent="0.35">
      <c r="A760" s="2"/>
      <c r="B760" s="2"/>
      <c r="C760" s="2"/>
      <c r="D760" s="2"/>
      <c r="E760" s="2"/>
      <c r="F760" s="2"/>
      <c r="G760" s="27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</row>
    <row r="761" spans="1:70" ht="14.25" customHeight="1" x14ac:dyDescent="0.35">
      <c r="A761" s="2"/>
      <c r="B761" s="2"/>
      <c r="C761" s="2"/>
      <c r="D761" s="2"/>
      <c r="E761" s="2"/>
      <c r="F761" s="2"/>
      <c r="G761" s="27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</row>
    <row r="762" spans="1:70" ht="14.25" customHeight="1" x14ac:dyDescent="0.35">
      <c r="A762" s="2"/>
      <c r="B762" s="2"/>
      <c r="C762" s="2"/>
      <c r="D762" s="2"/>
      <c r="E762" s="2"/>
      <c r="F762" s="2"/>
      <c r="G762" s="27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</row>
    <row r="763" spans="1:70" ht="14.25" customHeight="1" x14ac:dyDescent="0.35">
      <c r="A763" s="2"/>
      <c r="B763" s="2"/>
      <c r="C763" s="2"/>
      <c r="D763" s="2"/>
      <c r="E763" s="2"/>
      <c r="F763" s="2"/>
      <c r="G763" s="27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</row>
    <row r="764" spans="1:70" ht="14.25" customHeight="1" x14ac:dyDescent="0.35">
      <c r="A764" s="2"/>
      <c r="B764" s="2"/>
      <c r="C764" s="2"/>
      <c r="D764" s="2"/>
      <c r="E764" s="2"/>
      <c r="F764" s="2"/>
      <c r="G764" s="27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</row>
    <row r="765" spans="1:70" ht="14.25" customHeight="1" x14ac:dyDescent="0.35">
      <c r="A765" s="2"/>
      <c r="B765" s="2"/>
      <c r="C765" s="2"/>
      <c r="D765" s="2"/>
      <c r="E765" s="2"/>
      <c r="F765" s="2"/>
      <c r="G765" s="27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</row>
    <row r="766" spans="1:70" ht="14.25" customHeight="1" x14ac:dyDescent="0.35">
      <c r="A766" s="2"/>
      <c r="B766" s="2"/>
      <c r="C766" s="2"/>
      <c r="D766" s="2"/>
      <c r="E766" s="2"/>
      <c r="F766" s="2"/>
      <c r="G766" s="27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</row>
    <row r="767" spans="1:70" ht="14.25" customHeight="1" x14ac:dyDescent="0.35">
      <c r="A767" s="2"/>
      <c r="B767" s="2"/>
      <c r="C767" s="2"/>
      <c r="D767" s="2"/>
      <c r="E767" s="2"/>
      <c r="F767" s="2"/>
      <c r="G767" s="27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</row>
    <row r="768" spans="1:70" ht="14.25" customHeight="1" x14ac:dyDescent="0.35">
      <c r="A768" s="2"/>
      <c r="B768" s="2"/>
      <c r="C768" s="2"/>
      <c r="D768" s="2"/>
      <c r="E768" s="2"/>
      <c r="F768" s="2"/>
      <c r="G768" s="27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</row>
    <row r="769" spans="1:70" ht="14.25" customHeight="1" x14ac:dyDescent="0.35">
      <c r="A769" s="2"/>
      <c r="B769" s="2"/>
      <c r="C769" s="2"/>
      <c r="D769" s="2"/>
      <c r="E769" s="2"/>
      <c r="F769" s="2"/>
      <c r="G769" s="27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</row>
    <row r="770" spans="1:70" ht="14.25" customHeight="1" x14ac:dyDescent="0.35">
      <c r="A770" s="2"/>
      <c r="B770" s="2"/>
      <c r="C770" s="2"/>
      <c r="D770" s="2"/>
      <c r="E770" s="2"/>
      <c r="F770" s="2"/>
      <c r="G770" s="27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</row>
    <row r="771" spans="1:70" ht="14.25" customHeight="1" x14ac:dyDescent="0.35">
      <c r="A771" s="2"/>
      <c r="B771" s="2"/>
      <c r="C771" s="2"/>
      <c r="D771" s="2"/>
      <c r="E771" s="2"/>
      <c r="F771" s="2"/>
      <c r="G771" s="27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</row>
    <row r="772" spans="1:70" ht="14.25" customHeight="1" x14ac:dyDescent="0.35">
      <c r="A772" s="2"/>
      <c r="B772" s="2"/>
      <c r="C772" s="2"/>
      <c r="D772" s="2"/>
      <c r="E772" s="2"/>
      <c r="F772" s="2"/>
      <c r="G772" s="27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</row>
    <row r="773" spans="1:70" ht="14.25" customHeight="1" x14ac:dyDescent="0.35">
      <c r="A773" s="2"/>
      <c r="B773" s="2"/>
      <c r="C773" s="2"/>
      <c r="D773" s="2"/>
      <c r="E773" s="2"/>
      <c r="F773" s="2"/>
      <c r="G773" s="27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</row>
    <row r="774" spans="1:70" ht="14.25" customHeight="1" x14ac:dyDescent="0.35">
      <c r="A774" s="2"/>
      <c r="B774" s="2"/>
      <c r="C774" s="2"/>
      <c r="D774" s="2"/>
      <c r="E774" s="2"/>
      <c r="F774" s="2"/>
      <c r="G774" s="27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</row>
    <row r="775" spans="1:70" ht="14.25" customHeight="1" x14ac:dyDescent="0.35">
      <c r="A775" s="2"/>
      <c r="B775" s="2"/>
      <c r="C775" s="2"/>
      <c r="D775" s="2"/>
      <c r="E775" s="2"/>
      <c r="F775" s="2"/>
      <c r="G775" s="27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</row>
    <row r="776" spans="1:70" ht="14.25" customHeight="1" x14ac:dyDescent="0.35">
      <c r="A776" s="2"/>
      <c r="B776" s="2"/>
      <c r="C776" s="2"/>
      <c r="D776" s="2"/>
      <c r="E776" s="2"/>
      <c r="F776" s="2"/>
      <c r="G776" s="27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</row>
    <row r="777" spans="1:70" ht="14.25" customHeight="1" x14ac:dyDescent="0.35">
      <c r="A777" s="2"/>
      <c r="B777" s="2"/>
      <c r="C777" s="2"/>
      <c r="D777" s="2"/>
      <c r="E777" s="2"/>
      <c r="F777" s="2"/>
      <c r="G777" s="27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</row>
    <row r="778" spans="1:70" ht="14.25" customHeight="1" x14ac:dyDescent="0.35">
      <c r="A778" s="2"/>
      <c r="B778" s="2"/>
      <c r="C778" s="2"/>
      <c r="D778" s="2"/>
      <c r="E778" s="2"/>
      <c r="F778" s="2"/>
      <c r="G778" s="27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</row>
    <row r="779" spans="1:70" ht="14.25" customHeight="1" x14ac:dyDescent="0.35">
      <c r="A779" s="2"/>
      <c r="B779" s="2"/>
      <c r="C779" s="2"/>
      <c r="D779" s="2"/>
      <c r="E779" s="2"/>
      <c r="F779" s="2"/>
      <c r="G779" s="27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</row>
    <row r="780" spans="1:70" ht="14.25" customHeight="1" x14ac:dyDescent="0.35">
      <c r="A780" s="2"/>
      <c r="B780" s="2"/>
      <c r="C780" s="2"/>
      <c r="D780" s="2"/>
      <c r="E780" s="2"/>
      <c r="F780" s="2"/>
      <c r="G780" s="27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</row>
    <row r="781" spans="1:70" ht="14.25" customHeight="1" x14ac:dyDescent="0.35">
      <c r="A781" s="2"/>
      <c r="B781" s="2"/>
      <c r="C781" s="2"/>
      <c r="D781" s="2"/>
      <c r="E781" s="2"/>
      <c r="F781" s="2"/>
      <c r="G781" s="27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</row>
    <row r="782" spans="1:70" ht="14.25" customHeight="1" x14ac:dyDescent="0.35">
      <c r="A782" s="2"/>
      <c r="B782" s="2"/>
      <c r="C782" s="2"/>
      <c r="D782" s="2"/>
      <c r="E782" s="2"/>
      <c r="F782" s="2"/>
      <c r="G782" s="27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</row>
    <row r="783" spans="1:70" ht="14.25" customHeight="1" x14ac:dyDescent="0.35">
      <c r="A783" s="2"/>
      <c r="B783" s="2"/>
      <c r="C783" s="2"/>
      <c r="D783" s="2"/>
      <c r="E783" s="2"/>
      <c r="F783" s="2"/>
      <c r="G783" s="27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</row>
    <row r="784" spans="1:70" ht="14.25" customHeight="1" x14ac:dyDescent="0.35">
      <c r="A784" s="2"/>
      <c r="B784" s="2"/>
      <c r="C784" s="2"/>
      <c r="D784" s="2"/>
      <c r="E784" s="2"/>
      <c r="F784" s="2"/>
      <c r="G784" s="27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</row>
    <row r="785" spans="1:70" ht="14.25" customHeight="1" x14ac:dyDescent="0.35">
      <c r="A785" s="2"/>
      <c r="B785" s="2"/>
      <c r="C785" s="2"/>
      <c r="D785" s="2"/>
      <c r="E785" s="2"/>
      <c r="F785" s="2"/>
      <c r="G785" s="27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</row>
    <row r="786" spans="1:70" ht="14.25" customHeight="1" x14ac:dyDescent="0.35">
      <c r="A786" s="2"/>
      <c r="B786" s="2"/>
      <c r="C786" s="2"/>
      <c r="D786" s="2"/>
      <c r="E786" s="2"/>
      <c r="F786" s="2"/>
      <c r="G786" s="27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</row>
    <row r="787" spans="1:70" ht="14.25" customHeight="1" x14ac:dyDescent="0.35">
      <c r="A787" s="2"/>
      <c r="B787" s="2"/>
      <c r="C787" s="2"/>
      <c r="D787" s="2"/>
      <c r="E787" s="2"/>
      <c r="F787" s="2"/>
      <c r="G787" s="27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</row>
    <row r="788" spans="1:70" ht="14.25" customHeight="1" x14ac:dyDescent="0.35">
      <c r="A788" s="2"/>
      <c r="B788" s="2"/>
      <c r="C788" s="2"/>
      <c r="D788" s="2"/>
      <c r="E788" s="2"/>
      <c r="F788" s="2"/>
      <c r="G788" s="27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</row>
    <row r="789" spans="1:70" ht="14.25" customHeight="1" x14ac:dyDescent="0.35">
      <c r="A789" s="2"/>
      <c r="B789" s="2"/>
      <c r="C789" s="2"/>
      <c r="D789" s="2"/>
      <c r="E789" s="2"/>
      <c r="F789" s="2"/>
      <c r="G789" s="27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</row>
    <row r="790" spans="1:70" ht="14.25" customHeight="1" x14ac:dyDescent="0.35">
      <c r="A790" s="2"/>
      <c r="B790" s="2"/>
      <c r="C790" s="2"/>
      <c r="D790" s="2"/>
      <c r="E790" s="2"/>
      <c r="F790" s="2"/>
      <c r="G790" s="27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</row>
    <row r="791" spans="1:70" ht="14.25" customHeight="1" x14ac:dyDescent="0.35">
      <c r="A791" s="2"/>
      <c r="B791" s="2"/>
      <c r="C791" s="2"/>
      <c r="D791" s="2"/>
      <c r="E791" s="2"/>
      <c r="F791" s="2"/>
      <c r="G791" s="27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</row>
    <row r="792" spans="1:70" ht="14.25" customHeight="1" x14ac:dyDescent="0.35">
      <c r="A792" s="2"/>
      <c r="B792" s="2"/>
      <c r="C792" s="2"/>
      <c r="D792" s="2"/>
      <c r="E792" s="2"/>
      <c r="F792" s="2"/>
      <c r="G792" s="27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</row>
    <row r="793" spans="1:70" ht="14.25" customHeight="1" x14ac:dyDescent="0.35">
      <c r="A793" s="2"/>
      <c r="B793" s="2"/>
      <c r="C793" s="2"/>
      <c r="D793" s="2"/>
      <c r="E793" s="2"/>
      <c r="F793" s="2"/>
      <c r="G793" s="27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</row>
    <row r="794" spans="1:70" ht="14.25" customHeight="1" x14ac:dyDescent="0.35">
      <c r="A794" s="2"/>
      <c r="B794" s="2"/>
      <c r="C794" s="2"/>
      <c r="D794" s="2"/>
      <c r="E794" s="2"/>
      <c r="F794" s="2"/>
      <c r="G794" s="27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</row>
    <row r="795" spans="1:70" ht="14.25" customHeight="1" x14ac:dyDescent="0.35">
      <c r="A795" s="2"/>
      <c r="B795" s="2"/>
      <c r="C795" s="2"/>
      <c r="D795" s="2"/>
      <c r="E795" s="2"/>
      <c r="F795" s="2"/>
      <c r="G795" s="27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</row>
    <row r="796" spans="1:70" ht="14.25" customHeight="1" x14ac:dyDescent="0.35">
      <c r="A796" s="2"/>
      <c r="B796" s="2"/>
      <c r="C796" s="2"/>
      <c r="D796" s="2"/>
      <c r="E796" s="2"/>
      <c r="F796" s="2"/>
      <c r="G796" s="27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</row>
    <row r="797" spans="1:70" ht="14.25" customHeight="1" x14ac:dyDescent="0.35">
      <c r="A797" s="2"/>
      <c r="B797" s="2"/>
      <c r="C797" s="2"/>
      <c r="D797" s="2"/>
      <c r="E797" s="2"/>
      <c r="F797" s="2"/>
      <c r="G797" s="27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</row>
    <row r="798" spans="1:70" ht="14.25" customHeight="1" x14ac:dyDescent="0.35">
      <c r="A798" s="2"/>
      <c r="B798" s="2"/>
      <c r="C798" s="2"/>
      <c r="D798" s="2"/>
      <c r="E798" s="2"/>
      <c r="F798" s="2"/>
      <c r="G798" s="27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</row>
    <row r="799" spans="1:70" ht="14.25" customHeight="1" x14ac:dyDescent="0.35">
      <c r="A799" s="2"/>
      <c r="B799" s="2"/>
      <c r="C799" s="2"/>
      <c r="D799" s="2"/>
      <c r="E799" s="2"/>
      <c r="F799" s="2"/>
      <c r="G799" s="27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</row>
    <row r="800" spans="1:70" ht="14.25" customHeight="1" x14ac:dyDescent="0.35">
      <c r="A800" s="2"/>
      <c r="B800" s="2"/>
      <c r="C800" s="2"/>
      <c r="D800" s="2"/>
      <c r="E800" s="2"/>
      <c r="F800" s="2"/>
      <c r="G800" s="27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</row>
    <row r="801" spans="1:70" ht="14.25" customHeight="1" x14ac:dyDescent="0.35">
      <c r="A801" s="2"/>
      <c r="B801" s="2"/>
      <c r="C801" s="2"/>
      <c r="D801" s="2"/>
      <c r="E801" s="2"/>
      <c r="F801" s="2"/>
      <c r="G801" s="27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</row>
    <row r="802" spans="1:70" ht="14.25" customHeight="1" x14ac:dyDescent="0.35">
      <c r="A802" s="2"/>
      <c r="B802" s="2"/>
      <c r="C802" s="2"/>
      <c r="D802" s="2"/>
      <c r="E802" s="2"/>
      <c r="F802" s="2"/>
      <c r="G802" s="27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</row>
    <row r="803" spans="1:70" ht="14.25" customHeight="1" x14ac:dyDescent="0.35">
      <c r="A803" s="2"/>
      <c r="B803" s="2"/>
      <c r="C803" s="2"/>
      <c r="D803" s="2"/>
      <c r="E803" s="2"/>
      <c r="F803" s="2"/>
      <c r="G803" s="27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</row>
    <row r="804" spans="1:70" ht="14.25" customHeight="1" x14ac:dyDescent="0.35">
      <c r="A804" s="2"/>
      <c r="B804" s="2"/>
      <c r="C804" s="2"/>
      <c r="D804" s="2"/>
      <c r="E804" s="2"/>
      <c r="F804" s="2"/>
      <c r="G804" s="27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</row>
    <row r="805" spans="1:70" ht="14.25" customHeight="1" x14ac:dyDescent="0.35">
      <c r="A805" s="2"/>
      <c r="B805" s="2"/>
      <c r="C805" s="2"/>
      <c r="D805" s="2"/>
      <c r="E805" s="2"/>
      <c r="F805" s="2"/>
      <c r="G805" s="27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</row>
    <row r="806" spans="1:70" ht="14.25" customHeight="1" x14ac:dyDescent="0.35">
      <c r="A806" s="2"/>
      <c r="B806" s="2"/>
      <c r="C806" s="2"/>
      <c r="D806" s="2"/>
      <c r="E806" s="2"/>
      <c r="F806" s="2"/>
      <c r="G806" s="27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</row>
    <row r="807" spans="1:70" ht="14.25" customHeight="1" x14ac:dyDescent="0.35">
      <c r="A807" s="2"/>
      <c r="B807" s="2"/>
      <c r="C807" s="2"/>
      <c r="D807" s="2"/>
      <c r="E807" s="2"/>
      <c r="F807" s="2"/>
      <c r="G807" s="27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</row>
    <row r="808" spans="1:70" ht="14.25" customHeight="1" x14ac:dyDescent="0.35">
      <c r="A808" s="2"/>
      <c r="B808" s="2"/>
      <c r="C808" s="2"/>
      <c r="D808" s="2"/>
      <c r="E808" s="2"/>
      <c r="F808" s="2"/>
      <c r="G808" s="27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</row>
    <row r="809" spans="1:70" ht="14.25" customHeight="1" x14ac:dyDescent="0.35">
      <c r="A809" s="2"/>
      <c r="B809" s="2"/>
      <c r="C809" s="2"/>
      <c r="D809" s="2"/>
      <c r="E809" s="2"/>
      <c r="F809" s="2"/>
      <c r="G809" s="27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</row>
    <row r="810" spans="1:70" ht="14.25" customHeight="1" x14ac:dyDescent="0.35">
      <c r="A810" s="2"/>
      <c r="B810" s="2"/>
      <c r="C810" s="2"/>
      <c r="D810" s="2"/>
      <c r="E810" s="2"/>
      <c r="F810" s="2"/>
      <c r="G810" s="27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</row>
    <row r="811" spans="1:70" ht="14.25" customHeight="1" x14ac:dyDescent="0.35">
      <c r="A811" s="2"/>
      <c r="B811" s="2"/>
      <c r="C811" s="2"/>
      <c r="D811" s="2"/>
      <c r="E811" s="2"/>
      <c r="F811" s="2"/>
      <c r="G811" s="27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</row>
    <row r="812" spans="1:70" ht="14.25" customHeight="1" x14ac:dyDescent="0.35">
      <c r="A812" s="2"/>
      <c r="B812" s="2"/>
      <c r="C812" s="2"/>
      <c r="D812" s="2"/>
      <c r="E812" s="2"/>
      <c r="F812" s="2"/>
      <c r="G812" s="27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</row>
    <row r="813" spans="1:70" ht="14.25" customHeight="1" x14ac:dyDescent="0.35">
      <c r="A813" s="2"/>
      <c r="B813" s="2"/>
      <c r="C813" s="2"/>
      <c r="D813" s="2"/>
      <c r="E813" s="2"/>
      <c r="F813" s="2"/>
      <c r="G813" s="27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</row>
    <row r="814" spans="1:70" ht="14.25" customHeight="1" x14ac:dyDescent="0.35">
      <c r="A814" s="2"/>
      <c r="B814" s="2"/>
      <c r="C814" s="2"/>
      <c r="D814" s="2"/>
      <c r="E814" s="2"/>
      <c r="F814" s="2"/>
      <c r="G814" s="27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</row>
    <row r="815" spans="1:70" ht="14.25" customHeight="1" x14ac:dyDescent="0.35">
      <c r="A815" s="2"/>
      <c r="B815" s="2"/>
      <c r="C815" s="2"/>
      <c r="D815" s="2"/>
      <c r="E815" s="2"/>
      <c r="F815" s="2"/>
      <c r="G815" s="27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</row>
    <row r="816" spans="1:70" ht="14.25" customHeight="1" x14ac:dyDescent="0.35">
      <c r="A816" s="2"/>
      <c r="B816" s="2"/>
      <c r="C816" s="2"/>
      <c r="D816" s="2"/>
      <c r="E816" s="2"/>
      <c r="F816" s="2"/>
      <c r="G816" s="27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</row>
    <row r="817" spans="1:70" ht="14.25" customHeight="1" x14ac:dyDescent="0.35">
      <c r="A817" s="2"/>
      <c r="B817" s="2"/>
      <c r="C817" s="2"/>
      <c r="D817" s="2"/>
      <c r="E817" s="2"/>
      <c r="F817" s="2"/>
      <c r="G817" s="27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</row>
    <row r="818" spans="1:70" ht="14.25" customHeight="1" x14ac:dyDescent="0.35">
      <c r="A818" s="2"/>
      <c r="B818" s="2"/>
      <c r="C818" s="2"/>
      <c r="D818" s="2"/>
      <c r="E818" s="2"/>
      <c r="F818" s="2"/>
      <c r="G818" s="27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</row>
    <row r="819" spans="1:70" ht="14.25" customHeight="1" x14ac:dyDescent="0.35">
      <c r="A819" s="2"/>
      <c r="B819" s="2"/>
      <c r="C819" s="2"/>
      <c r="D819" s="2"/>
      <c r="E819" s="2"/>
      <c r="F819" s="2"/>
      <c r="G819" s="27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</row>
    <row r="820" spans="1:70" ht="14.25" customHeight="1" x14ac:dyDescent="0.35">
      <c r="A820" s="2"/>
      <c r="B820" s="2"/>
      <c r="C820" s="2"/>
      <c r="D820" s="2"/>
      <c r="E820" s="2"/>
      <c r="F820" s="2"/>
      <c r="G820" s="27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</row>
    <row r="821" spans="1:70" ht="14.25" customHeight="1" x14ac:dyDescent="0.35">
      <c r="A821" s="2"/>
      <c r="B821" s="2"/>
      <c r="C821" s="2"/>
      <c r="D821" s="2"/>
      <c r="E821" s="2"/>
      <c r="F821" s="2"/>
      <c r="G821" s="27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</row>
    <row r="822" spans="1:70" ht="14.25" customHeight="1" x14ac:dyDescent="0.35">
      <c r="A822" s="2"/>
      <c r="B822" s="2"/>
      <c r="C822" s="2"/>
      <c r="D822" s="2"/>
      <c r="E822" s="2"/>
      <c r="F822" s="2"/>
      <c r="G822" s="27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</row>
    <row r="823" spans="1:70" ht="14.25" customHeight="1" x14ac:dyDescent="0.35">
      <c r="A823" s="2"/>
      <c r="B823" s="2"/>
      <c r="C823" s="2"/>
      <c r="D823" s="2"/>
      <c r="E823" s="2"/>
      <c r="F823" s="2"/>
      <c r="G823" s="27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</row>
    <row r="824" spans="1:70" ht="14.25" customHeight="1" x14ac:dyDescent="0.35">
      <c r="A824" s="2"/>
      <c r="B824" s="2"/>
      <c r="C824" s="2"/>
      <c r="D824" s="2"/>
      <c r="E824" s="2"/>
      <c r="F824" s="2"/>
      <c r="G824" s="27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</row>
    <row r="825" spans="1:70" ht="14.25" customHeight="1" x14ac:dyDescent="0.35">
      <c r="A825" s="2"/>
      <c r="B825" s="2"/>
      <c r="C825" s="2"/>
      <c r="D825" s="2"/>
      <c r="E825" s="2"/>
      <c r="F825" s="2"/>
      <c r="G825" s="27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</row>
    <row r="826" spans="1:70" ht="14.25" customHeight="1" x14ac:dyDescent="0.35">
      <c r="A826" s="2"/>
      <c r="B826" s="2"/>
      <c r="C826" s="2"/>
      <c r="D826" s="2"/>
      <c r="E826" s="2"/>
      <c r="F826" s="2"/>
      <c r="G826" s="27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</row>
    <row r="827" spans="1:70" ht="14.25" customHeight="1" x14ac:dyDescent="0.35">
      <c r="A827" s="2"/>
      <c r="B827" s="2"/>
      <c r="C827" s="2"/>
      <c r="D827" s="2"/>
      <c r="E827" s="2"/>
      <c r="F827" s="2"/>
      <c r="G827" s="27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</row>
    <row r="828" spans="1:70" ht="14.25" customHeight="1" x14ac:dyDescent="0.35">
      <c r="A828" s="2"/>
      <c r="B828" s="2"/>
      <c r="C828" s="2"/>
      <c r="D828" s="2"/>
      <c r="E828" s="2"/>
      <c r="F828" s="2"/>
      <c r="G828" s="27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</row>
    <row r="829" spans="1:70" ht="14.25" customHeight="1" x14ac:dyDescent="0.35">
      <c r="A829" s="2"/>
      <c r="B829" s="2"/>
      <c r="C829" s="2"/>
      <c r="D829" s="2"/>
      <c r="E829" s="2"/>
      <c r="F829" s="2"/>
      <c r="G829" s="27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</row>
    <row r="830" spans="1:70" ht="14.25" customHeight="1" x14ac:dyDescent="0.35">
      <c r="A830" s="2"/>
      <c r="B830" s="2"/>
      <c r="C830" s="2"/>
      <c r="D830" s="2"/>
      <c r="E830" s="2"/>
      <c r="F830" s="2"/>
      <c r="G830" s="27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</row>
    <row r="831" spans="1:70" ht="14.25" customHeight="1" x14ac:dyDescent="0.35">
      <c r="A831" s="2"/>
      <c r="B831" s="2"/>
      <c r="C831" s="2"/>
      <c r="D831" s="2"/>
      <c r="E831" s="2"/>
      <c r="F831" s="2"/>
      <c r="G831" s="27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</row>
    <row r="832" spans="1:70" ht="14.25" customHeight="1" x14ac:dyDescent="0.35">
      <c r="A832" s="2"/>
      <c r="B832" s="2"/>
      <c r="C832" s="2"/>
      <c r="D832" s="2"/>
      <c r="E832" s="2"/>
      <c r="F832" s="2"/>
      <c r="G832" s="27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</row>
    <row r="833" spans="1:70" ht="14.25" customHeight="1" x14ac:dyDescent="0.35">
      <c r="A833" s="2"/>
      <c r="B833" s="2"/>
      <c r="C833" s="2"/>
      <c r="D833" s="2"/>
      <c r="E833" s="2"/>
      <c r="F833" s="2"/>
      <c r="G833" s="27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</row>
    <row r="834" spans="1:70" ht="14.25" customHeight="1" x14ac:dyDescent="0.35">
      <c r="A834" s="2"/>
      <c r="B834" s="2"/>
      <c r="C834" s="2"/>
      <c r="D834" s="2"/>
      <c r="E834" s="2"/>
      <c r="F834" s="2"/>
      <c r="G834" s="27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</row>
    <row r="835" spans="1:70" ht="14.25" customHeight="1" x14ac:dyDescent="0.35">
      <c r="A835" s="2"/>
      <c r="B835" s="2"/>
      <c r="C835" s="2"/>
      <c r="D835" s="2"/>
      <c r="E835" s="2"/>
      <c r="F835" s="2"/>
      <c r="G835" s="27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</row>
    <row r="836" spans="1:70" ht="14.25" customHeight="1" x14ac:dyDescent="0.35">
      <c r="A836" s="2"/>
      <c r="B836" s="2"/>
      <c r="C836" s="2"/>
      <c r="D836" s="2"/>
      <c r="E836" s="2"/>
      <c r="F836" s="2"/>
      <c r="G836" s="27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</row>
    <row r="837" spans="1:70" ht="14.25" customHeight="1" x14ac:dyDescent="0.35">
      <c r="A837" s="2"/>
      <c r="B837" s="2"/>
      <c r="C837" s="2"/>
      <c r="D837" s="2"/>
      <c r="E837" s="2"/>
      <c r="F837" s="2"/>
      <c r="G837" s="27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</row>
    <row r="838" spans="1:70" ht="14.25" customHeight="1" x14ac:dyDescent="0.35">
      <c r="A838" s="2"/>
      <c r="B838" s="2"/>
      <c r="C838" s="2"/>
      <c r="D838" s="2"/>
      <c r="E838" s="2"/>
      <c r="F838" s="2"/>
      <c r="G838" s="27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</row>
    <row r="839" spans="1:70" ht="14.25" customHeight="1" x14ac:dyDescent="0.35">
      <c r="A839" s="2"/>
      <c r="B839" s="2"/>
      <c r="C839" s="2"/>
      <c r="D839" s="2"/>
      <c r="E839" s="2"/>
      <c r="F839" s="2"/>
      <c r="G839" s="27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</row>
    <row r="840" spans="1:70" ht="14.25" customHeight="1" x14ac:dyDescent="0.35">
      <c r="A840" s="2"/>
      <c r="B840" s="2"/>
      <c r="C840" s="2"/>
      <c r="D840" s="2"/>
      <c r="E840" s="2"/>
      <c r="F840" s="2"/>
      <c r="G840" s="27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</row>
    <row r="841" spans="1:70" ht="14.25" customHeight="1" x14ac:dyDescent="0.35">
      <c r="A841" s="2"/>
      <c r="B841" s="2"/>
      <c r="C841" s="2"/>
      <c r="D841" s="2"/>
      <c r="E841" s="2"/>
      <c r="F841" s="2"/>
      <c r="G841" s="27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</row>
    <row r="842" spans="1:70" ht="14.25" customHeight="1" x14ac:dyDescent="0.35">
      <c r="A842" s="2"/>
      <c r="B842" s="2"/>
      <c r="C842" s="2"/>
      <c r="D842" s="2"/>
      <c r="E842" s="2"/>
      <c r="F842" s="2"/>
      <c r="G842" s="27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</row>
    <row r="843" spans="1:70" ht="14.25" customHeight="1" x14ac:dyDescent="0.35">
      <c r="A843" s="2"/>
      <c r="B843" s="2"/>
      <c r="C843" s="2"/>
      <c r="D843" s="2"/>
      <c r="E843" s="2"/>
      <c r="F843" s="2"/>
      <c r="G843" s="27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</row>
    <row r="844" spans="1:70" ht="14.25" customHeight="1" x14ac:dyDescent="0.35">
      <c r="A844" s="2"/>
      <c r="B844" s="2"/>
      <c r="C844" s="2"/>
      <c r="D844" s="2"/>
      <c r="E844" s="2"/>
      <c r="F844" s="2"/>
      <c r="G844" s="27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</row>
    <row r="845" spans="1:70" ht="14.25" customHeight="1" x14ac:dyDescent="0.35">
      <c r="A845" s="2"/>
      <c r="B845" s="2"/>
      <c r="C845" s="2"/>
      <c r="D845" s="2"/>
      <c r="E845" s="2"/>
      <c r="F845" s="2"/>
      <c r="G845" s="27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</row>
    <row r="846" spans="1:70" ht="14.25" customHeight="1" x14ac:dyDescent="0.35">
      <c r="A846" s="2"/>
      <c r="B846" s="2"/>
      <c r="C846" s="2"/>
      <c r="D846" s="2"/>
      <c r="E846" s="2"/>
      <c r="F846" s="2"/>
      <c r="G846" s="27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</row>
    <row r="847" spans="1:70" ht="14.25" customHeight="1" x14ac:dyDescent="0.35">
      <c r="A847" s="2"/>
      <c r="B847" s="2"/>
      <c r="C847" s="2"/>
      <c r="D847" s="2"/>
      <c r="E847" s="2"/>
      <c r="F847" s="2"/>
      <c r="G847" s="27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</row>
    <row r="848" spans="1:70" ht="14.25" customHeight="1" x14ac:dyDescent="0.35">
      <c r="A848" s="2"/>
      <c r="B848" s="2"/>
      <c r="C848" s="2"/>
      <c r="D848" s="2"/>
      <c r="E848" s="2"/>
      <c r="F848" s="2"/>
      <c r="G848" s="27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</row>
    <row r="849" spans="1:70" ht="14.25" customHeight="1" x14ac:dyDescent="0.35">
      <c r="A849" s="2"/>
      <c r="B849" s="2"/>
      <c r="C849" s="2"/>
      <c r="D849" s="2"/>
      <c r="E849" s="2"/>
      <c r="F849" s="2"/>
      <c r="G849" s="27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</row>
    <row r="850" spans="1:70" ht="14.25" customHeight="1" x14ac:dyDescent="0.35">
      <c r="A850" s="2"/>
      <c r="B850" s="2"/>
      <c r="C850" s="2"/>
      <c r="D850" s="2"/>
      <c r="E850" s="2"/>
      <c r="F850" s="2"/>
      <c r="G850" s="27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</row>
    <row r="851" spans="1:70" ht="14.25" customHeight="1" x14ac:dyDescent="0.35">
      <c r="A851" s="2"/>
      <c r="B851" s="2"/>
      <c r="C851" s="2"/>
      <c r="D851" s="2"/>
      <c r="E851" s="2"/>
      <c r="F851" s="2"/>
      <c r="G851" s="27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</row>
    <row r="852" spans="1:70" ht="14.25" customHeight="1" x14ac:dyDescent="0.35">
      <c r="A852" s="2"/>
      <c r="B852" s="2"/>
      <c r="C852" s="2"/>
      <c r="D852" s="2"/>
      <c r="E852" s="2"/>
      <c r="F852" s="2"/>
      <c r="G852" s="27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</row>
    <row r="853" spans="1:70" ht="14.25" customHeight="1" x14ac:dyDescent="0.35">
      <c r="A853" s="2"/>
      <c r="B853" s="2"/>
      <c r="C853" s="2"/>
      <c r="D853" s="2"/>
      <c r="E853" s="2"/>
      <c r="F853" s="2"/>
      <c r="G853" s="27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</row>
    <row r="854" spans="1:70" ht="14.25" customHeight="1" x14ac:dyDescent="0.35">
      <c r="A854" s="2"/>
      <c r="B854" s="2"/>
      <c r="C854" s="2"/>
      <c r="D854" s="2"/>
      <c r="E854" s="2"/>
      <c r="F854" s="2"/>
      <c r="G854" s="27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</row>
    <row r="855" spans="1:70" ht="14.25" customHeight="1" x14ac:dyDescent="0.35">
      <c r="A855" s="2"/>
      <c r="B855" s="2"/>
      <c r="C855" s="2"/>
      <c r="D855" s="2"/>
      <c r="E855" s="2"/>
      <c r="F855" s="2"/>
      <c r="G855" s="27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</row>
    <row r="856" spans="1:70" ht="14.25" customHeight="1" x14ac:dyDescent="0.35">
      <c r="A856" s="2"/>
      <c r="B856" s="2"/>
      <c r="C856" s="2"/>
      <c r="D856" s="2"/>
      <c r="E856" s="2"/>
      <c r="F856" s="2"/>
      <c r="G856" s="27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</row>
    <row r="857" spans="1:70" ht="14.25" customHeight="1" x14ac:dyDescent="0.35">
      <c r="A857" s="2"/>
      <c r="B857" s="2"/>
      <c r="C857" s="2"/>
      <c r="D857" s="2"/>
      <c r="E857" s="2"/>
      <c r="F857" s="2"/>
      <c r="G857" s="27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</row>
    <row r="858" spans="1:70" ht="14.25" customHeight="1" x14ac:dyDescent="0.35">
      <c r="A858" s="2"/>
      <c r="B858" s="2"/>
      <c r="C858" s="2"/>
      <c r="D858" s="2"/>
      <c r="E858" s="2"/>
      <c r="F858" s="2"/>
      <c r="G858" s="27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</row>
    <row r="859" spans="1:70" ht="14.25" customHeight="1" x14ac:dyDescent="0.35">
      <c r="A859" s="2"/>
      <c r="B859" s="2"/>
      <c r="C859" s="2"/>
      <c r="D859" s="2"/>
      <c r="E859" s="2"/>
      <c r="F859" s="2"/>
      <c r="G859" s="27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</row>
    <row r="860" spans="1:70" ht="14.25" customHeight="1" x14ac:dyDescent="0.35">
      <c r="A860" s="2"/>
      <c r="B860" s="2"/>
      <c r="C860" s="2"/>
      <c r="D860" s="2"/>
      <c r="E860" s="2"/>
      <c r="F860" s="2"/>
      <c r="G860" s="27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</row>
    <row r="861" spans="1:70" ht="14.25" customHeight="1" x14ac:dyDescent="0.35">
      <c r="A861" s="2"/>
      <c r="B861" s="2"/>
      <c r="C861" s="2"/>
      <c r="D861" s="2"/>
      <c r="E861" s="2"/>
      <c r="F861" s="2"/>
      <c r="G861" s="27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</row>
    <row r="862" spans="1:70" ht="14.25" customHeight="1" x14ac:dyDescent="0.35">
      <c r="A862" s="2"/>
      <c r="B862" s="2"/>
      <c r="C862" s="2"/>
      <c r="D862" s="2"/>
      <c r="E862" s="2"/>
      <c r="F862" s="2"/>
      <c r="G862" s="27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</row>
    <row r="863" spans="1:70" ht="14.25" customHeight="1" x14ac:dyDescent="0.35">
      <c r="A863" s="2"/>
      <c r="B863" s="2"/>
      <c r="C863" s="2"/>
      <c r="D863" s="2"/>
      <c r="E863" s="2"/>
      <c r="F863" s="2"/>
      <c r="G863" s="27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</row>
    <row r="864" spans="1:70" ht="14.25" customHeight="1" x14ac:dyDescent="0.35">
      <c r="A864" s="2"/>
      <c r="B864" s="2"/>
      <c r="C864" s="2"/>
      <c r="D864" s="2"/>
      <c r="E864" s="2"/>
      <c r="F864" s="2"/>
      <c r="G864" s="27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</row>
    <row r="865" spans="1:70" ht="14.25" customHeight="1" x14ac:dyDescent="0.35">
      <c r="A865" s="2"/>
      <c r="B865" s="2"/>
      <c r="C865" s="2"/>
      <c r="D865" s="2"/>
      <c r="E865" s="2"/>
      <c r="F865" s="2"/>
      <c r="G865" s="27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</row>
    <row r="866" spans="1:70" ht="14.25" customHeight="1" x14ac:dyDescent="0.35">
      <c r="A866" s="2"/>
      <c r="B866" s="2"/>
      <c r="C866" s="2"/>
      <c r="D866" s="2"/>
      <c r="E866" s="2"/>
      <c r="F866" s="2"/>
      <c r="G866" s="27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</row>
    <row r="867" spans="1:70" ht="14.25" customHeight="1" x14ac:dyDescent="0.35">
      <c r="A867" s="2"/>
      <c r="B867" s="2"/>
      <c r="C867" s="2"/>
      <c r="D867" s="2"/>
      <c r="E867" s="2"/>
      <c r="F867" s="2"/>
      <c r="G867" s="27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</row>
    <row r="868" spans="1:70" ht="14.25" customHeight="1" x14ac:dyDescent="0.35">
      <c r="A868" s="2"/>
      <c r="B868" s="2"/>
      <c r="C868" s="2"/>
      <c r="D868" s="2"/>
      <c r="E868" s="2"/>
      <c r="F868" s="2"/>
      <c r="G868" s="27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</row>
    <row r="869" spans="1:70" ht="14.25" customHeight="1" x14ac:dyDescent="0.35">
      <c r="A869" s="2"/>
      <c r="B869" s="2"/>
      <c r="C869" s="2"/>
      <c r="D869" s="2"/>
      <c r="E869" s="2"/>
      <c r="F869" s="2"/>
      <c r="G869" s="27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</row>
    <row r="870" spans="1:70" ht="14.25" customHeight="1" x14ac:dyDescent="0.35">
      <c r="A870" s="2"/>
      <c r="B870" s="2"/>
      <c r="C870" s="2"/>
      <c r="D870" s="2"/>
      <c r="E870" s="2"/>
      <c r="F870" s="2"/>
      <c r="G870" s="27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</row>
    <row r="871" spans="1:70" ht="14.25" customHeight="1" x14ac:dyDescent="0.35">
      <c r="A871" s="2"/>
      <c r="B871" s="2"/>
      <c r="C871" s="2"/>
      <c r="D871" s="2"/>
      <c r="E871" s="2"/>
      <c r="F871" s="2"/>
      <c r="G871" s="27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</row>
    <row r="872" spans="1:70" ht="14.25" customHeight="1" x14ac:dyDescent="0.35">
      <c r="A872" s="2"/>
      <c r="B872" s="2"/>
      <c r="C872" s="2"/>
      <c r="D872" s="2"/>
      <c r="E872" s="2"/>
      <c r="F872" s="2"/>
      <c r="G872" s="27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</row>
    <row r="873" spans="1:70" ht="14.25" customHeight="1" x14ac:dyDescent="0.35">
      <c r="A873" s="2"/>
      <c r="B873" s="2"/>
      <c r="C873" s="2"/>
      <c r="D873" s="2"/>
      <c r="E873" s="2"/>
      <c r="F873" s="2"/>
      <c r="G873" s="27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</row>
    <row r="874" spans="1:70" ht="14.25" customHeight="1" x14ac:dyDescent="0.35">
      <c r="A874" s="2"/>
      <c r="B874" s="2"/>
      <c r="C874" s="2"/>
      <c r="D874" s="2"/>
      <c r="E874" s="2"/>
      <c r="F874" s="2"/>
      <c r="G874" s="27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</row>
    <row r="875" spans="1:70" ht="14.25" customHeight="1" x14ac:dyDescent="0.35">
      <c r="A875" s="2"/>
      <c r="B875" s="2"/>
      <c r="C875" s="2"/>
      <c r="D875" s="2"/>
      <c r="E875" s="2"/>
      <c r="F875" s="2"/>
      <c r="G875" s="27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</row>
    <row r="876" spans="1:70" ht="14.25" customHeight="1" x14ac:dyDescent="0.35">
      <c r="A876" s="2"/>
      <c r="B876" s="2"/>
      <c r="C876" s="2"/>
      <c r="D876" s="2"/>
      <c r="E876" s="2"/>
      <c r="F876" s="2"/>
      <c r="G876" s="27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</row>
    <row r="877" spans="1:70" ht="14.25" customHeight="1" x14ac:dyDescent="0.35">
      <c r="A877" s="2"/>
      <c r="B877" s="2"/>
      <c r="C877" s="2"/>
      <c r="D877" s="2"/>
      <c r="E877" s="2"/>
      <c r="F877" s="2"/>
      <c r="G877" s="27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</row>
    <row r="878" spans="1:70" ht="14.25" customHeight="1" x14ac:dyDescent="0.35">
      <c r="A878" s="2"/>
      <c r="B878" s="2"/>
      <c r="C878" s="2"/>
      <c r="D878" s="2"/>
      <c r="E878" s="2"/>
      <c r="F878" s="2"/>
      <c r="G878" s="27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</row>
    <row r="879" spans="1:70" ht="14.25" customHeight="1" x14ac:dyDescent="0.35">
      <c r="A879" s="2"/>
      <c r="B879" s="2"/>
      <c r="C879" s="2"/>
      <c r="D879" s="2"/>
      <c r="E879" s="2"/>
      <c r="F879" s="2"/>
      <c r="G879" s="27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</row>
    <row r="880" spans="1:70" ht="14.25" customHeight="1" x14ac:dyDescent="0.35">
      <c r="A880" s="2"/>
      <c r="B880" s="2"/>
      <c r="C880" s="2"/>
      <c r="D880" s="2"/>
      <c r="E880" s="2"/>
      <c r="F880" s="2"/>
      <c r="G880" s="27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</row>
    <row r="881" spans="1:70" ht="14.25" customHeight="1" x14ac:dyDescent="0.35">
      <c r="A881" s="2"/>
      <c r="B881" s="2"/>
      <c r="C881" s="2"/>
      <c r="D881" s="2"/>
      <c r="E881" s="2"/>
      <c r="F881" s="2"/>
      <c r="G881" s="27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</row>
    <row r="882" spans="1:70" ht="14.25" customHeight="1" x14ac:dyDescent="0.35">
      <c r="A882" s="2"/>
      <c r="B882" s="2"/>
      <c r="C882" s="2"/>
      <c r="D882" s="2"/>
      <c r="E882" s="2"/>
      <c r="F882" s="2"/>
      <c r="G882" s="27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</row>
    <row r="883" spans="1:70" ht="14.25" customHeight="1" x14ac:dyDescent="0.35">
      <c r="A883" s="2"/>
      <c r="B883" s="2"/>
      <c r="C883" s="2"/>
      <c r="D883" s="2"/>
      <c r="E883" s="2"/>
      <c r="F883" s="2"/>
      <c r="G883" s="27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</row>
    <row r="884" spans="1:70" ht="14.25" customHeight="1" x14ac:dyDescent="0.35">
      <c r="A884" s="2"/>
      <c r="B884" s="2"/>
      <c r="C884" s="2"/>
      <c r="D884" s="2"/>
      <c r="E884" s="2"/>
      <c r="F884" s="2"/>
      <c r="G884" s="27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</row>
    <row r="885" spans="1:70" ht="14.25" customHeight="1" x14ac:dyDescent="0.35">
      <c r="A885" s="2"/>
      <c r="B885" s="2"/>
      <c r="C885" s="2"/>
      <c r="D885" s="2"/>
      <c r="E885" s="2"/>
      <c r="F885" s="2"/>
      <c r="G885" s="27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</row>
    <row r="886" spans="1:70" ht="14.25" customHeight="1" x14ac:dyDescent="0.35">
      <c r="A886" s="2"/>
      <c r="B886" s="2"/>
      <c r="C886" s="2"/>
      <c r="D886" s="2"/>
      <c r="E886" s="2"/>
      <c r="F886" s="2"/>
      <c r="G886" s="27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</row>
    <row r="887" spans="1:70" ht="14.25" customHeight="1" x14ac:dyDescent="0.35">
      <c r="A887" s="2"/>
      <c r="B887" s="2"/>
      <c r="C887" s="2"/>
      <c r="D887" s="2"/>
      <c r="E887" s="2"/>
      <c r="F887" s="2"/>
      <c r="G887" s="27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</row>
    <row r="888" spans="1:70" ht="14.25" customHeight="1" x14ac:dyDescent="0.35">
      <c r="A888" s="2"/>
      <c r="B888" s="2"/>
      <c r="C888" s="2"/>
      <c r="D888" s="2"/>
      <c r="E888" s="2"/>
      <c r="F888" s="2"/>
      <c r="G888" s="27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</row>
    <row r="889" spans="1:70" ht="14.25" customHeight="1" x14ac:dyDescent="0.35">
      <c r="A889" s="2"/>
      <c r="B889" s="2"/>
      <c r="C889" s="2"/>
      <c r="D889" s="2"/>
      <c r="E889" s="2"/>
      <c r="F889" s="2"/>
      <c r="G889" s="27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</row>
    <row r="890" spans="1:70" ht="14.25" customHeight="1" x14ac:dyDescent="0.35">
      <c r="A890" s="2"/>
      <c r="B890" s="2"/>
      <c r="C890" s="2"/>
      <c r="D890" s="2"/>
      <c r="E890" s="2"/>
      <c r="F890" s="2"/>
      <c r="G890" s="27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</row>
    <row r="891" spans="1:70" ht="14.25" customHeight="1" x14ac:dyDescent="0.35">
      <c r="A891" s="2"/>
      <c r="B891" s="2"/>
      <c r="C891" s="2"/>
      <c r="D891" s="2"/>
      <c r="E891" s="2"/>
      <c r="F891" s="2"/>
      <c r="G891" s="27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</row>
    <row r="892" spans="1:70" ht="14.25" customHeight="1" x14ac:dyDescent="0.35">
      <c r="A892" s="2"/>
      <c r="B892" s="2"/>
      <c r="C892" s="2"/>
      <c r="D892" s="2"/>
      <c r="E892" s="2"/>
      <c r="F892" s="2"/>
      <c r="G892" s="27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</row>
    <row r="893" spans="1:70" ht="14.25" customHeight="1" x14ac:dyDescent="0.35">
      <c r="A893" s="2"/>
      <c r="B893" s="2"/>
      <c r="C893" s="2"/>
      <c r="D893" s="2"/>
      <c r="E893" s="2"/>
      <c r="F893" s="2"/>
      <c r="G893" s="27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</row>
    <row r="894" spans="1:70" ht="14.25" customHeight="1" x14ac:dyDescent="0.35">
      <c r="A894" s="2"/>
      <c r="B894" s="2"/>
      <c r="C894" s="2"/>
      <c r="D894" s="2"/>
      <c r="E894" s="2"/>
      <c r="F894" s="2"/>
      <c r="G894" s="27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</row>
    <row r="895" spans="1:70" ht="14.25" customHeight="1" x14ac:dyDescent="0.35">
      <c r="A895" s="2"/>
      <c r="B895" s="2"/>
      <c r="C895" s="2"/>
      <c r="D895" s="2"/>
      <c r="E895" s="2"/>
      <c r="F895" s="2"/>
      <c r="G895" s="27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</row>
    <row r="896" spans="1:70" ht="14.25" customHeight="1" x14ac:dyDescent="0.35">
      <c r="A896" s="2"/>
      <c r="B896" s="2"/>
      <c r="C896" s="2"/>
      <c r="D896" s="2"/>
      <c r="E896" s="2"/>
      <c r="F896" s="2"/>
      <c r="G896" s="27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</row>
    <row r="897" spans="1:70" ht="14.25" customHeight="1" x14ac:dyDescent="0.35">
      <c r="A897" s="2"/>
      <c r="B897" s="2"/>
      <c r="C897" s="2"/>
      <c r="D897" s="2"/>
      <c r="E897" s="2"/>
      <c r="F897" s="2"/>
      <c r="G897" s="27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</row>
    <row r="898" spans="1:70" ht="14.25" customHeight="1" x14ac:dyDescent="0.35">
      <c r="A898" s="2"/>
      <c r="B898" s="2"/>
      <c r="C898" s="2"/>
      <c r="D898" s="2"/>
      <c r="E898" s="2"/>
      <c r="F898" s="2"/>
      <c r="G898" s="27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</row>
    <row r="899" spans="1:70" ht="14.25" customHeight="1" x14ac:dyDescent="0.35">
      <c r="A899" s="2"/>
      <c r="B899" s="2"/>
      <c r="C899" s="2"/>
      <c r="D899" s="2"/>
      <c r="E899" s="2"/>
      <c r="F899" s="2"/>
      <c r="G899" s="27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</row>
    <row r="900" spans="1:70" ht="14.25" customHeight="1" x14ac:dyDescent="0.35">
      <c r="A900" s="2"/>
      <c r="B900" s="2"/>
      <c r="C900" s="2"/>
      <c r="D900" s="2"/>
      <c r="E900" s="2"/>
      <c r="F900" s="2"/>
      <c r="G900" s="27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</row>
    <row r="901" spans="1:70" ht="14.25" customHeight="1" x14ac:dyDescent="0.35">
      <c r="A901" s="2"/>
      <c r="B901" s="2"/>
      <c r="C901" s="2"/>
      <c r="D901" s="2"/>
      <c r="E901" s="2"/>
      <c r="F901" s="2"/>
      <c r="G901" s="27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</row>
    <row r="902" spans="1:70" ht="14.25" customHeight="1" x14ac:dyDescent="0.35">
      <c r="A902" s="2"/>
      <c r="B902" s="2"/>
      <c r="C902" s="2"/>
      <c r="D902" s="2"/>
      <c r="E902" s="2"/>
      <c r="F902" s="2"/>
      <c r="G902" s="27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</row>
    <row r="903" spans="1:70" ht="14.25" customHeight="1" x14ac:dyDescent="0.35">
      <c r="A903" s="2"/>
      <c r="B903" s="2"/>
      <c r="C903" s="2"/>
      <c r="D903" s="2"/>
      <c r="E903" s="2"/>
      <c r="F903" s="2"/>
      <c r="G903" s="27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</row>
    <row r="904" spans="1:70" ht="14.25" customHeight="1" x14ac:dyDescent="0.35">
      <c r="A904" s="2"/>
      <c r="B904" s="2"/>
      <c r="C904" s="2"/>
      <c r="D904" s="2"/>
      <c r="E904" s="2"/>
      <c r="F904" s="2"/>
      <c r="G904" s="27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</row>
    <row r="905" spans="1:70" ht="14.25" customHeight="1" x14ac:dyDescent="0.35">
      <c r="A905" s="2"/>
      <c r="B905" s="2"/>
      <c r="C905" s="2"/>
      <c r="D905" s="2"/>
      <c r="E905" s="2"/>
      <c r="F905" s="2"/>
      <c r="G905" s="27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</row>
    <row r="906" spans="1:70" ht="14.25" customHeight="1" x14ac:dyDescent="0.35">
      <c r="A906" s="2"/>
      <c r="B906" s="2"/>
      <c r="C906" s="2"/>
      <c r="D906" s="2"/>
      <c r="E906" s="2"/>
      <c r="F906" s="2"/>
      <c r="G906" s="27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</row>
    <row r="907" spans="1:70" ht="14.25" customHeight="1" x14ac:dyDescent="0.35">
      <c r="A907" s="2"/>
      <c r="B907" s="2"/>
      <c r="C907" s="2"/>
      <c r="D907" s="2"/>
      <c r="E907" s="2"/>
      <c r="F907" s="2"/>
      <c r="G907" s="27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</row>
    <row r="908" spans="1:70" ht="14.25" customHeight="1" x14ac:dyDescent="0.35">
      <c r="A908" s="2"/>
      <c r="B908" s="2"/>
      <c r="C908" s="2"/>
      <c r="D908" s="2"/>
      <c r="E908" s="2"/>
      <c r="F908" s="2"/>
      <c r="G908" s="27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</row>
    <row r="909" spans="1:70" ht="14.25" customHeight="1" x14ac:dyDescent="0.35">
      <c r="A909" s="2"/>
      <c r="B909" s="2"/>
      <c r="C909" s="2"/>
      <c r="D909" s="2"/>
      <c r="E909" s="2"/>
      <c r="F909" s="2"/>
      <c r="G909" s="27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</row>
    <row r="910" spans="1:70" ht="14.25" customHeight="1" x14ac:dyDescent="0.35">
      <c r="A910" s="2"/>
      <c r="B910" s="2"/>
      <c r="C910" s="2"/>
      <c r="D910" s="2"/>
      <c r="E910" s="2"/>
      <c r="F910" s="2"/>
      <c r="G910" s="27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</row>
    <row r="911" spans="1:70" ht="14.25" customHeight="1" x14ac:dyDescent="0.35">
      <c r="A911" s="2"/>
      <c r="B911" s="2"/>
      <c r="C911" s="2"/>
      <c r="D911" s="2"/>
      <c r="E911" s="2"/>
      <c r="F911" s="2"/>
      <c r="G911" s="27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</row>
    <row r="912" spans="1:70" ht="14.25" customHeight="1" x14ac:dyDescent="0.35">
      <c r="A912" s="2"/>
      <c r="B912" s="2"/>
      <c r="C912" s="2"/>
      <c r="D912" s="2"/>
      <c r="E912" s="2"/>
      <c r="F912" s="2"/>
      <c r="G912" s="27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</row>
    <row r="913" spans="1:70" ht="14.25" customHeight="1" x14ac:dyDescent="0.35">
      <c r="A913" s="2"/>
      <c r="B913" s="2"/>
      <c r="C913" s="2"/>
      <c r="D913" s="2"/>
      <c r="E913" s="2"/>
      <c r="F913" s="2"/>
      <c r="G913" s="27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</row>
    <row r="914" spans="1:70" ht="14.25" customHeight="1" x14ac:dyDescent="0.35">
      <c r="A914" s="2"/>
      <c r="B914" s="2"/>
      <c r="C914" s="2"/>
      <c r="D914" s="2"/>
      <c r="E914" s="2"/>
      <c r="F914" s="2"/>
      <c r="G914" s="27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</row>
    <row r="915" spans="1:70" ht="14.25" customHeight="1" x14ac:dyDescent="0.35">
      <c r="A915" s="2"/>
      <c r="B915" s="2"/>
      <c r="C915" s="2"/>
      <c r="D915" s="2"/>
      <c r="E915" s="2"/>
      <c r="F915" s="2"/>
      <c r="G915" s="27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</row>
    <row r="916" spans="1:70" ht="14.25" customHeight="1" x14ac:dyDescent="0.35">
      <c r="A916" s="2"/>
      <c r="B916" s="2"/>
      <c r="C916" s="2"/>
      <c r="D916" s="2"/>
      <c r="E916" s="2"/>
      <c r="F916" s="2"/>
      <c r="G916" s="27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</row>
    <row r="917" spans="1:70" ht="14.25" customHeight="1" x14ac:dyDescent="0.35">
      <c r="A917" s="2"/>
      <c r="B917" s="2"/>
      <c r="C917" s="2"/>
      <c r="D917" s="2"/>
      <c r="E917" s="2"/>
      <c r="F917" s="2"/>
      <c r="G917" s="27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</row>
    <row r="918" spans="1:70" ht="14.25" customHeight="1" x14ac:dyDescent="0.35">
      <c r="A918" s="2"/>
      <c r="B918" s="2"/>
      <c r="C918" s="2"/>
      <c r="D918" s="2"/>
      <c r="E918" s="2"/>
      <c r="F918" s="2"/>
      <c r="G918" s="27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</row>
    <row r="919" spans="1:70" ht="14.25" customHeight="1" x14ac:dyDescent="0.35">
      <c r="A919" s="2"/>
      <c r="B919" s="2"/>
      <c r="C919" s="2"/>
      <c r="D919" s="2"/>
      <c r="E919" s="2"/>
      <c r="F919" s="2"/>
      <c r="G919" s="27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</row>
    <row r="920" spans="1:70" ht="14.25" customHeight="1" x14ac:dyDescent="0.35">
      <c r="A920" s="2"/>
      <c r="B920" s="2"/>
      <c r="C920" s="2"/>
      <c r="D920" s="2"/>
      <c r="E920" s="2"/>
      <c r="F920" s="2"/>
      <c r="G920" s="27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</row>
    <row r="921" spans="1:70" ht="14.25" customHeight="1" x14ac:dyDescent="0.35">
      <c r="A921" s="2"/>
      <c r="B921" s="2"/>
      <c r="C921" s="2"/>
      <c r="D921" s="2"/>
      <c r="E921" s="2"/>
      <c r="F921" s="2"/>
      <c r="G921" s="27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</row>
    <row r="922" spans="1:70" ht="14.25" customHeight="1" x14ac:dyDescent="0.35">
      <c r="A922" s="2"/>
      <c r="B922" s="2"/>
      <c r="C922" s="2"/>
      <c r="D922" s="2"/>
      <c r="E922" s="2"/>
      <c r="F922" s="2"/>
      <c r="G922" s="27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</row>
    <row r="923" spans="1:70" ht="14.25" customHeight="1" x14ac:dyDescent="0.35">
      <c r="A923" s="2"/>
      <c r="B923" s="2"/>
      <c r="C923" s="2"/>
      <c r="D923" s="2"/>
      <c r="E923" s="2"/>
      <c r="F923" s="2"/>
      <c r="G923" s="27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</row>
    <row r="924" spans="1:70" ht="14.25" customHeight="1" x14ac:dyDescent="0.35">
      <c r="A924" s="2"/>
      <c r="B924" s="2"/>
      <c r="C924" s="2"/>
      <c r="D924" s="2"/>
      <c r="E924" s="2"/>
      <c r="F924" s="2"/>
      <c r="G924" s="27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</row>
    <row r="925" spans="1:70" ht="14.25" customHeight="1" x14ac:dyDescent="0.35">
      <c r="A925" s="2"/>
      <c r="B925" s="2"/>
      <c r="C925" s="2"/>
      <c r="D925" s="2"/>
      <c r="E925" s="2"/>
      <c r="F925" s="2"/>
      <c r="G925" s="27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</row>
    <row r="926" spans="1:70" ht="14.25" customHeight="1" x14ac:dyDescent="0.35">
      <c r="A926" s="2"/>
      <c r="B926" s="2"/>
      <c r="C926" s="2"/>
      <c r="D926" s="2"/>
      <c r="E926" s="2"/>
      <c r="F926" s="2"/>
      <c r="G926" s="27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</row>
    <row r="927" spans="1:70" ht="14.25" customHeight="1" x14ac:dyDescent="0.35">
      <c r="A927" s="2"/>
      <c r="B927" s="2"/>
      <c r="C927" s="2"/>
      <c r="D927" s="2"/>
      <c r="E927" s="2"/>
      <c r="F927" s="2"/>
      <c r="G927" s="27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</row>
    <row r="928" spans="1:70" ht="14.25" customHeight="1" x14ac:dyDescent="0.35">
      <c r="A928" s="2"/>
      <c r="B928" s="2"/>
      <c r="C928" s="2"/>
      <c r="D928" s="2"/>
      <c r="E928" s="2"/>
      <c r="F928" s="2"/>
      <c r="G928" s="27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</row>
    <row r="929" spans="1:70" ht="14.25" customHeight="1" x14ac:dyDescent="0.35">
      <c r="A929" s="2"/>
      <c r="B929" s="2"/>
      <c r="C929" s="2"/>
      <c r="D929" s="2"/>
      <c r="E929" s="2"/>
      <c r="F929" s="2"/>
      <c r="G929" s="27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</row>
    <row r="930" spans="1:70" ht="14.25" customHeight="1" x14ac:dyDescent="0.35">
      <c r="A930" s="2"/>
      <c r="B930" s="2"/>
      <c r="C930" s="2"/>
      <c r="D930" s="2"/>
      <c r="E930" s="2"/>
      <c r="F930" s="2"/>
      <c r="G930" s="27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</row>
    <row r="931" spans="1:70" ht="14.25" customHeight="1" x14ac:dyDescent="0.35">
      <c r="A931" s="2"/>
      <c r="B931" s="2"/>
      <c r="C931" s="2"/>
      <c r="D931" s="2"/>
      <c r="E931" s="2"/>
      <c r="F931" s="2"/>
      <c r="G931" s="27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</row>
    <row r="932" spans="1:70" ht="14.25" customHeight="1" x14ac:dyDescent="0.35">
      <c r="A932" s="2"/>
      <c r="B932" s="2"/>
      <c r="C932" s="2"/>
      <c r="D932" s="2"/>
      <c r="E932" s="2"/>
      <c r="F932" s="2"/>
      <c r="G932" s="27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</row>
    <row r="933" spans="1:70" ht="14.25" customHeight="1" x14ac:dyDescent="0.35">
      <c r="A933" s="2"/>
      <c r="B933" s="2"/>
      <c r="C933" s="2"/>
      <c r="D933" s="2"/>
      <c r="E933" s="2"/>
      <c r="F933" s="2"/>
      <c r="G933" s="27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</row>
    <row r="934" spans="1:70" ht="14.25" customHeight="1" x14ac:dyDescent="0.35">
      <c r="A934" s="2"/>
      <c r="B934" s="2"/>
      <c r="C934" s="2"/>
      <c r="D934" s="2"/>
      <c r="E934" s="2"/>
      <c r="F934" s="2"/>
      <c r="G934" s="27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</row>
    <row r="935" spans="1:70" ht="14.25" customHeight="1" x14ac:dyDescent="0.35">
      <c r="A935" s="2"/>
      <c r="B935" s="2"/>
      <c r="C935" s="2"/>
      <c r="D935" s="2"/>
      <c r="E935" s="2"/>
      <c r="F935" s="2"/>
      <c r="G935" s="27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</row>
    <row r="936" spans="1:70" ht="14.25" customHeight="1" x14ac:dyDescent="0.35">
      <c r="A936" s="2"/>
      <c r="B936" s="2"/>
      <c r="C936" s="2"/>
      <c r="D936" s="2"/>
      <c r="E936" s="2"/>
      <c r="F936" s="2"/>
      <c r="G936" s="27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</row>
    <row r="937" spans="1:70" ht="14.25" customHeight="1" x14ac:dyDescent="0.35">
      <c r="A937" s="2"/>
      <c r="B937" s="2"/>
      <c r="C937" s="2"/>
      <c r="D937" s="2"/>
      <c r="E937" s="2"/>
      <c r="F937" s="2"/>
      <c r="G937" s="27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</row>
    <row r="938" spans="1:70" ht="14.25" customHeight="1" x14ac:dyDescent="0.35">
      <c r="A938" s="2"/>
      <c r="B938" s="2"/>
      <c r="C938" s="2"/>
      <c r="D938" s="2"/>
      <c r="E938" s="2"/>
      <c r="F938" s="2"/>
      <c r="G938" s="27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</row>
    <row r="939" spans="1:70" ht="14.25" customHeight="1" x14ac:dyDescent="0.35">
      <c r="A939" s="2"/>
      <c r="B939" s="2"/>
      <c r="C939" s="2"/>
      <c r="D939" s="2"/>
      <c r="E939" s="2"/>
      <c r="F939" s="2"/>
      <c r="G939" s="27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</row>
    <row r="940" spans="1:70" ht="14.25" customHeight="1" x14ac:dyDescent="0.35">
      <c r="A940" s="2"/>
      <c r="B940" s="2"/>
      <c r="C940" s="2"/>
      <c r="D940" s="2"/>
      <c r="E940" s="2"/>
      <c r="F940" s="2"/>
      <c r="G940" s="27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</row>
    <row r="941" spans="1:70" ht="14.25" customHeight="1" x14ac:dyDescent="0.35">
      <c r="A941" s="2"/>
      <c r="B941" s="2"/>
      <c r="C941" s="2"/>
      <c r="D941" s="2"/>
      <c r="E941" s="2"/>
      <c r="F941" s="2"/>
      <c r="G941" s="27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</row>
    <row r="942" spans="1:70" ht="14.25" customHeight="1" x14ac:dyDescent="0.35">
      <c r="A942" s="2"/>
      <c r="B942" s="2"/>
      <c r="C942" s="2"/>
      <c r="D942" s="2"/>
      <c r="E942" s="2"/>
      <c r="F942" s="2"/>
      <c r="G942" s="27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</row>
    <row r="943" spans="1:70" ht="14.25" customHeight="1" x14ac:dyDescent="0.35">
      <c r="A943" s="2"/>
      <c r="B943" s="2"/>
      <c r="C943" s="2"/>
      <c r="D943" s="2"/>
      <c r="E943" s="2"/>
      <c r="F943" s="2"/>
      <c r="G943" s="27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</row>
    <row r="944" spans="1:70" ht="14.25" customHeight="1" x14ac:dyDescent="0.35">
      <c r="A944" s="2"/>
      <c r="B944" s="2"/>
      <c r="C944" s="2"/>
      <c r="D944" s="2"/>
      <c r="E944" s="2"/>
      <c r="F944" s="2"/>
      <c r="G944" s="27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</row>
    <row r="945" spans="1:70" ht="14.25" customHeight="1" x14ac:dyDescent="0.35">
      <c r="A945" s="2"/>
      <c r="B945" s="2"/>
      <c r="C945" s="2"/>
      <c r="D945" s="2"/>
      <c r="E945" s="2"/>
      <c r="F945" s="2"/>
      <c r="G945" s="27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</row>
    <row r="946" spans="1:70" ht="14.25" customHeight="1" x14ac:dyDescent="0.35">
      <c r="A946" s="2"/>
      <c r="B946" s="2"/>
      <c r="C946" s="2"/>
      <c r="D946" s="2"/>
      <c r="E946" s="2"/>
      <c r="F946" s="2"/>
      <c r="G946" s="27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</row>
    <row r="947" spans="1:70" ht="14.25" customHeight="1" x14ac:dyDescent="0.35">
      <c r="A947" s="2"/>
      <c r="B947" s="2"/>
      <c r="C947" s="2"/>
      <c r="D947" s="2"/>
      <c r="E947" s="2"/>
      <c r="F947" s="2"/>
      <c r="G947" s="27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</row>
    <row r="948" spans="1:70" ht="14.25" customHeight="1" x14ac:dyDescent="0.35">
      <c r="A948" s="2"/>
      <c r="B948" s="2"/>
      <c r="C948" s="2"/>
      <c r="D948" s="2"/>
      <c r="E948" s="2"/>
      <c r="F948" s="2"/>
      <c r="G948" s="27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</row>
    <row r="949" spans="1:70" ht="14.25" customHeight="1" x14ac:dyDescent="0.35">
      <c r="A949" s="2"/>
      <c r="B949" s="2"/>
      <c r="C949" s="2"/>
      <c r="D949" s="2"/>
      <c r="E949" s="2"/>
      <c r="F949" s="2"/>
      <c r="G949" s="27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</row>
    <row r="950" spans="1:70" ht="14.25" customHeight="1" x14ac:dyDescent="0.35">
      <c r="A950" s="2"/>
      <c r="B950" s="2"/>
      <c r="C950" s="2"/>
      <c r="D950" s="2"/>
      <c r="E950" s="2"/>
      <c r="F950" s="2"/>
      <c r="G950" s="27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</row>
    <row r="951" spans="1:70" ht="14.25" customHeight="1" x14ac:dyDescent="0.35">
      <c r="A951" s="2"/>
      <c r="B951" s="2"/>
      <c r="C951" s="2"/>
      <c r="D951" s="2"/>
      <c r="E951" s="2"/>
      <c r="F951" s="2"/>
      <c r="G951" s="27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</row>
    <row r="952" spans="1:70" ht="14.25" customHeight="1" x14ac:dyDescent="0.35">
      <c r="A952" s="2"/>
      <c r="B952" s="2"/>
      <c r="C952" s="2"/>
      <c r="D952" s="2"/>
      <c r="E952" s="2"/>
      <c r="F952" s="2"/>
      <c r="G952" s="27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</row>
    <row r="953" spans="1:70" ht="14.25" customHeight="1" x14ac:dyDescent="0.35">
      <c r="A953" s="2"/>
      <c r="B953" s="2"/>
      <c r="C953" s="2"/>
      <c r="D953" s="2"/>
      <c r="E953" s="2"/>
      <c r="F953" s="2"/>
      <c r="G953" s="27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</row>
    <row r="954" spans="1:70" ht="14.25" customHeight="1" x14ac:dyDescent="0.35">
      <c r="A954" s="2"/>
      <c r="B954" s="2"/>
      <c r="C954" s="2"/>
      <c r="D954" s="2"/>
      <c r="E954" s="2"/>
      <c r="F954" s="2"/>
      <c r="G954" s="27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</row>
    <row r="955" spans="1:70" ht="14.25" customHeight="1" x14ac:dyDescent="0.35">
      <c r="A955" s="2"/>
      <c r="B955" s="2"/>
      <c r="C955" s="2"/>
      <c r="D955" s="2"/>
      <c r="E955" s="2"/>
      <c r="F955" s="2"/>
      <c r="G955" s="27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</row>
    <row r="956" spans="1:70" ht="14.25" customHeight="1" x14ac:dyDescent="0.35">
      <c r="A956" s="2"/>
      <c r="B956" s="2"/>
      <c r="C956" s="2"/>
      <c r="D956" s="2"/>
      <c r="E956" s="2"/>
      <c r="F956" s="2"/>
      <c r="G956" s="27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</row>
    <row r="957" spans="1:70" ht="14.25" customHeight="1" x14ac:dyDescent="0.35">
      <c r="A957" s="2"/>
      <c r="B957" s="2"/>
      <c r="C957" s="2"/>
      <c r="D957" s="2"/>
      <c r="E957" s="2"/>
      <c r="F957" s="2"/>
      <c r="G957" s="27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</row>
    <row r="958" spans="1:70" ht="14.25" customHeight="1" x14ac:dyDescent="0.35">
      <c r="A958" s="2"/>
      <c r="B958" s="2"/>
      <c r="C958" s="2"/>
      <c r="D958" s="2"/>
      <c r="E958" s="2"/>
      <c r="F958" s="2"/>
      <c r="G958" s="27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</row>
    <row r="959" spans="1:70" ht="14.25" customHeight="1" x14ac:dyDescent="0.35">
      <c r="A959" s="2"/>
      <c r="B959" s="2"/>
      <c r="C959" s="2"/>
      <c r="D959" s="2"/>
      <c r="E959" s="2"/>
      <c r="F959" s="2"/>
      <c r="G959" s="27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</row>
    <row r="960" spans="1:70" ht="14.25" customHeight="1" x14ac:dyDescent="0.35">
      <c r="A960" s="2"/>
      <c r="B960" s="2"/>
      <c r="C960" s="2"/>
      <c r="D960" s="2"/>
      <c r="E960" s="2"/>
      <c r="F960" s="2"/>
      <c r="G960" s="27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</row>
    <row r="961" spans="1:70" ht="14.25" customHeight="1" x14ac:dyDescent="0.35">
      <c r="A961" s="2"/>
      <c r="B961" s="2"/>
      <c r="C961" s="2"/>
      <c r="D961" s="2"/>
      <c r="E961" s="2"/>
      <c r="F961" s="2"/>
      <c r="G961" s="27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</row>
    <row r="962" spans="1:70" ht="14.25" customHeight="1" x14ac:dyDescent="0.35">
      <c r="A962" s="2"/>
      <c r="B962" s="2"/>
      <c r="C962" s="2"/>
      <c r="D962" s="2"/>
      <c r="E962" s="2"/>
      <c r="F962" s="2"/>
      <c r="G962" s="27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</row>
    <row r="963" spans="1:70" ht="14.25" customHeight="1" x14ac:dyDescent="0.35">
      <c r="A963" s="2"/>
      <c r="B963" s="2"/>
      <c r="C963" s="2"/>
      <c r="D963" s="2"/>
      <c r="E963" s="2"/>
      <c r="F963" s="2"/>
      <c r="G963" s="27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</row>
    <row r="964" spans="1:70" ht="14.25" customHeight="1" x14ac:dyDescent="0.35">
      <c r="A964" s="2"/>
      <c r="B964" s="2"/>
      <c r="C964" s="2"/>
      <c r="D964" s="2"/>
      <c r="E964" s="2"/>
      <c r="F964" s="2"/>
      <c r="G964" s="27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</row>
    <row r="965" spans="1:70" ht="14.25" customHeight="1" x14ac:dyDescent="0.35">
      <c r="A965" s="2"/>
      <c r="B965" s="2"/>
      <c r="C965" s="2"/>
      <c r="D965" s="2"/>
      <c r="E965" s="2"/>
      <c r="F965" s="2"/>
      <c r="G965" s="27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</row>
    <row r="966" spans="1:70" ht="14.25" customHeight="1" x14ac:dyDescent="0.35">
      <c r="A966" s="2"/>
      <c r="B966" s="2"/>
      <c r="C966" s="2"/>
      <c r="D966" s="2"/>
      <c r="E966" s="2"/>
      <c r="F966" s="2"/>
      <c r="G966" s="27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</row>
    <row r="967" spans="1:70" ht="14.25" customHeight="1" x14ac:dyDescent="0.35">
      <c r="A967" s="2"/>
      <c r="B967" s="2"/>
      <c r="C967" s="2"/>
      <c r="D967" s="2"/>
      <c r="E967" s="2"/>
      <c r="F967" s="2"/>
      <c r="G967" s="27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</row>
    <row r="968" spans="1:70" ht="14.25" customHeight="1" x14ac:dyDescent="0.35">
      <c r="A968" s="2"/>
      <c r="B968" s="2"/>
      <c r="C968" s="2"/>
      <c r="D968" s="2"/>
      <c r="E968" s="2"/>
      <c r="F968" s="2"/>
      <c r="G968" s="27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</row>
    <row r="969" spans="1:70" ht="14.25" customHeight="1" x14ac:dyDescent="0.35">
      <c r="A969" s="2"/>
      <c r="B969" s="2"/>
      <c r="C969" s="2"/>
      <c r="D969" s="2"/>
      <c r="E969" s="2"/>
      <c r="F969" s="2"/>
      <c r="G969" s="27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</row>
    <row r="970" spans="1:70" ht="14.25" customHeight="1" x14ac:dyDescent="0.35">
      <c r="A970" s="2"/>
      <c r="B970" s="2"/>
      <c r="C970" s="2"/>
      <c r="D970" s="2"/>
      <c r="E970" s="2"/>
      <c r="F970" s="2"/>
      <c r="G970" s="27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</row>
    <row r="971" spans="1:70" ht="14.25" customHeight="1" x14ac:dyDescent="0.35">
      <c r="A971" s="2"/>
      <c r="B971" s="2"/>
      <c r="C971" s="2"/>
      <c r="D971" s="2"/>
      <c r="E971" s="2"/>
      <c r="F971" s="2"/>
      <c r="G971" s="27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</row>
    <row r="972" spans="1:70" ht="14.25" customHeight="1" x14ac:dyDescent="0.35">
      <c r="A972" s="2"/>
      <c r="B972" s="2"/>
      <c r="C972" s="2"/>
      <c r="D972" s="2"/>
      <c r="E972" s="2"/>
      <c r="F972" s="2"/>
      <c r="G972" s="27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</row>
    <row r="973" spans="1:70" ht="14.25" customHeight="1" x14ac:dyDescent="0.35">
      <c r="A973" s="2"/>
      <c r="B973" s="2"/>
      <c r="C973" s="2"/>
      <c r="D973" s="2"/>
      <c r="E973" s="2"/>
      <c r="F973" s="2"/>
      <c r="G973" s="27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</row>
    <row r="974" spans="1:70" ht="14.25" customHeight="1" x14ac:dyDescent="0.35">
      <c r="A974" s="2"/>
      <c r="B974" s="2"/>
      <c r="C974" s="2"/>
      <c r="D974" s="2"/>
      <c r="E974" s="2"/>
      <c r="F974" s="2"/>
      <c r="G974" s="27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</row>
    <row r="975" spans="1:70" ht="14.25" customHeight="1" x14ac:dyDescent="0.35">
      <c r="A975" s="2"/>
      <c r="B975" s="2"/>
      <c r="C975" s="2"/>
      <c r="D975" s="2"/>
      <c r="E975" s="2"/>
      <c r="F975" s="2"/>
      <c r="G975" s="27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</row>
    <row r="976" spans="1:70" ht="14.25" customHeight="1" x14ac:dyDescent="0.35">
      <c r="A976" s="2"/>
      <c r="B976" s="2"/>
      <c r="C976" s="2"/>
      <c r="D976" s="2"/>
      <c r="E976" s="2"/>
      <c r="F976" s="2"/>
      <c r="G976" s="27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</row>
    <row r="977" spans="1:70" ht="14.25" customHeight="1" x14ac:dyDescent="0.35">
      <c r="A977" s="2"/>
      <c r="B977" s="2"/>
      <c r="C977" s="2"/>
      <c r="D977" s="2"/>
      <c r="E977" s="2"/>
      <c r="F977" s="2"/>
      <c r="G977" s="27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</row>
    <row r="978" spans="1:70" ht="14.25" customHeight="1" x14ac:dyDescent="0.35">
      <c r="A978" s="2"/>
      <c r="B978" s="2"/>
      <c r="C978" s="2"/>
      <c r="D978" s="2"/>
      <c r="E978" s="2"/>
      <c r="F978" s="2"/>
      <c r="G978" s="27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</row>
    <row r="979" spans="1:70" ht="14.25" customHeight="1" x14ac:dyDescent="0.35">
      <c r="A979" s="2"/>
      <c r="B979" s="2"/>
      <c r="C979" s="2"/>
      <c r="D979" s="2"/>
      <c r="E979" s="2"/>
      <c r="F979" s="2"/>
      <c r="G979" s="27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</row>
    <row r="980" spans="1:70" ht="14.25" customHeight="1" x14ac:dyDescent="0.35">
      <c r="A980" s="2"/>
      <c r="B980" s="2"/>
      <c r="C980" s="2"/>
      <c r="D980" s="2"/>
      <c r="E980" s="2"/>
      <c r="F980" s="2"/>
      <c r="G980" s="27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</row>
    <row r="981" spans="1:70" ht="14.25" customHeight="1" x14ac:dyDescent="0.35">
      <c r="A981" s="2"/>
      <c r="B981" s="2"/>
      <c r="C981" s="2"/>
      <c r="D981" s="2"/>
      <c r="E981" s="2"/>
      <c r="F981" s="2"/>
      <c r="G981" s="27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</row>
    <row r="982" spans="1:70" ht="14.25" customHeight="1" x14ac:dyDescent="0.35">
      <c r="A982" s="2"/>
      <c r="B982" s="2"/>
      <c r="C982" s="2"/>
      <c r="D982" s="2"/>
      <c r="E982" s="2"/>
      <c r="F982" s="2"/>
      <c r="G982" s="27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</row>
    <row r="983" spans="1:70" ht="14.25" customHeight="1" x14ac:dyDescent="0.35">
      <c r="A983" s="2"/>
      <c r="B983" s="2"/>
      <c r="C983" s="2"/>
      <c r="D983" s="2"/>
      <c r="E983" s="2"/>
      <c r="F983" s="2"/>
      <c r="G983" s="27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</row>
    <row r="984" spans="1:70" ht="14.25" customHeight="1" x14ac:dyDescent="0.35">
      <c r="A984" s="2"/>
      <c r="B984" s="2"/>
      <c r="C984" s="2"/>
      <c r="D984" s="2"/>
      <c r="E984" s="2"/>
      <c r="F984" s="2"/>
      <c r="G984" s="27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</row>
    <row r="985" spans="1:70" ht="14.25" customHeight="1" x14ac:dyDescent="0.35">
      <c r="A985" s="2"/>
      <c r="B985" s="2"/>
      <c r="C985" s="2"/>
      <c r="D985" s="2"/>
      <c r="E985" s="2"/>
      <c r="F985" s="2"/>
      <c r="G985" s="27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</row>
    <row r="986" spans="1:70" ht="14.25" customHeight="1" x14ac:dyDescent="0.35">
      <c r="A986" s="2"/>
      <c r="B986" s="2"/>
      <c r="C986" s="2"/>
      <c r="D986" s="2"/>
      <c r="E986" s="2"/>
      <c r="F986" s="2"/>
      <c r="G986" s="27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</row>
    <row r="987" spans="1:70" ht="14.25" customHeight="1" x14ac:dyDescent="0.35">
      <c r="A987" s="2"/>
      <c r="B987" s="2"/>
      <c r="C987" s="2"/>
      <c r="D987" s="2"/>
      <c r="E987" s="2"/>
      <c r="F987" s="2"/>
      <c r="G987" s="27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</row>
    <row r="988" spans="1:70" ht="14.25" customHeight="1" x14ac:dyDescent="0.35">
      <c r="A988" s="2"/>
      <c r="B988" s="2"/>
      <c r="C988" s="2"/>
      <c r="D988" s="2"/>
      <c r="E988" s="2"/>
      <c r="F988" s="2"/>
      <c r="G988" s="27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</row>
    <row r="989" spans="1:70" ht="14.25" customHeight="1" x14ac:dyDescent="0.35">
      <c r="A989" s="2"/>
      <c r="B989" s="2"/>
      <c r="C989" s="2"/>
      <c r="D989" s="2"/>
      <c r="E989" s="2"/>
      <c r="F989" s="2"/>
      <c r="G989" s="27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</row>
    <row r="990" spans="1:70" ht="14.25" customHeight="1" x14ac:dyDescent="0.35">
      <c r="A990" s="2"/>
      <c r="B990" s="2"/>
      <c r="C990" s="2"/>
      <c r="D990" s="2"/>
      <c r="E990" s="2"/>
      <c r="F990" s="2"/>
      <c r="G990" s="276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</row>
    <row r="991" spans="1:70" ht="14.25" customHeight="1" x14ac:dyDescent="0.35">
      <c r="A991" s="2"/>
      <c r="B991" s="2"/>
      <c r="C991" s="2"/>
      <c r="D991" s="2"/>
      <c r="E991" s="2"/>
      <c r="F991" s="2"/>
      <c r="G991" s="27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</row>
    <row r="992" spans="1:70" ht="14.25" customHeight="1" x14ac:dyDescent="0.35">
      <c r="A992" s="2"/>
      <c r="B992" s="2"/>
      <c r="C992" s="2"/>
      <c r="D992" s="2"/>
      <c r="E992" s="2"/>
      <c r="F992" s="2"/>
      <c r="G992" s="276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</row>
    <row r="993" spans="1:70" ht="14.25" customHeight="1" x14ac:dyDescent="0.35">
      <c r="A993" s="2"/>
      <c r="B993" s="2"/>
      <c r="C993" s="2"/>
      <c r="D993" s="2"/>
      <c r="E993" s="2"/>
      <c r="F993" s="2"/>
      <c r="G993" s="276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</row>
    <row r="994" spans="1:70" ht="14.25" customHeight="1" x14ac:dyDescent="0.35">
      <c r="A994" s="2"/>
      <c r="B994" s="2"/>
      <c r="C994" s="2"/>
      <c r="D994" s="2"/>
      <c r="E994" s="2"/>
      <c r="F994" s="2"/>
      <c r="G994" s="27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</row>
    <row r="995" spans="1:70" ht="14.25" customHeight="1" x14ac:dyDescent="0.35">
      <c r="A995" s="2"/>
      <c r="B995" s="2"/>
      <c r="C995" s="2"/>
      <c r="D995" s="2"/>
      <c r="E995" s="2"/>
      <c r="F995" s="2"/>
      <c r="G995" s="276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</row>
    <row r="996" spans="1:70" ht="14.25" customHeight="1" x14ac:dyDescent="0.35">
      <c r="A996" s="2"/>
      <c r="B996" s="2"/>
      <c r="C996" s="2"/>
      <c r="D996" s="2"/>
      <c r="E996" s="2"/>
      <c r="F996" s="2"/>
      <c r="G996" s="276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</row>
    <row r="997" spans="1:70" ht="14.25" customHeight="1" x14ac:dyDescent="0.35">
      <c r="A997" s="2"/>
      <c r="B997" s="2"/>
      <c r="C997" s="2"/>
      <c r="D997" s="2"/>
      <c r="E997" s="2"/>
      <c r="F997" s="2"/>
      <c r="G997" s="276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</row>
    <row r="998" spans="1:70" ht="14.25" customHeight="1" x14ac:dyDescent="0.35">
      <c r="A998" s="2"/>
      <c r="B998" s="2"/>
      <c r="C998" s="2"/>
      <c r="D998" s="2"/>
      <c r="E998" s="2"/>
      <c r="F998" s="2"/>
      <c r="G998" s="276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</row>
    <row r="999" spans="1:70" ht="14.25" customHeight="1" x14ac:dyDescent="0.35">
      <c r="A999" s="2"/>
      <c r="B999" s="2"/>
      <c r="C999" s="2"/>
      <c r="D999" s="2"/>
      <c r="E999" s="2"/>
      <c r="F999" s="2"/>
      <c r="G999" s="276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</row>
    <row r="1000" spans="1:70" ht="14.25" customHeight="1" x14ac:dyDescent="0.35">
      <c r="A1000" s="2"/>
      <c r="B1000" s="2"/>
      <c r="C1000" s="2"/>
      <c r="D1000" s="2"/>
      <c r="E1000" s="2"/>
      <c r="F1000" s="2"/>
      <c r="G1000" s="27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</row>
    <row r="1001" spans="1:70" ht="14.25" customHeight="1" x14ac:dyDescent="0.35">
      <c r="A1001" s="2"/>
      <c r="B1001" s="2"/>
      <c r="C1001" s="2"/>
      <c r="D1001" s="2"/>
      <c r="E1001" s="2"/>
      <c r="F1001" s="2"/>
      <c r="G1001" s="276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</row>
    <row r="1002" spans="1:70" ht="14.25" customHeight="1" x14ac:dyDescent="0.35">
      <c r="A1002" s="2"/>
      <c r="B1002" s="2"/>
      <c r="C1002" s="2"/>
      <c r="D1002" s="2"/>
      <c r="E1002" s="2"/>
      <c r="F1002" s="2"/>
      <c r="G1002" s="276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</row>
    <row r="1003" spans="1:70" ht="14.25" customHeight="1" x14ac:dyDescent="0.35">
      <c r="A1003" s="2"/>
      <c r="B1003" s="2"/>
      <c r="C1003" s="2"/>
      <c r="D1003" s="2"/>
      <c r="E1003" s="2"/>
      <c r="F1003" s="2"/>
      <c r="G1003" s="276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</row>
    <row r="1004" spans="1:70" ht="14.25" customHeight="1" x14ac:dyDescent="0.35">
      <c r="A1004" s="2"/>
      <c r="B1004" s="2"/>
      <c r="C1004" s="2"/>
      <c r="D1004" s="2"/>
      <c r="E1004" s="2"/>
      <c r="F1004" s="2"/>
      <c r="G1004" s="276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</row>
  </sheetData>
  <mergeCells count="2">
    <mergeCell ref="A1:A3"/>
    <mergeCell ref="AV2:AX2"/>
  </mergeCells>
  <conditionalFormatting sqref="AV3:AX3">
    <cfRule type="cellIs" dxfId="39" priority="1" operator="equal">
      <formula>#REF!</formula>
    </cfRule>
  </conditionalFormatting>
  <conditionalFormatting sqref="AV3:AX3">
    <cfRule type="cellIs" dxfId="38" priority="2" operator="equal">
      <formula>#REF!</formula>
    </cfRule>
  </conditionalFormatting>
  <conditionalFormatting sqref="AV3:AX3">
    <cfRule type="cellIs" dxfId="37" priority="3" operator="equal">
      <formula>#REF!</formula>
    </cfRule>
  </conditionalFormatting>
  <conditionalFormatting sqref="AV3:AX3">
    <cfRule type="cellIs" dxfId="36" priority="4" operator="equal">
      <formula>#REF!</formula>
    </cfRule>
  </conditionalFormatting>
  <conditionalFormatting sqref="AT4:AU4">
    <cfRule type="cellIs" dxfId="35" priority="5" operator="equal">
      <formula>#REF!</formula>
    </cfRule>
  </conditionalFormatting>
  <conditionalFormatting sqref="AT4:AU4">
    <cfRule type="cellIs" dxfId="34" priority="6" operator="equal">
      <formula>#REF!</formula>
    </cfRule>
  </conditionalFormatting>
  <conditionalFormatting sqref="AT4:AU4">
    <cfRule type="cellIs" dxfId="33" priority="7" operator="equal">
      <formula>#REF!</formula>
    </cfRule>
  </conditionalFormatting>
  <conditionalFormatting sqref="AT4:AU4">
    <cfRule type="cellIs" dxfId="32" priority="8" operator="equal">
      <formula>#REF!</formula>
    </cfRule>
  </conditionalFormatting>
  <conditionalFormatting sqref="AT4:AU4">
    <cfRule type="cellIs" dxfId="31" priority="9" operator="equal">
      <formula>#REF!</formula>
    </cfRule>
  </conditionalFormatting>
  <conditionalFormatting sqref="AT4:AU4">
    <cfRule type="cellIs" dxfId="30" priority="10" operator="equal">
      <formula>#REF!</formula>
    </cfRule>
  </conditionalFormatting>
  <conditionalFormatting sqref="AT4:AU4">
    <cfRule type="cellIs" dxfId="29" priority="11" operator="equal">
      <formula>#REF!</formula>
    </cfRule>
  </conditionalFormatting>
  <conditionalFormatting sqref="AT4:AU4">
    <cfRule type="cellIs" dxfId="28" priority="12" operator="equal">
      <formula>#REF!</formula>
    </cfRule>
  </conditionalFormatting>
  <conditionalFormatting sqref="D3:AU3">
    <cfRule type="cellIs" dxfId="27" priority="13" operator="equal">
      <formula>#REF!</formula>
    </cfRule>
  </conditionalFormatting>
  <conditionalFormatting sqref="D3:AU3">
    <cfRule type="cellIs" dxfId="26" priority="14" operator="equal">
      <formula>#REF!</formula>
    </cfRule>
  </conditionalFormatting>
  <conditionalFormatting sqref="D3:AU3">
    <cfRule type="cellIs" dxfId="25" priority="15" operator="equal">
      <formula>#REF!</formula>
    </cfRule>
  </conditionalFormatting>
  <conditionalFormatting sqref="D3:AU3">
    <cfRule type="cellIs" dxfId="24" priority="16" operator="equal">
      <formula>#REF!</formula>
    </cfRule>
  </conditionalFormatting>
  <pageMargins left="0.7" right="0.7" top="0.75" bottom="0.75" header="0" footer="0"/>
  <pageSetup paperSize="3" orientation="landscape"/>
  <headerFooter>
    <oddHeader>&amp;C000000OVERALL DRAW</oddHeader>
    <oddFooter>&amp;C000000PAGE &amp;P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6923C"/>
    <pageSetUpPr fitToPage="1"/>
  </sheetPr>
  <dimension ref="A1:AY1017"/>
  <sheetViews>
    <sheetView showGridLines="0" workbookViewId="0">
      <selection activeCell="C9" sqref="C9"/>
    </sheetView>
  </sheetViews>
  <sheetFormatPr defaultColWidth="14.453125" defaultRowHeight="15" customHeight="1" x14ac:dyDescent="0.35"/>
  <cols>
    <col min="1" max="1" width="36.54296875" customWidth="1"/>
    <col min="2" max="2" width="26.7265625" customWidth="1"/>
    <col min="3" max="3" width="22.453125" customWidth="1"/>
    <col min="4" max="4" width="15.7265625" customWidth="1"/>
    <col min="5" max="5" width="18.1796875" customWidth="1"/>
    <col min="6" max="6" width="2.81640625" customWidth="1"/>
    <col min="7" max="7" width="13.1796875" customWidth="1"/>
    <col min="8" max="51" width="8.81640625" customWidth="1"/>
  </cols>
  <sheetData>
    <row r="1" spans="1:51" ht="15" customHeight="1" x14ac:dyDescent="0.35">
      <c r="A1" s="939" t="s">
        <v>243</v>
      </c>
      <c r="B1" s="940"/>
      <c r="C1" s="940"/>
      <c r="D1" s="941" t="s">
        <v>61</v>
      </c>
      <c r="E1" s="942"/>
      <c r="F1" s="22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3.25" customHeight="1" x14ac:dyDescent="0.35">
      <c r="A2" s="540"/>
      <c r="B2" s="541"/>
      <c r="C2" s="541"/>
      <c r="D2" s="620">
        <v>0</v>
      </c>
      <c r="E2" s="621" t="s">
        <v>244</v>
      </c>
      <c r="F2" s="2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23.25" customHeight="1" x14ac:dyDescent="0.35">
      <c r="A3" s="614" t="s">
        <v>245</v>
      </c>
      <c r="B3" s="615" t="s">
        <v>66</v>
      </c>
      <c r="C3" s="622" t="s">
        <v>246</v>
      </c>
      <c r="D3" s="615" t="s">
        <v>247</v>
      </c>
      <c r="E3" s="616" t="s">
        <v>248</v>
      </c>
      <c r="F3" s="22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3.25" customHeight="1" x14ac:dyDescent="0.35">
      <c r="A4" s="230" t="s">
        <v>249</v>
      </c>
      <c r="B4" s="303">
        <f>Assumptions!E6</f>
        <v>63.852000000000004</v>
      </c>
      <c r="C4" s="303">
        <f>Assumptions!E7</f>
        <v>400</v>
      </c>
      <c r="D4" s="637">
        <f>Assumptions!E8*(1+D$2)</f>
        <v>3.0766099999999996</v>
      </c>
      <c r="E4" s="624">
        <f>12*B4*C4*D4</f>
        <v>942948.96825599996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23.25" customHeight="1" x14ac:dyDescent="0.35">
      <c r="A5" s="10" t="s">
        <v>250</v>
      </c>
      <c r="B5" s="302">
        <f>Assumptions!E11</f>
        <v>63.852000000000004</v>
      </c>
      <c r="C5" s="302">
        <f>Assumptions!E12</f>
        <v>600</v>
      </c>
      <c r="D5" s="304">
        <f>Assumptions!E13*(1+D$2)</f>
        <v>2.9705199999999996</v>
      </c>
      <c r="E5" s="14">
        <f t="shared" ref="E5:E10" si="0">12*B5*C5*D5</f>
        <v>1365650.2298879998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23.25" customHeight="1" x14ac:dyDescent="0.35">
      <c r="A6" s="230" t="s">
        <v>251</v>
      </c>
      <c r="B6" s="303">
        <f>Assumptions!E16</f>
        <v>48.953200000000002</v>
      </c>
      <c r="C6" s="303">
        <f>Assumptions!E17</f>
        <v>900</v>
      </c>
      <c r="D6" s="304">
        <f>Assumptions!E18*(1+D$2)</f>
        <v>2.8113849999999996</v>
      </c>
      <c r="E6" s="14">
        <f t="shared" si="0"/>
        <v>1486363.9555656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23.25" customHeight="1" x14ac:dyDescent="0.35">
      <c r="A7" s="230" t="s">
        <v>252</v>
      </c>
      <c r="B7" s="303">
        <f>Assumptions!E21</f>
        <v>15.226246153846155</v>
      </c>
      <c r="C7" s="303">
        <f>Assumptions!E22</f>
        <v>1300</v>
      </c>
      <c r="D7" s="304">
        <f>Assumptions!E23*(1+D$2)</f>
        <v>2.54616</v>
      </c>
      <c r="E7" s="14">
        <f t="shared" si="0"/>
        <v>604787.95895040012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23.25" customHeight="1" x14ac:dyDescent="0.35">
      <c r="A8" s="230" t="s">
        <v>253</v>
      </c>
      <c r="B8" s="303">
        <f>Assumptions!E28</f>
        <v>15.963000000000001</v>
      </c>
      <c r="C8" s="303">
        <f>Assumptions!E29</f>
        <v>400</v>
      </c>
      <c r="D8" s="304">
        <f>Assumptions!E30*(1+D$2)</f>
        <v>0.97072571250000006</v>
      </c>
      <c r="E8" s="14">
        <f t="shared" si="0"/>
        <v>74379.333833460012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23.25" customHeight="1" x14ac:dyDescent="0.35">
      <c r="A9" s="230" t="s">
        <v>254</v>
      </c>
      <c r="B9" s="302">
        <f>Assumptions!E33</f>
        <v>15.963000000000001</v>
      </c>
      <c r="C9" s="302">
        <f>Assumptions!E34</f>
        <v>600</v>
      </c>
      <c r="D9" s="304">
        <f>Assumptions!E35*(1+D$2)</f>
        <v>0.88998633750000011</v>
      </c>
      <c r="E9" s="14">
        <f t="shared" si="0"/>
        <v>102289.33371969002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23.25" customHeight="1" x14ac:dyDescent="0.35">
      <c r="A10" s="230" t="s">
        <v>255</v>
      </c>
      <c r="B10" s="12">
        <f>Assumptions!E38</f>
        <v>12.238300000000001</v>
      </c>
      <c r="C10" s="12">
        <f>Assumptions!E39</f>
        <v>900</v>
      </c>
      <c r="D10" s="13">
        <f>Assumptions!E40*(1+D$2)</f>
        <v>0.75521479999999996</v>
      </c>
      <c r="E10" s="14">
        <f t="shared" si="0"/>
        <v>99819.489097872007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23.25" customHeight="1" x14ac:dyDescent="0.35">
      <c r="A11" s="230" t="s">
        <v>256</v>
      </c>
      <c r="B11" s="12">
        <f>Assumptions!E43</f>
        <v>3.8065615384615388</v>
      </c>
      <c r="C11" s="12">
        <f>Assumptions!E44</f>
        <v>1300</v>
      </c>
      <c r="D11" s="13">
        <f>Assumptions!E45*(1+D$2)</f>
        <v>0.65355126923076923</v>
      </c>
      <c r="E11" s="14">
        <f>12*B11*C11*D11</f>
        <v>38809.416747918469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23.25" customHeight="1" x14ac:dyDescent="0.35">
      <c r="A12" s="16" t="s">
        <v>257</v>
      </c>
      <c r="B12" s="17">
        <f>SUM(B4:B11)</f>
        <v>239.85430769230771</v>
      </c>
      <c r="C12" s="18">
        <f>(B4*C4)+(B5*C5)+(B6*C6)+(B7*C7)+(B8*C8)+(B9*C9)+(B10*C10)+(B11*C11)</f>
        <v>159630</v>
      </c>
      <c r="D12" s="565"/>
      <c r="E12" s="19">
        <f>SUM(E4:E11)</f>
        <v>4715048.6860589404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23.25" customHeight="1" x14ac:dyDescent="0.35">
      <c r="A13" s="20" t="s">
        <v>258</v>
      </c>
      <c r="B13" s="564"/>
      <c r="C13" s="21">
        <f>C12/B12</f>
        <v>665.52901023890774</v>
      </c>
      <c r="D13" s="22">
        <f>(E12/12)/C12</f>
        <v>2.4614466192961539</v>
      </c>
      <c r="E13" s="5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3.25" customHeight="1" x14ac:dyDescent="0.35">
      <c r="A14" s="223"/>
      <c r="B14" s="412"/>
      <c r="C14" s="411"/>
      <c r="D14" s="409"/>
      <c r="E14" s="40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23.25" customHeight="1" x14ac:dyDescent="0.35">
      <c r="A15" s="630"/>
      <c r="B15" s="631"/>
      <c r="C15" s="631"/>
      <c r="D15" s="632">
        <v>0</v>
      </c>
      <c r="E15" s="633" t="s">
        <v>373</v>
      </c>
      <c r="F15" s="22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23.25" customHeight="1" x14ac:dyDescent="0.35">
      <c r="A16" s="614" t="s">
        <v>374</v>
      </c>
      <c r="B16" s="615" t="s">
        <v>124</v>
      </c>
      <c r="C16" s="622" t="s">
        <v>375</v>
      </c>
      <c r="D16" s="615" t="s">
        <v>376</v>
      </c>
      <c r="E16" s="616" t="s">
        <v>248</v>
      </c>
      <c r="F16" s="22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23.25" customHeight="1" x14ac:dyDescent="0.35">
      <c r="A17" s="634" t="s">
        <v>377</v>
      </c>
      <c r="B17" s="303">
        <f>Assumptions!E71</f>
        <v>112.35294117647059</v>
      </c>
      <c r="C17" s="635">
        <f>Assumptions!E72</f>
        <v>200</v>
      </c>
      <c r="D17" s="636">
        <f>B17*(C17*0.677)*30</f>
        <v>456377.64705882355</v>
      </c>
      <c r="E17" s="624">
        <f>D17*12</f>
        <v>5476531.7647058824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23.25" customHeight="1" x14ac:dyDescent="0.35">
      <c r="A18" s="218"/>
      <c r="B18" s="11"/>
      <c r="C18" s="12"/>
      <c r="D18" s="5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23.25" customHeight="1" x14ac:dyDescent="0.35">
      <c r="A19" s="230"/>
      <c r="B19" s="12"/>
      <c r="C19" s="12"/>
      <c r="D19" s="13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3.25" customHeight="1" x14ac:dyDescent="0.35">
      <c r="A20" s="16" t="s">
        <v>257</v>
      </c>
      <c r="B20" s="17">
        <f>SUM(B17:B19)</f>
        <v>112.35294117647059</v>
      </c>
      <c r="C20" s="18">
        <v>47750</v>
      </c>
      <c r="D20" s="565"/>
      <c r="E20" s="19">
        <f>SUM(E17:E19)</f>
        <v>5476531.7647058824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23.25" customHeight="1" x14ac:dyDescent="0.35">
      <c r="A21" s="20" t="s">
        <v>258</v>
      </c>
      <c r="B21" s="564"/>
      <c r="C21" s="21">
        <f>C20/B20</f>
        <v>425</v>
      </c>
      <c r="D21" s="22"/>
      <c r="E21" s="56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9.75" customHeight="1" x14ac:dyDescent="0.35">
      <c r="A22" s="223"/>
      <c r="B22" s="412"/>
      <c r="C22" s="411"/>
      <c r="D22" s="409"/>
      <c r="E22" s="40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23.25" customHeight="1" x14ac:dyDescent="0.35">
      <c r="A23" s="223"/>
      <c r="B23" s="410"/>
      <c r="C23" s="411"/>
      <c r="D23" s="409"/>
      <c r="E23" s="2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23.25" customHeight="1" x14ac:dyDescent="0.35">
      <c r="A24" s="546" t="s">
        <v>260</v>
      </c>
      <c r="B24" s="547" t="s">
        <v>261</v>
      </c>
      <c r="C24" s="547" t="s">
        <v>262</v>
      </c>
      <c r="D24" s="548" t="s">
        <v>248</v>
      </c>
      <c r="E24" s="22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1" customHeight="1" x14ac:dyDescent="0.35">
      <c r="A25" s="627" t="s">
        <v>39</v>
      </c>
      <c r="B25" s="628">
        <f>Assumptions!E50</f>
        <v>106850</v>
      </c>
      <c r="C25" s="629">
        <f>Assumptions!E51</f>
        <v>39.535200000000003</v>
      </c>
      <c r="D25" s="228">
        <f t="shared" ref="D25:D27" si="1">B25*C25</f>
        <v>4224336.12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21" customHeight="1" x14ac:dyDescent="0.35">
      <c r="A26" s="300" t="s">
        <v>151</v>
      </c>
      <c r="B26" s="308">
        <f>Assumptions!E62</f>
        <v>0</v>
      </c>
      <c r="C26" s="305">
        <f>Assumptions!E63</f>
        <v>26.009999999999998</v>
      </c>
      <c r="D26" s="4">
        <f t="shared" si="1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23.25" customHeight="1" x14ac:dyDescent="0.35">
      <c r="A27" s="25" t="s">
        <v>43</v>
      </c>
      <c r="B27" s="309">
        <f>Assumptions!E56</f>
        <v>0</v>
      </c>
      <c r="C27" s="306">
        <f>Assumptions!E57</f>
        <v>29.1312</v>
      </c>
      <c r="D27" s="7">
        <f t="shared" si="1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23.25" customHeight="1" x14ac:dyDescent="0.35">
      <c r="A28" s="27" t="s">
        <v>263</v>
      </c>
      <c r="B28" s="236">
        <f>SUM(B25:B27)</f>
        <v>106850</v>
      </c>
      <c r="C28" s="237">
        <f>IF(B28=0,0,D28/B28)</f>
        <v>39.535200000000003</v>
      </c>
      <c r="D28" s="228">
        <f>SUM(D25:D27)</f>
        <v>4224336.12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3.25" customHeight="1" x14ac:dyDescent="0.35">
      <c r="A29" s="550" t="s">
        <v>264</v>
      </c>
      <c r="B29" s="545"/>
      <c r="C29" s="22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23.25" customHeight="1" x14ac:dyDescent="0.35">
      <c r="A30" s="3" t="s">
        <v>49</v>
      </c>
      <c r="B30" s="29">
        <f>((Assumptions!E6+Assumptions!E28)*Assumptions!B81)+((Assumptions!E11+Assumptions!E33)*Assumptions!B82)+((Assumptions!E16+Assumptions!E21+Assumptions!E38+Assumptions!E43)*Assumptions!B83)</f>
        <v>340.03236538461539</v>
      </c>
      <c r="C30" s="456"/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23.25" customHeight="1" x14ac:dyDescent="0.35">
      <c r="A31" s="6" t="s">
        <v>50</v>
      </c>
      <c r="B31" s="29">
        <f>(Assumptions!E50*Assumptions!H50*Assumptions!B84)+(Assumptions!E50*Assumptions!H51*Assumptions!B85)+(Assumptions!E56*Assumptions!B87)+(Assumptions!E64*Assumptions!B88)</f>
        <v>641.1</v>
      </c>
      <c r="C31" s="456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23.25" customHeight="1" x14ac:dyDescent="0.35">
      <c r="A32" s="238" t="s">
        <v>265</v>
      </c>
      <c r="B32" s="239">
        <f>SUM(B30:B31)</f>
        <v>981.13236538461547</v>
      </c>
      <c r="C32" s="456"/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23.25" hidden="1" customHeight="1" x14ac:dyDescent="0.35">
      <c r="A33" s="474"/>
      <c r="B33" s="475"/>
      <c r="C33" s="22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3.25" hidden="1" customHeight="1" x14ac:dyDescent="0.35">
      <c r="A34" s="476"/>
      <c r="B34" s="412"/>
      <c r="C34" s="411"/>
      <c r="D34" s="3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23.25" hidden="1" customHeight="1" x14ac:dyDescent="0.35">
      <c r="A35" s="476"/>
      <c r="B35" s="412"/>
      <c r="C35" s="411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23.25" hidden="1" customHeight="1" x14ac:dyDescent="0.35">
      <c r="A36" s="477"/>
      <c r="B36" s="412"/>
      <c r="C36" s="411"/>
      <c r="D36" s="3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23.25" hidden="1" customHeight="1" x14ac:dyDescent="0.35">
      <c r="A37" s="478"/>
      <c r="B37" s="412"/>
      <c r="C37" s="411"/>
      <c r="D37" s="3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23.25" customHeight="1" x14ac:dyDescent="0.35">
      <c r="A38" s="479"/>
      <c r="B38" s="412"/>
      <c r="C38" s="411"/>
      <c r="D38" s="40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" customHeight="1" x14ac:dyDescent="0.35">
      <c r="A39" s="943" t="s">
        <v>266</v>
      </c>
      <c r="B39" s="940"/>
      <c r="C39" s="968" t="s">
        <v>61</v>
      </c>
      <c r="D39" s="942"/>
      <c r="E39" s="2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4.25" customHeight="1" x14ac:dyDescent="0.35">
      <c r="A40" s="614" t="s">
        <v>267</v>
      </c>
      <c r="B40" s="615" t="s">
        <v>268</v>
      </c>
      <c r="C40" s="615" t="s">
        <v>269</v>
      </c>
      <c r="D40" s="616" t="s">
        <v>270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30.75" customHeight="1" x14ac:dyDescent="0.35">
      <c r="A41" s="32" t="s">
        <v>271</v>
      </c>
      <c r="B41" s="33">
        <f>D41/B12</f>
        <v>19657.9695875529</v>
      </c>
      <c r="C41" s="34">
        <f>D41/C12</f>
        <v>29.537359431553845</v>
      </c>
      <c r="D41" s="35">
        <f>E12</f>
        <v>4715048.6860589404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27" customHeight="1" x14ac:dyDescent="0.35">
      <c r="A42" s="413" t="s">
        <v>378</v>
      </c>
      <c r="B42" s="969" t="s">
        <v>378</v>
      </c>
      <c r="C42" s="970"/>
      <c r="D42" s="414">
        <f>E20</f>
        <v>5476531.7647058824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23.25" customHeight="1" x14ac:dyDescent="0.35">
      <c r="A43" s="36" t="s">
        <v>272</v>
      </c>
      <c r="B43" s="944" t="s">
        <v>379</v>
      </c>
      <c r="C43" s="945"/>
      <c r="D43" s="37">
        <f>D28</f>
        <v>4224336.12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25" customHeight="1" x14ac:dyDescent="0.35">
      <c r="A44" s="38"/>
      <c r="B44" s="946" t="s">
        <v>274</v>
      </c>
      <c r="C44" s="947"/>
      <c r="D44" s="39">
        <f>SUM(D41:D43)</f>
        <v>14415916.570764825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23.25" customHeight="1" x14ac:dyDescent="0.35">
      <c r="A45" s="40" t="s">
        <v>275</v>
      </c>
      <c r="B45" s="39" t="s">
        <v>276</v>
      </c>
      <c r="C45" s="39" t="s">
        <v>277</v>
      </c>
      <c r="D45" s="3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23.25" customHeight="1" x14ac:dyDescent="0.35">
      <c r="A46" s="38" t="s">
        <v>380</v>
      </c>
      <c r="B46" s="41">
        <f>Assumptions!B92</f>
        <v>150</v>
      </c>
      <c r="C46" s="42">
        <f>D46/C12</f>
        <v>3.8342307692307691</v>
      </c>
      <c r="D46" s="41">
        <f>B46*B30*12</f>
        <v>612058.2576923077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23.25" customHeight="1" x14ac:dyDescent="0.35">
      <c r="A47" s="38" t="s">
        <v>279</v>
      </c>
      <c r="B47" s="41">
        <f>D47/B12</f>
        <v>4207.196317057852</v>
      </c>
      <c r="C47" s="42">
        <f>D47/C12</f>
        <v>6.3215821584510294</v>
      </c>
      <c r="D47" s="41">
        <f>0.07*D44</f>
        <v>1009114.1599535379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23.25" customHeight="1" x14ac:dyDescent="0.35">
      <c r="A48" s="43" t="s">
        <v>280</v>
      </c>
      <c r="B48" s="948"/>
      <c r="C48" s="949"/>
      <c r="D48" s="44">
        <f>SUM(D46:D47)</f>
        <v>1621172.4176458456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25" customHeight="1" x14ac:dyDescent="0.35">
      <c r="A49" s="180">
        <v>0.05</v>
      </c>
      <c r="B49" s="950"/>
      <c r="C49" s="951"/>
      <c r="D49" s="46">
        <f>-A49*(D44-D42)</f>
        <v>-446969.24030294718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23.25" customHeight="1" x14ac:dyDescent="0.35">
      <c r="A50" s="47" t="s">
        <v>281</v>
      </c>
      <c r="B50" s="48">
        <f>D50/B12</f>
        <v>64998.289578802127</v>
      </c>
      <c r="C50" s="49">
        <f>D50/C12</f>
        <v>97.664096649174496</v>
      </c>
      <c r="D50" s="240">
        <f>D44+D48+D49</f>
        <v>15590119.748107724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23.25" customHeight="1" x14ac:dyDescent="0.35">
      <c r="A51" s="542" t="s">
        <v>282</v>
      </c>
      <c r="B51" s="543" t="s">
        <v>268</v>
      </c>
      <c r="C51" s="543" t="s">
        <v>283</v>
      </c>
      <c r="D51" s="549" t="s">
        <v>270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23.25" customHeight="1" x14ac:dyDescent="0.35">
      <c r="A52" s="241" t="s">
        <v>284</v>
      </c>
      <c r="B52" s="242">
        <f>D52/B12</f>
        <v>-18030.841358819362</v>
      </c>
      <c r="C52" s="242">
        <f>D52/C12</f>
        <v>-27.09249496479012</v>
      </c>
      <c r="D52" s="242">
        <f>-0.3*D44</f>
        <v>-4324774.9712294471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23.25" customHeight="1" x14ac:dyDescent="0.35">
      <c r="A53" s="50" t="s">
        <v>285</v>
      </c>
      <c r="B53" s="243">
        <f>D53/B12</f>
        <v>46967.448219982769</v>
      </c>
      <c r="C53" s="244"/>
      <c r="D53" s="243">
        <f>D50+D52</f>
        <v>11265344.776878277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23.25" customHeight="1" x14ac:dyDescent="0.35">
      <c r="A54" s="607" t="s">
        <v>286</v>
      </c>
      <c r="B54" s="608" t="s">
        <v>287</v>
      </c>
      <c r="C54" s="609">
        <v>4.4999999999999998E-2</v>
      </c>
      <c r="D54" s="903">
        <f>D53/C54</f>
        <v>250340995.04173949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23.25" customHeight="1" x14ac:dyDescent="0.35">
      <c r="A55" s="952" t="s">
        <v>288</v>
      </c>
      <c r="B55" s="953"/>
      <c r="C55" s="966" t="s">
        <v>61</v>
      </c>
      <c r="D55" s="955"/>
      <c r="E55" s="22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23.25" customHeight="1" x14ac:dyDescent="0.35">
      <c r="A56" s="610"/>
      <c r="B56" s="611" t="s">
        <v>289</v>
      </c>
      <c r="C56" s="611" t="s">
        <v>290</v>
      </c>
      <c r="D56" s="612" t="s">
        <v>268</v>
      </c>
      <c r="E56" s="22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23.25" customHeight="1" x14ac:dyDescent="0.35">
      <c r="A57" s="245" t="s">
        <v>291</v>
      </c>
      <c r="B57" s="613">
        <v>210</v>
      </c>
      <c r="C57" s="246">
        <f>B57*(C12+B28+Assumptions!E69+Assumptions!E77+46300+31500)</f>
        <v>90988800</v>
      </c>
      <c r="D57" s="246">
        <f t="shared" ref="D57:D77" si="2">C57/B$12</f>
        <v>379350.28507690242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23.25" customHeight="1" x14ac:dyDescent="0.35">
      <c r="A58" s="245" t="s">
        <v>292</v>
      </c>
      <c r="B58" s="415">
        <f>Assumptions!C91</f>
        <v>22500</v>
      </c>
      <c r="C58" s="246">
        <f>B32*B58</f>
        <v>22075478.221153848</v>
      </c>
      <c r="D58" s="41">
        <f t="shared" si="2"/>
        <v>92037.03045213985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23.25" customHeight="1" x14ac:dyDescent="0.35">
      <c r="A59" s="245" t="s">
        <v>293</v>
      </c>
      <c r="B59" s="52">
        <v>0.1</v>
      </c>
      <c r="C59" s="246">
        <f>B59*C57</f>
        <v>9098880</v>
      </c>
      <c r="D59" s="41">
        <f t="shared" si="2"/>
        <v>37935.028507690244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3.25" customHeight="1" x14ac:dyDescent="0.35">
      <c r="A60" s="245" t="s">
        <v>170</v>
      </c>
      <c r="B60" s="532" t="s">
        <v>294</v>
      </c>
      <c r="C60" s="247">
        <f>10*'Parcel Data'!D48</f>
        <v>12844080</v>
      </c>
      <c r="D60" s="41">
        <f t="shared" si="2"/>
        <v>53549.507297057891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3.25" customHeight="1" x14ac:dyDescent="0.35">
      <c r="A61" s="245" t="s">
        <v>381</v>
      </c>
      <c r="B61" s="53" t="s">
        <v>382</v>
      </c>
      <c r="C61" s="481">
        <f>'Parcel Data'!F46+('Parcel Data'!F47*0.75)</f>
        <v>20813066.283723846</v>
      </c>
      <c r="D61" s="41">
        <f t="shared" si="2"/>
        <v>86773.785653345331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3.25" customHeight="1" x14ac:dyDescent="0.35">
      <c r="A62" s="245" t="s">
        <v>297</v>
      </c>
      <c r="B62" s="54">
        <v>5000</v>
      </c>
      <c r="C62" s="246">
        <f>B12*B62</f>
        <v>1199271.5384615385</v>
      </c>
      <c r="D62" s="41">
        <f t="shared" si="2"/>
        <v>5000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3.25" customHeight="1" x14ac:dyDescent="0.35">
      <c r="A63" s="245" t="s">
        <v>298</v>
      </c>
      <c r="B63" s="533" t="s">
        <v>299</v>
      </c>
      <c r="C63" s="247">
        <f>730000*25</f>
        <v>18250000</v>
      </c>
      <c r="D63" s="41">
        <f t="shared" si="2"/>
        <v>76087.855897137546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3.25" customHeight="1" x14ac:dyDescent="0.35">
      <c r="A64" s="3" t="s">
        <v>300</v>
      </c>
      <c r="B64" s="56" t="s">
        <v>301</v>
      </c>
      <c r="C64" s="57">
        <v>400000</v>
      </c>
      <c r="D64" s="41">
        <f t="shared" si="2"/>
        <v>1667.679033361919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3.25" customHeight="1" x14ac:dyDescent="0.35">
      <c r="A65" s="3" t="s">
        <v>302</v>
      </c>
      <c r="B65" s="56" t="s">
        <v>301</v>
      </c>
      <c r="C65" s="57">
        <v>600000</v>
      </c>
      <c r="D65" s="41">
        <f t="shared" si="2"/>
        <v>2501.5185500428784</v>
      </c>
      <c r="E65" s="5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1.75" customHeight="1" x14ac:dyDescent="0.35">
      <c r="A66" s="3" t="s">
        <v>303</v>
      </c>
      <c r="B66" s="59">
        <v>0.04</v>
      </c>
      <c r="C66" s="41">
        <f>B66*(C57+C59)</f>
        <v>4003507.2</v>
      </c>
      <c r="D66" s="41">
        <f t="shared" si="2"/>
        <v>16691.412543383707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2.5" customHeight="1" x14ac:dyDescent="0.35">
      <c r="A67" s="3" t="s">
        <v>46</v>
      </c>
      <c r="B67" s="60">
        <v>0.03</v>
      </c>
      <c r="C67" s="41">
        <f>B67*SUM(C57:C66)</f>
        <v>5408192.4973001759</v>
      </c>
      <c r="D67" s="41">
        <f t="shared" si="2"/>
        <v>22547.823090331851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23.25" customHeight="1" x14ac:dyDescent="0.35">
      <c r="A68" s="3" t="s">
        <v>304</v>
      </c>
      <c r="B68" s="59">
        <v>0.03</v>
      </c>
      <c r="C68" s="41">
        <f>B68*(C57+C59)</f>
        <v>3002630.4</v>
      </c>
      <c r="D68" s="41">
        <f t="shared" si="2"/>
        <v>12518.559407537779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26.25" customHeight="1" x14ac:dyDescent="0.35">
      <c r="A69" s="3" t="s">
        <v>305</v>
      </c>
      <c r="B69" s="61" t="s">
        <v>301</v>
      </c>
      <c r="C69" s="57">
        <v>1300000</v>
      </c>
      <c r="D69" s="41">
        <f t="shared" si="2"/>
        <v>5419.9568584262361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23.25" customHeight="1" x14ac:dyDescent="0.35">
      <c r="A70" s="3" t="s">
        <v>306</v>
      </c>
      <c r="B70" s="62">
        <v>3000</v>
      </c>
      <c r="C70" s="41">
        <f>B70*B12</f>
        <v>719562.92307692312</v>
      </c>
      <c r="D70" s="41">
        <f t="shared" si="2"/>
        <v>3000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23.25" customHeight="1" x14ac:dyDescent="0.35">
      <c r="A71" s="3" t="s">
        <v>307</v>
      </c>
      <c r="B71" s="56" t="s">
        <v>301</v>
      </c>
      <c r="C71" s="57">
        <v>500000</v>
      </c>
      <c r="D71" s="41">
        <f t="shared" si="2"/>
        <v>2084.5987917023986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23.25" customHeight="1" x14ac:dyDescent="0.35">
      <c r="A72" s="3" t="s">
        <v>308</v>
      </c>
      <c r="B72" s="63">
        <v>6</v>
      </c>
      <c r="C72" s="41">
        <f>-B72*(D52/12)</f>
        <v>2162387.4856147235</v>
      </c>
      <c r="D72" s="41">
        <f t="shared" si="2"/>
        <v>9015.4206794096808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23.25" customHeight="1" x14ac:dyDescent="0.35">
      <c r="A73" s="3" t="s">
        <v>309</v>
      </c>
      <c r="B73" s="64">
        <v>45</v>
      </c>
      <c r="C73" s="41">
        <f>B28*B73</f>
        <v>4808250</v>
      </c>
      <c r="D73" s="41">
        <f t="shared" si="2"/>
        <v>20046.544280406117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27" customHeight="1" x14ac:dyDescent="0.35">
      <c r="A74" s="3" t="s">
        <v>310</v>
      </c>
      <c r="B74" s="65">
        <v>0.06</v>
      </c>
      <c r="C74" s="41">
        <f>B74*D28*5</f>
        <v>1267300.8359999999</v>
      </c>
      <c r="D74" s="41">
        <f t="shared" si="2"/>
        <v>5283.6275828980788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27" customHeight="1" x14ac:dyDescent="0.35">
      <c r="A75" s="3" t="s">
        <v>311</v>
      </c>
      <c r="B75" s="66">
        <v>1.4999999999999999E-2</v>
      </c>
      <c r="C75" s="310">
        <v>1843125</v>
      </c>
      <c r="D75" s="41">
        <f t="shared" si="2"/>
        <v>7684.3522959129668</v>
      </c>
      <c r="E75" s="967"/>
      <c r="F75" s="928"/>
      <c r="G75" s="74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23.25" customHeight="1" x14ac:dyDescent="0.35">
      <c r="A76" s="67" t="s">
        <v>312</v>
      </c>
      <c r="B76" s="68">
        <v>0.05</v>
      </c>
      <c r="C76" s="310">
        <v>6151450</v>
      </c>
      <c r="D76" s="41">
        <f t="shared" si="2"/>
        <v>25646.610474435442</v>
      </c>
      <c r="E76" s="967"/>
      <c r="F76" s="928"/>
      <c r="G76" s="74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23.25" customHeight="1" x14ac:dyDescent="0.35">
      <c r="A77" s="6" t="s">
        <v>313</v>
      </c>
      <c r="B77" s="69" t="s">
        <v>301</v>
      </c>
      <c r="C77" s="70">
        <v>2000000</v>
      </c>
      <c r="D77" s="41">
        <f t="shared" si="2"/>
        <v>8338.3951668095942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23.25" customHeight="1" x14ac:dyDescent="0.35">
      <c r="A78" s="567" t="s">
        <v>314</v>
      </c>
      <c r="B78" s="568"/>
      <c r="C78" s="576">
        <f>SUM(C57:C77)</f>
        <v>209435982.38533103</v>
      </c>
      <c r="D78" s="576">
        <f>ROUND(C78/B12,-3)</f>
        <v>873000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23.25" customHeight="1" x14ac:dyDescent="0.35">
      <c r="A79" s="569" t="s">
        <v>315</v>
      </c>
      <c r="B79" s="570">
        <f>D53/C78</f>
        <v>5.3788965241663773E-2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23.25" customHeight="1" x14ac:dyDescent="0.35">
      <c r="A80" s="571" t="s">
        <v>316</v>
      </c>
      <c r="B80" s="572">
        <f>(D54/C78)-1</f>
        <v>0.19531033870363945</v>
      </c>
      <c r="C80" s="79"/>
      <c r="D80" s="8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23.25" customHeight="1" x14ac:dyDescent="0.35">
      <c r="A81" s="573">
        <v>0.3</v>
      </c>
      <c r="B81" s="574">
        <f>(D54/(1+A81))</f>
        <v>192569996.18595344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23.25" customHeight="1" x14ac:dyDescent="0.35">
      <c r="A82" s="575">
        <v>0.3</v>
      </c>
      <c r="B82" s="574">
        <f>ROUND((D54/(1+A82))-C78,-3)</f>
        <v>-16866000</v>
      </c>
      <c r="C82" s="8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23.25" customHeight="1" x14ac:dyDescent="0.35">
      <c r="A83" s="85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5" customHeight="1" x14ac:dyDescent="0.35">
      <c r="A84" s="962" t="s">
        <v>317</v>
      </c>
      <c r="B84" s="940"/>
      <c r="C84" s="563" t="s">
        <v>61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23.25" customHeight="1" x14ac:dyDescent="0.35">
      <c r="A85" s="248"/>
      <c r="B85" s="249" t="s">
        <v>6</v>
      </c>
      <c r="C85" s="250" t="s">
        <v>283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23.25" customHeight="1" x14ac:dyDescent="0.35">
      <c r="A86" s="251" t="s">
        <v>383</v>
      </c>
      <c r="B86" s="277">
        <f>IF(B82&lt;0,B82,0)</f>
        <v>-16866000</v>
      </c>
      <c r="C86" s="19">
        <f>B86/(C12+C21+B28)</f>
        <v>-63.191023023173038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23.25" customHeight="1" x14ac:dyDescent="0.35">
      <c r="A87" s="253" t="s">
        <v>319</v>
      </c>
      <c r="B87" s="277">
        <f>C78+B86</f>
        <v>192569982.38533103</v>
      </c>
      <c r="C87" s="19">
        <f>B87/(C12+C21+B28)</f>
        <v>721.49259993380053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23.25" customHeight="1" x14ac:dyDescent="0.35">
      <c r="A88" s="294">
        <f>Assumptions!I56</f>
        <v>0.65</v>
      </c>
      <c r="B88" s="246">
        <f>C78*A88</f>
        <v>136133388.55046517</v>
      </c>
      <c r="C88" s="500">
        <f>B88/(C12+C21+B28)</f>
        <v>510.04435492203282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23.25" customHeight="1" x14ac:dyDescent="0.35">
      <c r="A89" s="254" t="s">
        <v>32</v>
      </c>
      <c r="B89" s="644">
        <f>Assumptions!I59</f>
        <v>2158688.7692307695</v>
      </c>
      <c r="C89" s="501">
        <f>B89/(C12+C21+B28)</f>
        <v>8.0878543647768666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23.25" customHeight="1" x14ac:dyDescent="0.35">
      <c r="A90" s="493" t="s">
        <v>320</v>
      </c>
      <c r="B90" s="41">
        <f>Assumptions!I63</f>
        <v>1170000</v>
      </c>
      <c r="C90" s="502">
        <f>B90/(C12+C21+B28)</f>
        <v>4.3835821734324947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23.25" customHeight="1" x14ac:dyDescent="0.35">
      <c r="A91" s="535" t="s">
        <v>384</v>
      </c>
      <c r="B91" s="246">
        <f>46300*210</f>
        <v>9723000</v>
      </c>
      <c r="C91" s="502">
        <f>B91/(C12+C21+B28)</f>
        <v>36.428691856653117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23.25" customHeight="1" x14ac:dyDescent="0.35">
      <c r="A92" s="645" t="s">
        <v>120</v>
      </c>
      <c r="B92" s="644">
        <f>Assumptions!I69</f>
        <v>4331250</v>
      </c>
      <c r="C92" s="502">
        <f>B92/(C12+C21+B28)</f>
        <v>16.227684007418368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24" customHeight="1" x14ac:dyDescent="0.35">
      <c r="A93" s="534">
        <f>Assumptions!I72</f>
        <v>0.26700118302857456</v>
      </c>
      <c r="B93" s="71">
        <f>ROUND(A93*C78,-3)</f>
        <v>55920000</v>
      </c>
      <c r="C93" s="503">
        <f>B93/(C12+C21+B28)</f>
        <v>209.51274798149154</v>
      </c>
      <c r="D93" s="8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35.25" customHeight="1" x14ac:dyDescent="0.35">
      <c r="A94" s="227" t="s">
        <v>321</v>
      </c>
      <c r="B94" s="242">
        <f>B88+B93+B89+B90+B91+B92</f>
        <v>209436327.31969595</v>
      </c>
      <c r="C94" s="504">
        <f>B94/(C12+C21+B28)</f>
        <v>784.68491530580525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23.25" customHeight="1" x14ac:dyDescent="0.35">
      <c r="A95" s="258"/>
      <c r="B95" s="259"/>
      <c r="C95" s="26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21.75" customHeight="1" x14ac:dyDescent="0.35">
      <c r="A96" s="932" t="s">
        <v>322</v>
      </c>
      <c r="B96" s="933"/>
      <c r="C96" s="562" t="s">
        <v>61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48" customHeight="1" x14ac:dyDescent="0.35">
      <c r="A97" s="261"/>
      <c r="B97" s="87" t="s">
        <v>323</v>
      </c>
      <c r="C97" s="8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36.75" customHeight="1" x14ac:dyDescent="0.35">
      <c r="A98" s="88" t="s">
        <v>324</v>
      </c>
      <c r="B98" s="90">
        <f>ROUND(D54,-2)</f>
        <v>250341000</v>
      </c>
      <c r="C98" s="90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29.25" customHeight="1" x14ac:dyDescent="0.35">
      <c r="A99" s="91">
        <v>0.02</v>
      </c>
      <c r="B99" s="181">
        <f>(-ROUND(A99*B98,-2))</f>
        <v>-5006800</v>
      </c>
      <c r="C99" s="9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37.5" customHeight="1" x14ac:dyDescent="0.35">
      <c r="A100" s="262" t="s">
        <v>325</v>
      </c>
      <c r="B100" s="95">
        <f>B98+B99</f>
        <v>245334200</v>
      </c>
      <c r="C100" s="95"/>
      <c r="D100" s="2"/>
      <c r="E100" s="9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29.25" customHeight="1" x14ac:dyDescent="0.35">
      <c r="A101" s="88" t="s">
        <v>326</v>
      </c>
      <c r="B101" s="90">
        <f>-B88</f>
        <v>-136133388.55046517</v>
      </c>
      <c r="C101" s="9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23.25" customHeight="1" x14ac:dyDescent="0.35">
      <c r="A102" s="97" t="s">
        <v>327</v>
      </c>
      <c r="B102" s="93">
        <f t="shared" ref="B102" si="3">-B93</f>
        <v>-55920000</v>
      </c>
      <c r="C102" s="9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23.25" customHeight="1" x14ac:dyDescent="0.35">
      <c r="A103" s="229" t="s">
        <v>328</v>
      </c>
      <c r="B103" s="100">
        <f>ROUND(B100+B101+B102,-2)</f>
        <v>53280800</v>
      </c>
      <c r="C103" s="100"/>
      <c r="D103" s="10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23.25" customHeight="1" x14ac:dyDescent="0.35">
      <c r="A104" s="934" t="s">
        <v>329</v>
      </c>
      <c r="B104" s="935"/>
      <c r="C104" s="93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23.25" customHeight="1" x14ac:dyDescent="0.35">
      <c r="A105" s="102" t="s">
        <v>330</v>
      </c>
      <c r="B105" s="103">
        <f>ROUND((B98)/B12,-2)</f>
        <v>1043700</v>
      </c>
      <c r="C105" s="10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23.25" customHeight="1" x14ac:dyDescent="0.35">
      <c r="A106" s="104" t="s">
        <v>331</v>
      </c>
      <c r="B106" s="105">
        <f>B100/B12</f>
        <v>1022846.7537665492</v>
      </c>
      <c r="C106" s="10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 hidden="1" customHeight="1" x14ac:dyDescent="0.35">
      <c r="A107" s="963" t="s">
        <v>332</v>
      </c>
      <c r="B107" s="964"/>
      <c r="C107" s="96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23.25" customHeight="1" x14ac:dyDescent="0.35">
      <c r="A108" s="937" t="s">
        <v>332</v>
      </c>
      <c r="B108" s="933"/>
      <c r="C108" s="93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29.25" customHeight="1" x14ac:dyDescent="0.35">
      <c r="A109" s="263"/>
      <c r="B109" s="87" t="s">
        <v>323</v>
      </c>
      <c r="C109" s="8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23.25" customHeight="1" x14ac:dyDescent="0.35">
      <c r="A110" s="107" t="s">
        <v>333</v>
      </c>
      <c r="B110" s="108">
        <f>(B103+B93)/B93</f>
        <v>1.9528040057224607</v>
      </c>
      <c r="C110" s="10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23.25" customHeight="1" x14ac:dyDescent="0.35">
      <c r="A111" s="109" t="s">
        <v>334</v>
      </c>
      <c r="B111" s="494">
        <f>'Phase II Draw'!B38</f>
        <v>0.18788262747755891</v>
      </c>
      <c r="C111" s="110"/>
      <c r="D111" s="11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23.25" customHeight="1" x14ac:dyDescent="0.35">
      <c r="A112" s="109" t="s">
        <v>335</v>
      </c>
      <c r="B112" s="494">
        <f>'Phase II Draw'!B43</f>
        <v>0.10743932806863699</v>
      </c>
      <c r="C112" s="110"/>
      <c r="D112" s="11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23.25" customHeight="1" x14ac:dyDescent="0.35">
      <c r="A113" s="107" t="s">
        <v>336</v>
      </c>
      <c r="B113" s="113">
        <f>D53/B88</f>
        <v>8.2752254217944271E-2</v>
      </c>
      <c r="C113" s="1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23.25" customHeight="1" x14ac:dyDescent="0.35">
      <c r="A114" s="107" t="s">
        <v>337</v>
      </c>
      <c r="B114" s="113">
        <f>C54</f>
        <v>4.4999999999999998E-2</v>
      </c>
      <c r="C114" s="1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23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23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23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23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23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23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23.25" hidden="1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23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23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23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23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23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23.25" customHeight="1" x14ac:dyDescent="0.35">
      <c r="A127" s="182"/>
      <c r="B127" s="182"/>
      <c r="C127" s="182"/>
      <c r="D127" s="2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23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23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23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23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23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23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23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23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23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23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23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23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23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23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23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23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23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23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23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23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23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23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23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23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23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23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23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23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23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23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23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23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23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23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23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23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23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23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23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23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23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23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23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23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23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23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23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23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23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23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23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23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23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23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23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23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23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23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23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23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23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23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23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23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23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23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23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23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23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23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23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23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23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23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23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23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23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23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23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23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23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23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23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23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23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23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23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23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23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23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23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23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ht="23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ht="23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ht="23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ht="23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ht="23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ht="23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ht="23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ht="23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ht="23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ht="23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ht="23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ht="23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ht="23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ht="23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ht="23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ht="23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ht="23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ht="23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ht="23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ht="23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ht="23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ht="23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ht="23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ht="23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ht="23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ht="23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ht="23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ht="23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ht="23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ht="23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ht="23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ht="23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ht="23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ht="23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ht="23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ht="23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ht="23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ht="23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23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ht="23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ht="23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ht="23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ht="23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ht="23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23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ht="23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ht="23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ht="23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ht="23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ht="23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23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ht="23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ht="23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ht="23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ht="23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ht="23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23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ht="23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ht="23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ht="23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ht="23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ht="23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23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ht="23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ht="23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ht="23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ht="23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ht="23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23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ht="23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ht="23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ht="23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ht="23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ht="23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ht="23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ht="23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ht="23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ht="23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ht="23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ht="23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ht="23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ht="23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ht="23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ht="23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ht="23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ht="23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ht="23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ht="23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ht="23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ht="23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ht="23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ht="23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ht="23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ht="23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ht="23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ht="23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ht="23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ht="23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ht="23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ht="23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ht="23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ht="23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ht="23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ht="23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ht="23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ht="23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ht="23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ht="23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ht="23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ht="23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ht="23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ht="23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ht="23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ht="23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ht="23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ht="23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ht="23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ht="23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23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23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ht="23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ht="23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ht="23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ht="23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ht="23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ht="23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ht="23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ht="23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ht="23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ht="23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ht="23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ht="23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ht="23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ht="23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ht="23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ht="23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ht="23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ht="23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23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23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23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23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23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23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23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23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23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23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ht="23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ht="23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ht="23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ht="23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ht="23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ht="23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ht="23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ht="23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ht="23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ht="23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ht="23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ht="23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ht="23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ht="23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ht="23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ht="23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ht="23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ht="23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ht="23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ht="23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ht="23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ht="23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ht="23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ht="23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ht="23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ht="23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ht="23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ht="23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ht="23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ht="23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ht="23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ht="23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ht="23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ht="23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ht="23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ht="23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ht="23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ht="23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ht="23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ht="23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ht="23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ht="23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ht="23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ht="23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ht="23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ht="23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ht="23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ht="23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ht="23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ht="23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ht="23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ht="23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ht="23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ht="23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ht="23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ht="23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ht="23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ht="23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ht="23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ht="23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ht="23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ht="23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ht="23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ht="23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ht="23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ht="23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ht="23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ht="23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ht="23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ht="23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ht="23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ht="23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ht="23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ht="23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ht="23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ht="23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ht="23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ht="23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ht="23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ht="23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ht="23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ht="23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ht="23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ht="23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ht="23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ht="23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ht="23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ht="23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ht="23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ht="23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ht="23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ht="23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ht="23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ht="23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ht="23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ht="23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ht="23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ht="23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ht="23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ht="23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ht="23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ht="23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ht="23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ht="23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ht="23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ht="23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ht="23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ht="23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ht="23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ht="23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ht="23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ht="23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ht="23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ht="23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ht="23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ht="23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ht="23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ht="23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ht="23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ht="23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ht="23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ht="23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ht="23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ht="23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ht="23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ht="23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ht="23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ht="23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ht="23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ht="23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ht="23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ht="23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ht="23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ht="23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ht="23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ht="23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ht="23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ht="23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ht="23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ht="23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ht="23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ht="23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ht="23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ht="23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ht="23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ht="23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ht="23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ht="23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ht="23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ht="23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ht="23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ht="23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ht="23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ht="23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ht="23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ht="23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ht="23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ht="23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ht="23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ht="23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ht="23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ht="23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ht="23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ht="23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ht="23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ht="23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ht="23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ht="23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ht="23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ht="23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ht="23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ht="23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ht="23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ht="23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ht="23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ht="23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ht="23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ht="23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ht="23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ht="23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ht="23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ht="23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ht="23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ht="23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ht="23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ht="23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ht="23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ht="23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ht="23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ht="23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ht="23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ht="23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ht="23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ht="23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ht="23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ht="23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ht="23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ht="23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ht="23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ht="23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ht="23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ht="23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ht="23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ht="23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ht="23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ht="23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ht="23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ht="23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ht="23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ht="23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ht="23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ht="23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ht="23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ht="23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ht="23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ht="23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ht="23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ht="23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ht="23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ht="23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ht="23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ht="23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ht="23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ht="23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ht="23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ht="23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ht="23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ht="23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ht="23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ht="23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ht="23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ht="23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ht="23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ht="23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ht="23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ht="23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ht="23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ht="23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ht="23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ht="23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ht="23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ht="23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ht="23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ht="23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ht="23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ht="23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ht="23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ht="23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ht="23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ht="23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ht="23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ht="23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ht="23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ht="23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ht="23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ht="23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ht="23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ht="23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ht="23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ht="23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ht="23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ht="23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ht="23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ht="23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ht="23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ht="23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ht="23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ht="23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ht="23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ht="23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ht="23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ht="23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ht="23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ht="23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ht="23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ht="23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ht="23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ht="23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ht="23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ht="23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ht="23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ht="23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ht="23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ht="23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ht="23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ht="23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ht="23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ht="23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ht="23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ht="23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ht="23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ht="23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ht="23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ht="23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ht="23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ht="23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ht="23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ht="23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ht="23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ht="23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ht="23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ht="23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ht="23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ht="23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ht="23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ht="23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ht="23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ht="23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ht="23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ht="23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ht="23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ht="23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ht="23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ht="23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ht="23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ht="23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ht="23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ht="23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ht="23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ht="23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ht="23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ht="23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ht="23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ht="23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ht="23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ht="23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ht="23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ht="23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ht="23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ht="23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ht="23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ht="23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ht="23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ht="23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ht="23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ht="23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ht="23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ht="23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ht="23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ht="23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ht="23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ht="23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ht="23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ht="23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ht="23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ht="23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ht="23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ht="23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ht="23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ht="23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ht="23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ht="23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ht="23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ht="23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ht="23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ht="23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ht="23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ht="23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ht="23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ht="23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ht="23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ht="23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23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23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23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23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23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23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ht="23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23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ht="23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ht="23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ht="23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ht="23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ht="23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ht="23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ht="23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ht="23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ht="23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ht="23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ht="23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ht="23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ht="23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ht="23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ht="23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ht="23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ht="23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ht="23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ht="23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ht="23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ht="23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ht="23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ht="23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ht="23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ht="23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ht="23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ht="23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ht="23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ht="23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ht="23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ht="23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ht="23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ht="23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ht="23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ht="23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23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23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23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23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23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23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ht="23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ht="23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ht="23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ht="23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ht="23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ht="23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ht="23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ht="23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ht="23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ht="23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ht="23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ht="23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ht="23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ht="23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ht="23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ht="23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ht="23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ht="23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ht="23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ht="23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ht="23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ht="23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ht="23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ht="23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ht="23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ht="23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ht="23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ht="23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ht="23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ht="23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ht="23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ht="23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ht="23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ht="23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ht="23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ht="23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ht="23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ht="23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ht="23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ht="23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ht="23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ht="23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ht="23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ht="23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ht="23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ht="23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ht="23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ht="23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ht="23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ht="23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ht="23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ht="23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ht="23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ht="23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ht="23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ht="23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ht="23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ht="23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ht="23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ht="23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ht="23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ht="23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ht="23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23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23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23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23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23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23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23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ht="23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ht="23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ht="23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ht="23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ht="23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ht="23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ht="23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ht="23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ht="23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ht="23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ht="23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ht="23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ht="23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ht="23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ht="23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ht="23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ht="23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ht="23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ht="23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ht="23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ht="23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ht="23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ht="23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ht="23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ht="23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ht="23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ht="23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ht="23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ht="23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ht="23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ht="23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ht="23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ht="23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ht="23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ht="23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ht="23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ht="23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ht="23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ht="23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ht="23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ht="23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ht="23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ht="23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ht="23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ht="23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ht="23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ht="23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ht="23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ht="23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ht="23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ht="23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ht="23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ht="23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ht="23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ht="23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ht="23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ht="23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ht="23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ht="23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ht="23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ht="23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ht="23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ht="23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ht="23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ht="23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ht="23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ht="23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ht="23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ht="23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ht="23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ht="23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ht="23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ht="23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ht="23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ht="23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ht="23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ht="23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ht="23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ht="23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ht="23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ht="23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ht="23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ht="23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ht="23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ht="23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ht="23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ht="23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ht="23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ht="23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ht="23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ht="23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ht="23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ht="23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ht="23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ht="23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ht="23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ht="23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ht="23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ht="23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ht="23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ht="23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ht="23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ht="23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ht="23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ht="23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ht="23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ht="23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ht="23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ht="23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ht="23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ht="23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ht="23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ht="23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ht="23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ht="23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ht="23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ht="23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ht="23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ht="23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ht="23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ht="23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ht="23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ht="23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ht="23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ht="23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ht="23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ht="23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ht="23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ht="23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ht="23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ht="23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ht="23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ht="23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ht="23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ht="23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ht="23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ht="23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ht="23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ht="23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ht="23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ht="23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ht="23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ht="23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ht="23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ht="23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ht="23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ht="23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ht="23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ht="23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ht="23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ht="23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ht="23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ht="23.2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ht="23.25" customHeigh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ht="23.25" customHeigh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 ht="23.25" customHeigh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 ht="23.25" customHeigh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 ht="23.25" customHeigh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 ht="23.25" customHeigh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 ht="23.25" customHeigh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 ht="23.25" customHeigh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 ht="23.25" customHeigh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 ht="23.25" customHeigh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 ht="23.25" customHeigh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 ht="23.25" customHeigh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 ht="23.25" customHeigh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 ht="23.25" customHeigh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  <row r="1016" spans="1:51" ht="23.25" customHeigh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</row>
    <row r="1017" spans="1:51" ht="23.25" customHeigh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</row>
  </sheetData>
  <mergeCells count="18">
    <mergeCell ref="E75:F75"/>
    <mergeCell ref="E76:F76"/>
    <mergeCell ref="A1:C1"/>
    <mergeCell ref="D1:E1"/>
    <mergeCell ref="A39:B39"/>
    <mergeCell ref="C39:D39"/>
    <mergeCell ref="B43:C43"/>
    <mergeCell ref="B42:C42"/>
    <mergeCell ref="A84:B84"/>
    <mergeCell ref="A96:B96"/>
    <mergeCell ref="B44:C44"/>
    <mergeCell ref="B48:C48"/>
    <mergeCell ref="A108:C108"/>
    <mergeCell ref="A104:C104"/>
    <mergeCell ref="A107:C107"/>
    <mergeCell ref="B49:C49"/>
    <mergeCell ref="A55:B55"/>
    <mergeCell ref="C55:D55"/>
  </mergeCells>
  <printOptions horizontalCentered="1" verticalCentered="1"/>
  <pageMargins left="0.7" right="0.7" top="0.75" bottom="0.75" header="0" footer="0"/>
  <pageSetup fitToHeight="0" orientation="landscape"/>
  <headerFooter>
    <oddHeader>&amp;C000000INVESTOR SHEET</oddHeader>
    <oddFooter>&amp;CPage &amp;P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Z1000"/>
  <sheetViews>
    <sheetView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C35" sqref="C35"/>
    </sheetView>
  </sheetViews>
  <sheetFormatPr defaultColWidth="14.453125" defaultRowHeight="15" customHeight="1" x14ac:dyDescent="0.35"/>
  <cols>
    <col min="1" max="1" width="45.54296875" customWidth="1"/>
    <col min="2" max="2" width="14.81640625" customWidth="1"/>
    <col min="3" max="3" width="18.1796875" customWidth="1"/>
    <col min="4" max="4" width="15.54296875" customWidth="1"/>
    <col min="5" max="5" width="17.1796875" customWidth="1"/>
    <col min="6" max="6" width="17.81640625" customWidth="1"/>
    <col min="7" max="7" width="14.453125" customWidth="1"/>
    <col min="8" max="8" width="19" customWidth="1"/>
    <col min="9" max="9" width="15.54296875" customWidth="1"/>
    <col min="10" max="10" width="16.453125" customWidth="1"/>
    <col min="11" max="11" width="17.54296875" customWidth="1"/>
    <col min="12" max="12" width="14.1796875" customWidth="1"/>
    <col min="13" max="13" width="14.453125" customWidth="1"/>
    <col min="14" max="14" width="15.453125" customWidth="1"/>
    <col min="15" max="15" width="16.1796875" customWidth="1"/>
    <col min="16" max="16" width="15.453125" customWidth="1"/>
    <col min="17" max="17" width="13.81640625" customWidth="1"/>
    <col min="18" max="19" width="14" customWidth="1"/>
    <col min="20" max="20" width="12.81640625" customWidth="1"/>
    <col min="21" max="21" width="14.453125" customWidth="1"/>
    <col min="22" max="22" width="16" customWidth="1"/>
    <col min="23" max="23" width="17" customWidth="1"/>
    <col min="24" max="24" width="14.453125" customWidth="1"/>
    <col min="25" max="25" width="13.453125" customWidth="1"/>
    <col min="26" max="26" width="15" customWidth="1"/>
    <col min="27" max="27" width="13.453125" customWidth="1"/>
    <col min="28" max="28" width="16.81640625" customWidth="1"/>
    <col min="29" max="29" width="15" customWidth="1"/>
    <col min="30" max="30" width="16.1796875" customWidth="1"/>
    <col min="31" max="31" width="13.453125" customWidth="1"/>
    <col min="32" max="32" width="17.1796875" customWidth="1"/>
    <col min="33" max="33" width="14.453125" customWidth="1"/>
    <col min="34" max="34" width="17.54296875" customWidth="1"/>
    <col min="35" max="35" width="14.453125" hidden="1" customWidth="1"/>
    <col min="36" max="36" width="14.81640625" hidden="1" customWidth="1"/>
    <col min="37" max="37" width="15" hidden="1" customWidth="1"/>
    <col min="38" max="38" width="15.1796875" hidden="1" customWidth="1"/>
    <col min="39" max="39" width="13.54296875" hidden="1" customWidth="1"/>
    <col min="40" max="40" width="13.81640625" hidden="1" customWidth="1"/>
    <col min="41" max="41" width="15.54296875" hidden="1" customWidth="1"/>
    <col min="42" max="43" width="15" hidden="1" customWidth="1"/>
    <col min="44" max="47" width="15.1796875" hidden="1" customWidth="1"/>
    <col min="48" max="48" width="14.453125" customWidth="1"/>
    <col min="49" max="50" width="17" customWidth="1"/>
    <col min="51" max="51" width="15" customWidth="1"/>
    <col min="52" max="52" width="17.81640625" customWidth="1"/>
  </cols>
  <sheetData>
    <row r="1" spans="1:50" ht="12" customHeight="1" x14ac:dyDescent="0.35">
      <c r="A1" s="957" t="s">
        <v>385</v>
      </c>
      <c r="B1" s="114" t="s">
        <v>339</v>
      </c>
      <c r="C1" s="115" t="s">
        <v>340</v>
      </c>
      <c r="D1" s="115" t="s">
        <v>170</v>
      </c>
      <c r="E1" s="115" t="s">
        <v>171</v>
      </c>
      <c r="F1" s="183" t="s">
        <v>341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2" customHeight="1" x14ac:dyDescent="0.35">
      <c r="A2" s="958"/>
      <c r="B2" s="116" t="s">
        <v>342</v>
      </c>
      <c r="C2" s="117" t="str">
        <f>Assumptions!I80</f>
        <v>1/1/24 to 12/31/27</v>
      </c>
      <c r="D2" s="117" t="str">
        <f>Assumptions!I81</f>
        <v>1/1/28 to 6/30/28</v>
      </c>
      <c r="E2" s="117" t="str">
        <f>Assumptions!I82</f>
        <v>7/1/28 to 6/30/31</v>
      </c>
      <c r="F2" s="119" t="str">
        <f>Assumptions!I83</f>
        <v>7/1/31 to 12/31/31</v>
      </c>
      <c r="G2" s="2"/>
      <c r="L2" s="2"/>
      <c r="M2" s="2"/>
      <c r="N2" s="2"/>
      <c r="O2" s="2"/>
      <c r="R2" s="120" t="s">
        <v>343</v>
      </c>
      <c r="S2" s="120" t="s">
        <v>344</v>
      </c>
      <c r="T2" s="120" t="s">
        <v>345</v>
      </c>
      <c r="U2" s="120" t="s">
        <v>346</v>
      </c>
      <c r="Y2" s="2"/>
      <c r="Z2" s="2"/>
      <c r="AA2" s="2"/>
      <c r="AC2" s="2"/>
      <c r="AF2" s="120" t="s">
        <v>386</v>
      </c>
      <c r="AG2" s="120" t="s">
        <v>387</v>
      </c>
      <c r="AH2" s="120" t="s">
        <v>388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960" t="s">
        <v>350</v>
      </c>
      <c r="AW2" s="961"/>
      <c r="AX2" s="961"/>
    </row>
    <row r="3" spans="1:50" ht="12" customHeight="1" x14ac:dyDescent="0.35">
      <c r="A3" s="958"/>
      <c r="B3" s="278" t="s">
        <v>351</v>
      </c>
      <c r="C3" s="264">
        <v>45292</v>
      </c>
      <c r="D3" s="265">
        <f t="shared" ref="D3:AU3" si="0">EOMONTH(C3,3)</f>
        <v>45412</v>
      </c>
      <c r="E3" s="265">
        <f t="shared" si="0"/>
        <v>45504</v>
      </c>
      <c r="F3" s="265">
        <f t="shared" si="0"/>
        <v>45596</v>
      </c>
      <c r="G3" s="124">
        <f t="shared" si="0"/>
        <v>45688</v>
      </c>
      <c r="H3" s="124">
        <f t="shared" si="0"/>
        <v>45777</v>
      </c>
      <c r="I3" s="124">
        <f t="shared" si="0"/>
        <v>45869</v>
      </c>
      <c r="J3" s="124">
        <f t="shared" si="0"/>
        <v>45961</v>
      </c>
      <c r="K3" s="124">
        <f t="shared" si="0"/>
        <v>46053</v>
      </c>
      <c r="L3" s="124">
        <f t="shared" si="0"/>
        <v>46142</v>
      </c>
      <c r="M3" s="124">
        <f t="shared" si="0"/>
        <v>46234</v>
      </c>
      <c r="N3" s="124">
        <f t="shared" si="0"/>
        <v>46326</v>
      </c>
      <c r="O3" s="124">
        <f t="shared" si="0"/>
        <v>46418</v>
      </c>
      <c r="P3" s="124">
        <f t="shared" si="0"/>
        <v>46507</v>
      </c>
      <c r="Q3" s="124">
        <f t="shared" si="0"/>
        <v>46599</v>
      </c>
      <c r="R3" s="124">
        <f t="shared" si="0"/>
        <v>46691</v>
      </c>
      <c r="S3" s="124">
        <f t="shared" si="0"/>
        <v>46783</v>
      </c>
      <c r="T3" s="124">
        <f t="shared" si="0"/>
        <v>46873</v>
      </c>
      <c r="U3" s="124">
        <f t="shared" si="0"/>
        <v>46965</v>
      </c>
      <c r="V3" s="124">
        <f t="shared" si="0"/>
        <v>47057</v>
      </c>
      <c r="W3" s="124">
        <f t="shared" si="0"/>
        <v>47149</v>
      </c>
      <c r="X3" s="124">
        <f t="shared" si="0"/>
        <v>47238</v>
      </c>
      <c r="Y3" s="124">
        <f t="shared" si="0"/>
        <v>47330</v>
      </c>
      <c r="Z3" s="124">
        <f t="shared" si="0"/>
        <v>47422</v>
      </c>
      <c r="AA3" s="124">
        <f t="shared" si="0"/>
        <v>47514</v>
      </c>
      <c r="AB3" s="124">
        <f t="shared" si="0"/>
        <v>47603</v>
      </c>
      <c r="AC3" s="124">
        <f t="shared" si="0"/>
        <v>47695</v>
      </c>
      <c r="AD3" s="124">
        <f t="shared" si="0"/>
        <v>47787</v>
      </c>
      <c r="AE3" s="124">
        <f t="shared" si="0"/>
        <v>47879</v>
      </c>
      <c r="AF3" s="124">
        <f t="shared" si="0"/>
        <v>47968</v>
      </c>
      <c r="AG3" s="124">
        <f t="shared" si="0"/>
        <v>48060</v>
      </c>
      <c r="AH3" s="124">
        <f t="shared" si="0"/>
        <v>48152</v>
      </c>
      <c r="AI3" s="124">
        <f t="shared" si="0"/>
        <v>48244</v>
      </c>
      <c r="AJ3" s="124">
        <f t="shared" si="0"/>
        <v>48334</v>
      </c>
      <c r="AK3" s="124">
        <f t="shared" si="0"/>
        <v>48426</v>
      </c>
      <c r="AL3" s="124">
        <f t="shared" si="0"/>
        <v>48518</v>
      </c>
      <c r="AM3" s="124">
        <f t="shared" si="0"/>
        <v>48610</v>
      </c>
      <c r="AN3" s="124">
        <f t="shared" si="0"/>
        <v>48699</v>
      </c>
      <c r="AO3" s="124">
        <f t="shared" si="0"/>
        <v>48791</v>
      </c>
      <c r="AP3" s="124">
        <f t="shared" si="0"/>
        <v>48883</v>
      </c>
      <c r="AQ3" s="124">
        <f t="shared" si="0"/>
        <v>48975</v>
      </c>
      <c r="AR3" s="124">
        <f t="shared" si="0"/>
        <v>49064</v>
      </c>
      <c r="AS3" s="124">
        <f t="shared" si="0"/>
        <v>49156</v>
      </c>
      <c r="AT3" s="124">
        <f t="shared" si="0"/>
        <v>49248</v>
      </c>
      <c r="AU3" s="124">
        <f t="shared" si="0"/>
        <v>49340</v>
      </c>
      <c r="AV3" s="124" t="s">
        <v>352</v>
      </c>
      <c r="AW3" s="184" t="s">
        <v>353</v>
      </c>
      <c r="AX3" s="184"/>
    </row>
    <row r="4" spans="1:50" ht="12" customHeight="1" x14ac:dyDescent="0.35">
      <c r="A4" s="185" t="s">
        <v>354</v>
      </c>
      <c r="B4" s="186">
        <f>SUM(C4:AH4)</f>
        <v>1.0000000000000002</v>
      </c>
      <c r="C4" s="129">
        <v>0</v>
      </c>
      <c r="D4" s="129">
        <v>0</v>
      </c>
      <c r="E4" s="129">
        <v>0</v>
      </c>
      <c r="F4" s="129">
        <f t="shared" ref="F4:G4" si="1">E4</f>
        <v>0</v>
      </c>
      <c r="G4" s="130">
        <f t="shared" si="1"/>
        <v>0</v>
      </c>
      <c r="H4" s="130">
        <v>0</v>
      </c>
      <c r="I4" s="130">
        <f t="shared" ref="I4:J4" si="2">H4</f>
        <v>0</v>
      </c>
      <c r="J4" s="130">
        <f t="shared" si="2"/>
        <v>0</v>
      </c>
      <c r="K4" s="130">
        <v>0</v>
      </c>
      <c r="L4" s="130">
        <v>0</v>
      </c>
      <c r="M4" s="130">
        <v>0</v>
      </c>
      <c r="N4" s="130">
        <v>0</v>
      </c>
      <c r="O4" s="130">
        <v>0</v>
      </c>
      <c r="P4" s="130">
        <v>0</v>
      </c>
      <c r="Q4" s="130">
        <v>0</v>
      </c>
      <c r="R4" s="130">
        <v>0</v>
      </c>
      <c r="S4" s="130">
        <v>0</v>
      </c>
      <c r="T4" s="130">
        <v>0</v>
      </c>
      <c r="U4" s="130">
        <v>0.05</v>
      </c>
      <c r="V4" s="130">
        <v>0.05</v>
      </c>
      <c r="W4" s="130">
        <v>0.1</v>
      </c>
      <c r="X4" s="130">
        <v>0.1</v>
      </c>
      <c r="Y4" s="130">
        <v>0.1</v>
      </c>
      <c r="Z4" s="130">
        <v>0.1</v>
      </c>
      <c r="AA4" s="130">
        <v>0.15</v>
      </c>
      <c r="AB4" s="130">
        <v>0.15</v>
      </c>
      <c r="AC4" s="130">
        <v>0.05</v>
      </c>
      <c r="AD4" s="130">
        <v>0.05</v>
      </c>
      <c r="AE4" s="130">
        <v>0.05</v>
      </c>
      <c r="AF4" s="130">
        <v>0.05</v>
      </c>
      <c r="AG4" s="130">
        <v>0</v>
      </c>
      <c r="AH4" s="130">
        <v>0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87"/>
      <c r="AT4" s="187"/>
      <c r="AU4" s="187"/>
      <c r="AV4" s="131">
        <f>SUM(C4:AR4)</f>
        <v>1.0000000000000002</v>
      </c>
      <c r="AW4" s="132"/>
      <c r="AX4" s="268" t="s">
        <v>355</v>
      </c>
    </row>
    <row r="5" spans="1:50" ht="12" customHeight="1" x14ac:dyDescent="0.35">
      <c r="A5" s="279" t="str">
        <f>'Phase II Financial'!A57</f>
        <v>Hard Costs for Construction</v>
      </c>
      <c r="B5" s="280">
        <f>'Phase II Financial'!C57</f>
        <v>90988800</v>
      </c>
      <c r="C5" s="134">
        <f t="shared" ref="C5:X5" si="3">$B$5*C4</f>
        <v>0</v>
      </c>
      <c r="D5" s="134">
        <f t="shared" si="3"/>
        <v>0</v>
      </c>
      <c r="E5" s="134">
        <f t="shared" si="3"/>
        <v>0</v>
      </c>
      <c r="F5" s="134">
        <f t="shared" si="3"/>
        <v>0</v>
      </c>
      <c r="G5" s="134">
        <f t="shared" si="3"/>
        <v>0</v>
      </c>
      <c r="H5" s="134">
        <f t="shared" si="3"/>
        <v>0</v>
      </c>
      <c r="I5" s="134">
        <f t="shared" si="3"/>
        <v>0</v>
      </c>
      <c r="J5" s="134">
        <f t="shared" si="3"/>
        <v>0</v>
      </c>
      <c r="K5" s="134">
        <f t="shared" si="3"/>
        <v>0</v>
      </c>
      <c r="L5" s="134">
        <f t="shared" si="3"/>
        <v>0</v>
      </c>
      <c r="M5" s="134">
        <f t="shared" si="3"/>
        <v>0</v>
      </c>
      <c r="N5" s="134">
        <f t="shared" si="3"/>
        <v>0</v>
      </c>
      <c r="O5" s="134">
        <f t="shared" si="3"/>
        <v>0</v>
      </c>
      <c r="P5" s="134">
        <f t="shared" si="3"/>
        <v>0</v>
      </c>
      <c r="Q5" s="134">
        <f t="shared" si="3"/>
        <v>0</v>
      </c>
      <c r="R5" s="134">
        <f t="shared" si="3"/>
        <v>0</v>
      </c>
      <c r="S5" s="134">
        <f t="shared" si="3"/>
        <v>0</v>
      </c>
      <c r="T5" s="134">
        <f t="shared" si="3"/>
        <v>0</v>
      </c>
      <c r="U5" s="134">
        <f t="shared" si="3"/>
        <v>4549440</v>
      </c>
      <c r="V5" s="134">
        <f t="shared" si="3"/>
        <v>4549440</v>
      </c>
      <c r="W5" s="134">
        <f t="shared" si="3"/>
        <v>9098880</v>
      </c>
      <c r="X5" s="134">
        <f t="shared" si="3"/>
        <v>9098880</v>
      </c>
      <c r="Y5" s="134">
        <f t="shared" ref="Y5:AH5" si="4">$B$5*Y4</f>
        <v>9098880</v>
      </c>
      <c r="Z5" s="134">
        <f t="shared" si="4"/>
        <v>9098880</v>
      </c>
      <c r="AA5" s="134">
        <f t="shared" si="4"/>
        <v>13648320</v>
      </c>
      <c r="AB5" s="134">
        <f t="shared" si="4"/>
        <v>13648320</v>
      </c>
      <c r="AC5" s="134">
        <f t="shared" si="4"/>
        <v>4549440</v>
      </c>
      <c r="AD5" s="134">
        <f t="shared" si="4"/>
        <v>4549440</v>
      </c>
      <c r="AE5" s="134">
        <f t="shared" si="4"/>
        <v>4549440</v>
      </c>
      <c r="AF5" s="134">
        <f t="shared" si="4"/>
        <v>4549440</v>
      </c>
      <c r="AG5" s="134">
        <f t="shared" si="4"/>
        <v>0</v>
      </c>
      <c r="AH5" s="134">
        <f t="shared" si="4"/>
        <v>0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5">
        <f t="shared" ref="AV5:AV25" si="5">SUM(C5:AU5)</f>
        <v>90988800</v>
      </c>
      <c r="AW5" s="135">
        <f t="shared" ref="AW5:AW25" si="6">B5</f>
        <v>90988800</v>
      </c>
      <c r="AX5" s="135">
        <f t="shared" ref="AX5:AX25" si="7">AW5-AV5</f>
        <v>0</v>
      </c>
    </row>
    <row r="6" spans="1:50" ht="12" customHeight="1" x14ac:dyDescent="0.35">
      <c r="A6" s="269" t="str">
        <f>'Phase II Financial'!A58</f>
        <v>Parking Structure</v>
      </c>
      <c r="B6" s="171">
        <f>'Phase II Financial'!C58</f>
        <v>22075478.221153848</v>
      </c>
      <c r="C6" s="134">
        <f t="shared" ref="C6:X6" si="8">$B$6*C4</f>
        <v>0</v>
      </c>
      <c r="D6" s="134">
        <f t="shared" si="8"/>
        <v>0</v>
      </c>
      <c r="E6" s="134">
        <f t="shared" si="8"/>
        <v>0</v>
      </c>
      <c r="F6" s="134">
        <f t="shared" si="8"/>
        <v>0</v>
      </c>
      <c r="G6" s="134">
        <f t="shared" si="8"/>
        <v>0</v>
      </c>
      <c r="H6" s="134">
        <f t="shared" si="8"/>
        <v>0</v>
      </c>
      <c r="I6" s="134">
        <f t="shared" si="8"/>
        <v>0</v>
      </c>
      <c r="J6" s="134">
        <f t="shared" si="8"/>
        <v>0</v>
      </c>
      <c r="K6" s="134">
        <f t="shared" si="8"/>
        <v>0</v>
      </c>
      <c r="L6" s="134">
        <f t="shared" si="8"/>
        <v>0</v>
      </c>
      <c r="M6" s="134">
        <f t="shared" si="8"/>
        <v>0</v>
      </c>
      <c r="N6" s="134">
        <f t="shared" si="8"/>
        <v>0</v>
      </c>
      <c r="O6" s="134">
        <f t="shared" si="8"/>
        <v>0</v>
      </c>
      <c r="P6" s="134">
        <f t="shared" si="8"/>
        <v>0</v>
      </c>
      <c r="Q6" s="134">
        <f t="shared" si="8"/>
        <v>0</v>
      </c>
      <c r="R6" s="134">
        <f t="shared" si="8"/>
        <v>0</v>
      </c>
      <c r="S6" s="134">
        <f t="shared" si="8"/>
        <v>0</v>
      </c>
      <c r="T6" s="134">
        <f t="shared" si="8"/>
        <v>0</v>
      </c>
      <c r="U6" s="134">
        <f t="shared" si="8"/>
        <v>1103773.9110576925</v>
      </c>
      <c r="V6" s="134">
        <f t="shared" si="8"/>
        <v>1103773.9110576925</v>
      </c>
      <c r="W6" s="134">
        <f t="shared" si="8"/>
        <v>2207547.822115385</v>
      </c>
      <c r="X6" s="134">
        <f t="shared" si="8"/>
        <v>2207547.822115385</v>
      </c>
      <c r="Y6" s="134">
        <f t="shared" ref="Y6:AH6" si="9">$B$6*Y4</f>
        <v>2207547.822115385</v>
      </c>
      <c r="Z6" s="134">
        <f t="shared" si="9"/>
        <v>2207547.822115385</v>
      </c>
      <c r="AA6" s="134">
        <f t="shared" si="9"/>
        <v>3311321.733173077</v>
      </c>
      <c r="AB6" s="134">
        <f t="shared" si="9"/>
        <v>3311321.733173077</v>
      </c>
      <c r="AC6" s="134">
        <f t="shared" si="9"/>
        <v>1103773.9110576925</v>
      </c>
      <c r="AD6" s="134">
        <f t="shared" si="9"/>
        <v>1103773.9110576925</v>
      </c>
      <c r="AE6" s="134">
        <f t="shared" si="9"/>
        <v>1103773.9110576925</v>
      </c>
      <c r="AF6" s="134">
        <f t="shared" si="9"/>
        <v>1103773.9110576925</v>
      </c>
      <c r="AG6" s="134">
        <f t="shared" si="9"/>
        <v>0</v>
      </c>
      <c r="AH6" s="134">
        <f t="shared" si="9"/>
        <v>0</v>
      </c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5">
        <f t="shared" si="5"/>
        <v>22075478.221153844</v>
      </c>
      <c r="AW6" s="135">
        <f t="shared" si="6"/>
        <v>22075478.221153848</v>
      </c>
      <c r="AX6" s="135">
        <f t="shared" si="7"/>
        <v>0</v>
      </c>
    </row>
    <row r="7" spans="1:50" ht="12" customHeight="1" x14ac:dyDescent="0.35">
      <c r="A7" s="269" t="str">
        <f>'Phase II Financial'!A59</f>
        <v>Hard Cost Contingency</v>
      </c>
      <c r="B7" s="171">
        <f>'Phase II Financial'!C59</f>
        <v>9098880</v>
      </c>
      <c r="C7" s="134">
        <f t="shared" ref="C7:X7" si="10">$B7*C$4</f>
        <v>0</v>
      </c>
      <c r="D7" s="134">
        <f t="shared" si="10"/>
        <v>0</v>
      </c>
      <c r="E7" s="134">
        <f t="shared" si="10"/>
        <v>0</v>
      </c>
      <c r="F7" s="134">
        <f t="shared" si="10"/>
        <v>0</v>
      </c>
      <c r="G7" s="134">
        <f t="shared" si="10"/>
        <v>0</v>
      </c>
      <c r="H7" s="134">
        <f t="shared" si="10"/>
        <v>0</v>
      </c>
      <c r="I7" s="134">
        <f t="shared" si="10"/>
        <v>0</v>
      </c>
      <c r="J7" s="134">
        <f t="shared" si="10"/>
        <v>0</v>
      </c>
      <c r="K7" s="134">
        <f t="shared" si="10"/>
        <v>0</v>
      </c>
      <c r="L7" s="134">
        <f t="shared" si="10"/>
        <v>0</v>
      </c>
      <c r="M7" s="134">
        <f t="shared" si="10"/>
        <v>0</v>
      </c>
      <c r="N7" s="134">
        <f t="shared" si="10"/>
        <v>0</v>
      </c>
      <c r="O7" s="134">
        <f t="shared" si="10"/>
        <v>0</v>
      </c>
      <c r="P7" s="134">
        <f t="shared" si="10"/>
        <v>0</v>
      </c>
      <c r="Q7" s="134">
        <f t="shared" si="10"/>
        <v>0</v>
      </c>
      <c r="R7" s="134">
        <f t="shared" si="10"/>
        <v>0</v>
      </c>
      <c r="S7" s="134">
        <f t="shared" si="10"/>
        <v>0</v>
      </c>
      <c r="T7" s="134">
        <f t="shared" si="10"/>
        <v>0</v>
      </c>
      <c r="U7" s="134">
        <f t="shared" si="10"/>
        <v>454944</v>
      </c>
      <c r="V7" s="134">
        <f t="shared" si="10"/>
        <v>454944</v>
      </c>
      <c r="W7" s="134">
        <f t="shared" si="10"/>
        <v>909888</v>
      </c>
      <c r="X7" s="134">
        <f t="shared" si="10"/>
        <v>909888</v>
      </c>
      <c r="Y7" s="134">
        <f t="shared" ref="Y7:AH7" si="11">$B7*Y$4</f>
        <v>909888</v>
      </c>
      <c r="Z7" s="134">
        <f t="shared" si="11"/>
        <v>909888</v>
      </c>
      <c r="AA7" s="134">
        <f t="shared" si="11"/>
        <v>1364832</v>
      </c>
      <c r="AB7" s="134">
        <f t="shared" si="11"/>
        <v>1364832</v>
      </c>
      <c r="AC7" s="134">
        <f t="shared" si="11"/>
        <v>454944</v>
      </c>
      <c r="AD7" s="134">
        <f t="shared" si="11"/>
        <v>454944</v>
      </c>
      <c r="AE7" s="134">
        <f t="shared" si="11"/>
        <v>454944</v>
      </c>
      <c r="AF7" s="134">
        <f t="shared" si="11"/>
        <v>454944</v>
      </c>
      <c r="AG7" s="134">
        <f t="shared" si="11"/>
        <v>0</v>
      </c>
      <c r="AH7" s="134">
        <f t="shared" si="11"/>
        <v>0</v>
      </c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5">
        <f t="shared" si="5"/>
        <v>9098880</v>
      </c>
      <c r="AW7" s="135">
        <f t="shared" si="6"/>
        <v>9098880</v>
      </c>
      <c r="AX7" s="135">
        <f t="shared" si="7"/>
        <v>0</v>
      </c>
    </row>
    <row r="8" spans="1:50" ht="12" customHeight="1" x14ac:dyDescent="0.35">
      <c r="A8" s="269" t="str">
        <f>'Phase II Financial'!A60</f>
        <v>Demolition</v>
      </c>
      <c r="B8" s="171">
        <f>'Phase II Financial'!C60</f>
        <v>12844080</v>
      </c>
      <c r="C8" s="134">
        <f>IF(C2="Demolition Ends",$B$8,0)</f>
        <v>0</v>
      </c>
      <c r="D8" s="134">
        <f t="shared" ref="D8:AH8" si="12">IF(D2="Demolition Ends",$B$8,0)</f>
        <v>0</v>
      </c>
      <c r="E8" s="134">
        <f t="shared" si="12"/>
        <v>0</v>
      </c>
      <c r="F8" s="134">
        <f t="shared" si="12"/>
        <v>0</v>
      </c>
      <c r="G8" s="134">
        <f t="shared" si="12"/>
        <v>0</v>
      </c>
      <c r="H8" s="134">
        <f t="shared" si="12"/>
        <v>0</v>
      </c>
      <c r="I8" s="134">
        <f t="shared" si="12"/>
        <v>0</v>
      </c>
      <c r="J8" s="134">
        <f t="shared" si="12"/>
        <v>0</v>
      </c>
      <c r="K8" s="134">
        <f t="shared" si="12"/>
        <v>0</v>
      </c>
      <c r="L8" s="134">
        <f t="shared" si="12"/>
        <v>0</v>
      </c>
      <c r="M8" s="134">
        <f t="shared" si="12"/>
        <v>0</v>
      </c>
      <c r="N8" s="134">
        <f t="shared" si="12"/>
        <v>0</v>
      </c>
      <c r="O8" s="134">
        <f t="shared" si="12"/>
        <v>0</v>
      </c>
      <c r="P8" s="134">
        <f t="shared" si="12"/>
        <v>0</v>
      </c>
      <c r="Q8" s="134">
        <f t="shared" si="12"/>
        <v>0</v>
      </c>
      <c r="R8" s="134">
        <f t="shared" si="12"/>
        <v>0</v>
      </c>
      <c r="S8" s="134">
        <f t="shared" si="12"/>
        <v>0</v>
      </c>
      <c r="T8" s="134">
        <f t="shared" si="12"/>
        <v>12844080</v>
      </c>
      <c r="U8" s="134">
        <f t="shared" si="12"/>
        <v>0</v>
      </c>
      <c r="V8" s="134">
        <f t="shared" si="12"/>
        <v>0</v>
      </c>
      <c r="W8" s="134">
        <f t="shared" si="12"/>
        <v>0</v>
      </c>
      <c r="X8" s="134">
        <f t="shared" si="12"/>
        <v>0</v>
      </c>
      <c r="Y8" s="134">
        <f t="shared" si="12"/>
        <v>0</v>
      </c>
      <c r="Z8" s="134">
        <f t="shared" si="12"/>
        <v>0</v>
      </c>
      <c r="AA8" s="134">
        <f t="shared" si="12"/>
        <v>0</v>
      </c>
      <c r="AB8" s="134">
        <f t="shared" si="12"/>
        <v>0</v>
      </c>
      <c r="AC8" s="134">
        <f t="shared" si="12"/>
        <v>0</v>
      </c>
      <c r="AD8" s="134">
        <f t="shared" si="12"/>
        <v>0</v>
      </c>
      <c r="AE8" s="134">
        <f t="shared" si="12"/>
        <v>0</v>
      </c>
      <c r="AF8" s="134">
        <f t="shared" si="12"/>
        <v>0</v>
      </c>
      <c r="AG8" s="134">
        <f t="shared" si="12"/>
        <v>0</v>
      </c>
      <c r="AH8" s="134">
        <f t="shared" si="12"/>
        <v>0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5">
        <f t="shared" si="5"/>
        <v>12844080</v>
      </c>
      <c r="AW8" s="135">
        <f t="shared" si="6"/>
        <v>12844080</v>
      </c>
      <c r="AX8" s="135">
        <f t="shared" si="7"/>
        <v>0</v>
      </c>
    </row>
    <row r="9" spans="1:50" ht="12" customHeight="1" x14ac:dyDescent="0.35">
      <c r="A9" s="269" t="str">
        <f>'Phase II Financial'!A61</f>
        <v>Land</v>
      </c>
      <c r="B9" s="171">
        <f>'Phase II Financial'!C61</f>
        <v>20813066.283723846</v>
      </c>
      <c r="C9" s="136"/>
      <c r="D9" s="137"/>
      <c r="E9" s="139">
        <v>400000</v>
      </c>
      <c r="F9" s="134"/>
      <c r="G9" s="138"/>
      <c r="H9" s="139"/>
      <c r="I9" s="138"/>
      <c r="J9" s="139"/>
      <c r="K9" s="134"/>
      <c r="L9" s="137"/>
      <c r="M9" s="140"/>
      <c r="N9" s="137"/>
      <c r="O9" s="137"/>
      <c r="P9" s="137"/>
      <c r="Q9" s="137"/>
      <c r="R9" s="137"/>
      <c r="S9" s="137"/>
      <c r="T9" s="137"/>
      <c r="U9" s="139">
        <f>$B9-$E9</f>
        <v>20413066.283723846</v>
      </c>
      <c r="V9" s="137"/>
      <c r="W9" s="137"/>
      <c r="X9" s="137"/>
      <c r="Y9" s="137"/>
      <c r="Z9" s="137"/>
      <c r="AA9" s="137"/>
      <c r="AB9" s="137"/>
      <c r="AC9" s="137"/>
      <c r="AD9" s="137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35">
        <f t="shared" si="5"/>
        <v>20813066.283723846</v>
      </c>
      <c r="AW9" s="135">
        <f t="shared" si="6"/>
        <v>20813066.283723846</v>
      </c>
      <c r="AX9" s="135">
        <f t="shared" si="7"/>
        <v>0</v>
      </c>
    </row>
    <row r="10" spans="1:50" ht="12" customHeight="1" x14ac:dyDescent="0.35">
      <c r="A10" s="269" t="str">
        <f>'Phase II Financial'!A62</f>
        <v>Impact Fees (Includes City Stormwater Utility Fee)</v>
      </c>
      <c r="B10" s="171">
        <f>'Phase II Financial'!C62</f>
        <v>1199271.5384615385</v>
      </c>
      <c r="C10" s="140"/>
      <c r="D10" s="137"/>
      <c r="E10" s="134"/>
      <c r="F10" s="134"/>
      <c r="G10" s="134"/>
      <c r="H10" s="134"/>
      <c r="I10" s="134"/>
      <c r="J10" s="134"/>
      <c r="K10" s="134"/>
      <c r="L10" s="137"/>
      <c r="M10" s="137"/>
      <c r="N10" s="137"/>
      <c r="O10" s="137"/>
      <c r="P10" s="137"/>
      <c r="Q10" s="137"/>
      <c r="R10" s="137"/>
      <c r="S10" s="138"/>
      <c r="T10" s="134"/>
      <c r="U10" s="134">
        <f>B10</f>
        <v>1199271.5384615385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88"/>
      <c r="AF10" s="188"/>
      <c r="AG10" s="188"/>
      <c r="AH10" s="188"/>
      <c r="AI10" s="188"/>
      <c r="AJ10" s="188"/>
      <c r="AK10" s="189"/>
      <c r="AL10" s="281"/>
      <c r="AM10" s="188"/>
      <c r="AN10" s="188"/>
      <c r="AO10" s="188"/>
      <c r="AP10" s="189"/>
      <c r="AQ10" s="188"/>
      <c r="AR10" s="188"/>
      <c r="AS10" s="188"/>
      <c r="AT10" s="188"/>
      <c r="AU10" s="188"/>
      <c r="AV10" s="135">
        <f t="shared" si="5"/>
        <v>1199271.5384615385</v>
      </c>
      <c r="AW10" s="135">
        <f t="shared" si="6"/>
        <v>1199271.5384615385</v>
      </c>
      <c r="AX10" s="135">
        <f t="shared" si="7"/>
        <v>0</v>
      </c>
    </row>
    <row r="11" spans="1:50" ht="12" customHeight="1" x14ac:dyDescent="0.35">
      <c r="A11" s="269" t="str">
        <f>'Phase II Financial'!A63</f>
        <v>Landscaping (Hardscape &amp; Softscape)</v>
      </c>
      <c r="B11" s="171">
        <f>'Phase II Financial'!C63</f>
        <v>18250000</v>
      </c>
      <c r="C11" s="140"/>
      <c r="D11" s="137"/>
      <c r="E11" s="134"/>
      <c r="F11" s="134"/>
      <c r="G11" s="134"/>
      <c r="H11" s="134"/>
      <c r="I11" s="134"/>
      <c r="J11" s="134"/>
      <c r="K11" s="134"/>
      <c r="L11" s="137"/>
      <c r="M11" s="137"/>
      <c r="N11" s="137"/>
      <c r="O11" s="137"/>
      <c r="P11" s="137"/>
      <c r="Q11" s="137"/>
      <c r="R11" s="137"/>
      <c r="S11" s="134"/>
      <c r="T11" s="134"/>
      <c r="U11" s="137"/>
      <c r="V11" s="137"/>
      <c r="W11" s="137"/>
      <c r="X11" s="137"/>
      <c r="Y11" s="137"/>
      <c r="Z11" s="137"/>
      <c r="AA11" s="137"/>
      <c r="AB11" s="137"/>
      <c r="AC11" s="137"/>
      <c r="AD11" s="137">
        <f>B11/2</f>
        <v>9125000</v>
      </c>
      <c r="AE11" s="137">
        <f>B11/2</f>
        <v>9125000</v>
      </c>
      <c r="AF11" s="188"/>
      <c r="AG11" s="188"/>
      <c r="AH11" s="188"/>
      <c r="AI11" s="188"/>
      <c r="AJ11" s="188"/>
      <c r="AK11" s="189"/>
      <c r="AL11" s="281"/>
      <c r="AM11" s="188"/>
      <c r="AN11" s="188"/>
      <c r="AO11" s="188"/>
      <c r="AP11" s="189"/>
      <c r="AQ11" s="188"/>
      <c r="AR11" s="190"/>
      <c r="AS11" s="190"/>
      <c r="AT11" s="190"/>
      <c r="AU11" s="190"/>
      <c r="AV11" s="135">
        <f t="shared" si="5"/>
        <v>18250000</v>
      </c>
      <c r="AW11" s="135">
        <f t="shared" si="6"/>
        <v>18250000</v>
      </c>
      <c r="AX11" s="135">
        <f t="shared" si="7"/>
        <v>0</v>
      </c>
    </row>
    <row r="12" spans="1:50" ht="12" customHeight="1" x14ac:dyDescent="0.35">
      <c r="A12" s="269" t="str">
        <f>'Phase II Financial'!A64</f>
        <v>Legal</v>
      </c>
      <c r="B12" s="171">
        <f>'Phase II Financial'!C64</f>
        <v>400000</v>
      </c>
      <c r="C12" s="140"/>
      <c r="D12" s="140"/>
      <c r="E12" s="139">
        <v>100000</v>
      </c>
      <c r="F12" s="139">
        <v>100000</v>
      </c>
      <c r="G12" s="139">
        <v>50000</v>
      </c>
      <c r="H12" s="139">
        <v>50000</v>
      </c>
      <c r="I12" s="139">
        <v>50000</v>
      </c>
      <c r="J12" s="139">
        <v>50000</v>
      </c>
      <c r="K12" s="134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91"/>
      <c r="AL12" s="282"/>
      <c r="AM12" s="137"/>
      <c r="AN12" s="137"/>
      <c r="AO12" s="137"/>
      <c r="AP12" s="191"/>
      <c r="AQ12" s="137"/>
      <c r="AR12" s="137"/>
      <c r="AS12" s="137"/>
      <c r="AT12" s="137"/>
      <c r="AU12" s="137"/>
      <c r="AV12" s="135">
        <f t="shared" si="5"/>
        <v>400000</v>
      </c>
      <c r="AW12" s="135">
        <f t="shared" si="6"/>
        <v>400000</v>
      </c>
      <c r="AX12" s="135">
        <f t="shared" si="7"/>
        <v>0</v>
      </c>
    </row>
    <row r="13" spans="1:50" ht="12" customHeight="1" x14ac:dyDescent="0.35">
      <c r="A13" s="269" t="str">
        <f>'Phase II Financial'!A65</f>
        <v>Land Closing Costs/commissions</v>
      </c>
      <c r="B13" s="171">
        <f>'Phase II Financial'!C65</f>
        <v>600000</v>
      </c>
      <c r="C13" s="139"/>
      <c r="D13" s="134"/>
      <c r="E13" s="134"/>
      <c r="F13" s="134"/>
      <c r="G13" s="136"/>
      <c r="H13" s="134">
        <f>B13</f>
        <v>600000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8"/>
      <c r="AF13" s="138"/>
      <c r="AG13" s="138"/>
      <c r="AH13" s="138"/>
      <c r="AI13" s="138"/>
      <c r="AJ13" s="138"/>
      <c r="AK13" s="192"/>
      <c r="AL13" s="283"/>
      <c r="AM13" s="138"/>
      <c r="AN13" s="138"/>
      <c r="AO13" s="138"/>
      <c r="AP13" s="192"/>
      <c r="AQ13" s="138"/>
      <c r="AR13" s="138"/>
      <c r="AS13" s="138"/>
      <c r="AT13" s="138"/>
      <c r="AU13" s="138"/>
      <c r="AV13" s="135">
        <f t="shared" si="5"/>
        <v>600000</v>
      </c>
      <c r="AW13" s="135">
        <f t="shared" si="6"/>
        <v>600000</v>
      </c>
      <c r="AX13" s="135">
        <f t="shared" si="7"/>
        <v>0</v>
      </c>
    </row>
    <row r="14" spans="1:50" ht="12" customHeight="1" x14ac:dyDescent="0.35">
      <c r="A14" s="269" t="str">
        <f>'Phase II Financial'!A66</f>
        <v xml:space="preserve">Design </v>
      </c>
      <c r="B14" s="171">
        <f>'Phase II Financial'!C66</f>
        <v>4003507.2</v>
      </c>
      <c r="C14" s="134"/>
      <c r="D14" s="134"/>
      <c r="E14" s="134">
        <f t="shared" ref="E14:F14" si="13">0.3*$B14</f>
        <v>1201052.1599999999</v>
      </c>
      <c r="F14" s="134">
        <f t="shared" si="13"/>
        <v>1201052.1599999999</v>
      </c>
      <c r="G14" s="134">
        <f t="shared" ref="G14:H14" si="14">0.1*$B14</f>
        <v>400350.72000000003</v>
      </c>
      <c r="H14" s="134">
        <f t="shared" si="14"/>
        <v>400350.72000000003</v>
      </c>
      <c r="I14" s="134">
        <f>0.05*$B14</f>
        <v>200175.36000000002</v>
      </c>
      <c r="J14" s="134">
        <f t="shared" ref="J14:N14" si="15">0.02*$B14</f>
        <v>80070.144</v>
      </c>
      <c r="K14" s="134">
        <f t="shared" si="15"/>
        <v>80070.144</v>
      </c>
      <c r="L14" s="134">
        <f t="shared" si="15"/>
        <v>80070.144</v>
      </c>
      <c r="M14" s="134">
        <f t="shared" si="15"/>
        <v>80070.144</v>
      </c>
      <c r="N14" s="134">
        <f t="shared" si="15"/>
        <v>80070.144</v>
      </c>
      <c r="O14" s="134">
        <f t="shared" ref="O14:S14" si="16">0.01*$B14</f>
        <v>40035.072</v>
      </c>
      <c r="P14" s="134">
        <f t="shared" si="16"/>
        <v>40035.072</v>
      </c>
      <c r="Q14" s="134">
        <f t="shared" si="16"/>
        <v>40035.072</v>
      </c>
      <c r="R14" s="134">
        <f t="shared" si="16"/>
        <v>40035.072</v>
      </c>
      <c r="S14" s="134">
        <f t="shared" si="16"/>
        <v>40035.072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8"/>
      <c r="AR14" s="138"/>
      <c r="AS14" s="138"/>
      <c r="AT14" s="138"/>
      <c r="AU14" s="138"/>
      <c r="AV14" s="135">
        <f t="shared" si="5"/>
        <v>4003507.2</v>
      </c>
      <c r="AW14" s="135">
        <f t="shared" si="6"/>
        <v>4003507.2</v>
      </c>
      <c r="AX14" s="135">
        <f t="shared" si="7"/>
        <v>0</v>
      </c>
    </row>
    <row r="15" spans="1:50" ht="12" customHeight="1" x14ac:dyDescent="0.35">
      <c r="A15" s="269" t="str">
        <f>'Phase II Financial'!A67</f>
        <v>Developer Fee</v>
      </c>
      <c r="B15" s="171">
        <f>'Phase II Financial'!C67</f>
        <v>5408192.4973001759</v>
      </c>
      <c r="C15" s="134"/>
      <c r="D15" s="134"/>
      <c r="E15" s="134">
        <f t="shared" ref="E15:G15" si="17">$B15*E4</f>
        <v>0</v>
      </c>
      <c r="F15" s="134">
        <f t="shared" si="17"/>
        <v>0</v>
      </c>
      <c r="G15" s="134">
        <f t="shared" si="17"/>
        <v>0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>
        <f t="shared" ref="U15:V15" si="18">$B15/12</f>
        <v>450682.70810834802</v>
      </c>
      <c r="V15" s="134">
        <f t="shared" si="18"/>
        <v>450682.70810834802</v>
      </c>
      <c r="W15" s="134">
        <f t="shared" ref="W15:AF16" si="19">$B15/12</f>
        <v>450682.70810834802</v>
      </c>
      <c r="X15" s="134">
        <f t="shared" si="19"/>
        <v>450682.70810834802</v>
      </c>
      <c r="Y15" s="134">
        <f t="shared" si="19"/>
        <v>450682.70810834802</v>
      </c>
      <c r="Z15" s="134">
        <f t="shared" si="19"/>
        <v>450682.70810834802</v>
      </c>
      <c r="AA15" s="134">
        <f t="shared" si="19"/>
        <v>450682.70810834802</v>
      </c>
      <c r="AB15" s="134">
        <f t="shared" si="19"/>
        <v>450682.70810834802</v>
      </c>
      <c r="AC15" s="134">
        <f t="shared" si="19"/>
        <v>450682.70810834802</v>
      </c>
      <c r="AD15" s="134">
        <f t="shared" si="19"/>
        <v>450682.70810834802</v>
      </c>
      <c r="AE15" s="134">
        <f t="shared" si="19"/>
        <v>450682.70810834802</v>
      </c>
      <c r="AF15" s="134">
        <f t="shared" si="19"/>
        <v>450682.70810834802</v>
      </c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5">
        <f t="shared" si="5"/>
        <v>5408192.497300175</v>
      </c>
      <c r="AW15" s="135">
        <f t="shared" si="6"/>
        <v>5408192.4973001759</v>
      </c>
      <c r="AX15" s="135">
        <f t="shared" si="7"/>
        <v>0</v>
      </c>
    </row>
    <row r="16" spans="1:50" ht="12" customHeight="1" x14ac:dyDescent="0.35">
      <c r="A16" s="269" t="str">
        <f>'Phase II Financial'!A68</f>
        <v>Construction Management Fee</v>
      </c>
      <c r="B16" s="171">
        <f>'Phase II Financial'!C68</f>
        <v>3002630.4</v>
      </c>
      <c r="C16" s="134">
        <f t="shared" ref="C16:G16" si="20">$B16*C$4</f>
        <v>0</v>
      </c>
      <c r="D16" s="134">
        <f t="shared" si="20"/>
        <v>0</v>
      </c>
      <c r="E16" s="134">
        <f t="shared" si="20"/>
        <v>0</v>
      </c>
      <c r="F16" s="134">
        <f t="shared" si="20"/>
        <v>0</v>
      </c>
      <c r="G16" s="134">
        <f t="shared" si="20"/>
        <v>0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>
        <f t="shared" ref="U16:V16" si="21">$B16/12</f>
        <v>250219.19999999998</v>
      </c>
      <c r="V16" s="134">
        <f t="shared" si="21"/>
        <v>250219.19999999998</v>
      </c>
      <c r="W16" s="134">
        <f t="shared" si="19"/>
        <v>250219.19999999998</v>
      </c>
      <c r="X16" s="134">
        <f t="shared" si="19"/>
        <v>250219.19999999998</v>
      </c>
      <c r="Y16" s="134">
        <f t="shared" si="19"/>
        <v>250219.19999999998</v>
      </c>
      <c r="Z16" s="134">
        <f t="shared" si="19"/>
        <v>250219.19999999998</v>
      </c>
      <c r="AA16" s="134">
        <f t="shared" si="19"/>
        <v>250219.19999999998</v>
      </c>
      <c r="AB16" s="134">
        <f t="shared" si="19"/>
        <v>250219.19999999998</v>
      </c>
      <c r="AC16" s="134">
        <f t="shared" si="19"/>
        <v>250219.19999999998</v>
      </c>
      <c r="AD16" s="134">
        <f t="shared" si="19"/>
        <v>250219.19999999998</v>
      </c>
      <c r="AE16" s="134">
        <f t="shared" si="19"/>
        <v>250219.19999999998</v>
      </c>
      <c r="AF16" s="134">
        <f t="shared" si="19"/>
        <v>250219.19999999998</v>
      </c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5">
        <f t="shared" si="5"/>
        <v>3002630.4000000004</v>
      </c>
      <c r="AW16" s="135">
        <f t="shared" si="6"/>
        <v>3002630.4</v>
      </c>
      <c r="AX16" s="135">
        <f t="shared" si="7"/>
        <v>0</v>
      </c>
    </row>
    <row r="17" spans="1:50" ht="12" customHeight="1" x14ac:dyDescent="0.35">
      <c r="A17" s="269" t="str">
        <f>'Phase II Financial'!A69</f>
        <v>Taxes</v>
      </c>
      <c r="B17" s="171">
        <f>'Phase II Financial'!C69</f>
        <v>1300000</v>
      </c>
      <c r="C17" s="139"/>
      <c r="D17" s="134"/>
      <c r="E17" s="134"/>
      <c r="F17" s="134"/>
      <c r="G17" s="138"/>
      <c r="H17" s="134"/>
      <c r="I17" s="134"/>
      <c r="J17" s="134">
        <f>$B17/10</f>
        <v>130000</v>
      </c>
      <c r="K17" s="134"/>
      <c r="L17" s="134">
        <f>$B17/8</f>
        <v>162500</v>
      </c>
      <c r="M17" s="134"/>
      <c r="N17" s="134">
        <f>$B17/6</f>
        <v>216666.66666666666</v>
      </c>
      <c r="O17" s="134"/>
      <c r="P17" s="134">
        <f>$B17/4</f>
        <v>325000</v>
      </c>
      <c r="Q17" s="134"/>
      <c r="R17" s="134">
        <f>$B17/6</f>
        <v>216666.66666666666</v>
      </c>
      <c r="S17" s="136"/>
      <c r="T17" s="134"/>
      <c r="U17" s="136"/>
      <c r="V17" s="134">
        <v>383333</v>
      </c>
      <c r="W17" s="134"/>
      <c r="X17" s="136"/>
      <c r="Y17" s="134"/>
      <c r="Z17" s="134"/>
      <c r="AA17" s="134"/>
      <c r="AB17" s="134"/>
      <c r="AC17" s="134"/>
      <c r="AD17" s="134"/>
      <c r="AE17" s="136"/>
      <c r="AF17" s="134"/>
      <c r="AG17" s="136"/>
      <c r="AH17" s="134"/>
      <c r="AI17" s="138"/>
      <c r="AJ17" s="134"/>
      <c r="AK17" s="134"/>
      <c r="AL17" s="134"/>
      <c r="AM17" s="134"/>
      <c r="AN17" s="134"/>
      <c r="AO17" s="134"/>
      <c r="AP17" s="193"/>
      <c r="AQ17" s="134"/>
      <c r="AR17" s="134"/>
      <c r="AS17" s="134"/>
      <c r="AT17" s="134"/>
      <c r="AU17" s="134"/>
      <c r="AV17" s="135">
        <f t="shared" si="5"/>
        <v>1434166.3333333333</v>
      </c>
      <c r="AW17" s="135">
        <f t="shared" si="6"/>
        <v>1300000</v>
      </c>
      <c r="AX17" s="135">
        <f t="shared" si="7"/>
        <v>-134166.33333333326</v>
      </c>
    </row>
    <row r="18" spans="1:50" ht="12" customHeight="1" x14ac:dyDescent="0.35">
      <c r="A18" s="269" t="str">
        <f>'Phase II Financial'!A70</f>
        <v>Insurance</v>
      </c>
      <c r="B18" s="171">
        <f>'Phase II Financial'!C70</f>
        <v>719562.92307692312</v>
      </c>
      <c r="C18" s="139"/>
      <c r="D18" s="136"/>
      <c r="E18" s="136"/>
      <c r="F18" s="134"/>
      <c r="G18" s="134"/>
      <c r="H18" s="134">
        <v>10000</v>
      </c>
      <c r="I18" s="134">
        <v>10000</v>
      </c>
      <c r="J18" s="134"/>
      <c r="K18" s="134"/>
      <c r="L18" s="139">
        <f>$B18-SUM(C18:K18)</f>
        <v>699562.92307692312</v>
      </c>
      <c r="M18" s="134"/>
      <c r="N18" s="134"/>
      <c r="O18" s="134"/>
      <c r="P18" s="134"/>
      <c r="Q18" s="134"/>
      <c r="R18" s="134"/>
      <c r="S18" s="134"/>
      <c r="T18" s="136"/>
      <c r="U18" s="134"/>
      <c r="V18" s="134">
        <f>$B18-SUM(C18:U18)</f>
        <v>0</v>
      </c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93"/>
      <c r="AL18" s="284"/>
      <c r="AM18" s="134"/>
      <c r="AN18" s="134"/>
      <c r="AO18" s="134"/>
      <c r="AP18" s="193"/>
      <c r="AQ18" s="134"/>
      <c r="AR18" s="134"/>
      <c r="AS18" s="134"/>
      <c r="AT18" s="134"/>
      <c r="AU18" s="134"/>
      <c r="AV18" s="135">
        <f t="shared" si="5"/>
        <v>719562.92307692312</v>
      </c>
      <c r="AW18" s="135">
        <f t="shared" si="6"/>
        <v>719562.92307692312</v>
      </c>
      <c r="AX18" s="135">
        <f t="shared" si="7"/>
        <v>0</v>
      </c>
    </row>
    <row r="19" spans="1:50" ht="12" customHeight="1" x14ac:dyDescent="0.35">
      <c r="A19" s="269" t="str">
        <f>'Phase II Financial'!A71</f>
        <v>Marketing, FFE and Preleasing</v>
      </c>
      <c r="B19" s="171">
        <f>'Phase II Financial'!C71</f>
        <v>500000</v>
      </c>
      <c r="C19" s="139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45"/>
      <c r="Y19" s="145"/>
      <c r="Z19" s="145"/>
      <c r="AA19" s="145"/>
      <c r="AB19" s="194"/>
      <c r="AC19" s="138"/>
      <c r="AD19" s="138"/>
      <c r="AE19" s="134">
        <f>B19/2</f>
        <v>250000</v>
      </c>
      <c r="AF19" s="217">
        <f>B19/2</f>
        <v>250000</v>
      </c>
      <c r="AG19" s="136"/>
      <c r="AH19" s="136"/>
      <c r="AI19" s="145"/>
      <c r="AJ19" s="145"/>
      <c r="AK19" s="145"/>
      <c r="AL19" s="145"/>
      <c r="AM19" s="138"/>
      <c r="AN19" s="138"/>
      <c r="AO19" s="138"/>
      <c r="AP19" s="192"/>
      <c r="AQ19" s="138"/>
      <c r="AR19" s="138"/>
      <c r="AS19" s="138"/>
      <c r="AT19" s="138"/>
      <c r="AU19" s="138"/>
      <c r="AV19" s="135">
        <f t="shared" si="5"/>
        <v>500000</v>
      </c>
      <c r="AW19" s="135">
        <f t="shared" si="6"/>
        <v>500000</v>
      </c>
      <c r="AX19" s="135">
        <f t="shared" si="7"/>
        <v>0</v>
      </c>
    </row>
    <row r="20" spans="1:50" ht="12" customHeight="1" x14ac:dyDescent="0.35">
      <c r="A20" s="269" t="str">
        <f>'Phase II Financial'!A72</f>
        <v>Operating Deficit</v>
      </c>
      <c r="B20" s="171">
        <f>'Phase II Financial'!C72</f>
        <v>2162387.4856147235</v>
      </c>
      <c r="C20" s="139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95"/>
      <c r="AA20" s="195"/>
      <c r="AB20" s="194"/>
      <c r="AC20" s="138"/>
      <c r="AD20" s="138"/>
      <c r="AE20" s="134"/>
      <c r="AF20" s="145"/>
      <c r="AG20" s="145">
        <f>B20/2</f>
        <v>1081193.7428073618</v>
      </c>
      <c r="AH20" s="145">
        <f>B20/2</f>
        <v>1081193.7428073618</v>
      </c>
      <c r="AI20" s="145"/>
      <c r="AJ20" s="136"/>
      <c r="AK20" s="196"/>
      <c r="AL20" s="196"/>
      <c r="AM20" s="196"/>
      <c r="AN20" s="196"/>
      <c r="AO20" s="196"/>
      <c r="AP20" s="196"/>
      <c r="AQ20" s="138"/>
      <c r="AR20" s="139"/>
      <c r="AS20" s="139"/>
      <c r="AT20" s="139"/>
      <c r="AU20" s="139"/>
      <c r="AV20" s="135">
        <f t="shared" si="5"/>
        <v>2162387.4856147235</v>
      </c>
      <c r="AW20" s="135">
        <f t="shared" si="6"/>
        <v>2162387.4856147235</v>
      </c>
      <c r="AX20" s="135">
        <f t="shared" si="7"/>
        <v>0</v>
      </c>
    </row>
    <row r="21" spans="1:50" ht="12" customHeight="1" x14ac:dyDescent="0.35">
      <c r="A21" s="269" t="str">
        <f>'Phase II Financial'!A73</f>
        <v>Retail TI's</v>
      </c>
      <c r="B21" s="171">
        <f>'Phase II Financial'!C73</f>
        <v>4808250</v>
      </c>
      <c r="C21" s="139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8"/>
      <c r="AB21" s="194"/>
      <c r="AC21" s="139"/>
      <c r="AD21" s="138"/>
      <c r="AE21" s="134">
        <f>B21/2</f>
        <v>2404125</v>
      </c>
      <c r="AF21" s="145">
        <f>B21/2</f>
        <v>2404125</v>
      </c>
      <c r="AG21" s="145"/>
      <c r="AH21" s="145"/>
      <c r="AI21" s="145"/>
      <c r="AJ21" s="195"/>
      <c r="AK21" s="197"/>
      <c r="AL21" s="283"/>
      <c r="AM21" s="138"/>
      <c r="AN21" s="138"/>
      <c r="AO21" s="138"/>
      <c r="AP21" s="192"/>
      <c r="AQ21" s="138"/>
      <c r="AR21" s="138"/>
      <c r="AS21" s="138"/>
      <c r="AT21" s="138"/>
      <c r="AU21" s="138"/>
      <c r="AV21" s="135">
        <f t="shared" si="5"/>
        <v>4808250</v>
      </c>
      <c r="AW21" s="135">
        <f t="shared" si="6"/>
        <v>4808250</v>
      </c>
      <c r="AX21" s="135">
        <f t="shared" si="7"/>
        <v>0</v>
      </c>
    </row>
    <row r="22" spans="1:50" ht="12" customHeight="1" x14ac:dyDescent="0.35">
      <c r="A22" s="269" t="str">
        <f>'Phase II Financial'!A74</f>
        <v>Retail brokerage</v>
      </c>
      <c r="B22" s="171">
        <f>'Phase II Financial'!C74</f>
        <v>1267300.8359999999</v>
      </c>
      <c r="C22" s="139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>
        <f>B22</f>
        <v>1267300.8359999999</v>
      </c>
      <c r="AH22" s="134"/>
      <c r="AI22" s="134"/>
      <c r="AJ22" s="134"/>
      <c r="AK22" s="193"/>
      <c r="AL22" s="283"/>
      <c r="AM22" s="138"/>
      <c r="AN22" s="134"/>
      <c r="AO22" s="134"/>
      <c r="AP22" s="193"/>
      <c r="AQ22" s="134"/>
      <c r="AR22" s="134"/>
      <c r="AS22" s="134"/>
      <c r="AT22" s="134"/>
      <c r="AU22" s="134"/>
      <c r="AV22" s="135">
        <f t="shared" si="5"/>
        <v>1267300.8359999999</v>
      </c>
      <c r="AW22" s="135">
        <f t="shared" si="6"/>
        <v>1267300.8359999999</v>
      </c>
      <c r="AX22" s="135">
        <f t="shared" si="7"/>
        <v>0</v>
      </c>
    </row>
    <row r="23" spans="1:50" ht="12" customHeight="1" x14ac:dyDescent="0.35">
      <c r="A23" s="269" t="str">
        <f>'Phase II Financial'!A75</f>
        <v>Construction Loan Origination</v>
      </c>
      <c r="B23" s="171">
        <f>'Phase II Financial'!C75</f>
        <v>1843125</v>
      </c>
      <c r="C23" s="134">
        <f t="shared" ref="C23:D23" si="22">$B$23*C4</f>
        <v>0</v>
      </c>
      <c r="D23" s="134">
        <f t="shared" si="22"/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f>$B23</f>
        <v>1843125</v>
      </c>
      <c r="L23" s="134">
        <v>0</v>
      </c>
      <c r="M23" s="136"/>
      <c r="N23" s="134">
        <v>0</v>
      </c>
      <c r="O23" s="134">
        <v>0</v>
      </c>
      <c r="P23" s="134"/>
      <c r="Q23" s="134"/>
      <c r="R23" s="134"/>
      <c r="S23" s="134"/>
      <c r="T23" s="134"/>
      <c r="U23" s="134"/>
      <c r="V23" s="134"/>
      <c r="W23" s="136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93"/>
      <c r="AL23" s="284"/>
      <c r="AM23" s="134"/>
      <c r="AN23" s="134"/>
      <c r="AO23" s="134"/>
      <c r="AP23" s="193"/>
      <c r="AQ23" s="134"/>
      <c r="AR23" s="134"/>
      <c r="AS23" s="134"/>
      <c r="AT23" s="134"/>
      <c r="AU23" s="134"/>
      <c r="AV23" s="135">
        <f t="shared" si="5"/>
        <v>1843125</v>
      </c>
      <c r="AW23" s="135">
        <f t="shared" si="6"/>
        <v>1843125</v>
      </c>
      <c r="AX23" s="135">
        <f t="shared" si="7"/>
        <v>0</v>
      </c>
    </row>
    <row r="24" spans="1:50" ht="12" customHeight="1" x14ac:dyDescent="0.35">
      <c r="A24" s="270" t="str">
        <f>'Phase II Financial'!A76</f>
        <v>Construction Interest</v>
      </c>
      <c r="B24" s="171">
        <f>'Phase II Financial'!C76</f>
        <v>6151450</v>
      </c>
      <c r="C24" s="147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>
        <f t="shared" ref="U24:AF24" si="23">$B24/12</f>
        <v>512620.83333333331</v>
      </c>
      <c r="V24" s="134">
        <f t="shared" si="23"/>
        <v>512620.83333333331</v>
      </c>
      <c r="W24" s="134">
        <f t="shared" si="23"/>
        <v>512620.83333333331</v>
      </c>
      <c r="X24" s="134">
        <f t="shared" si="23"/>
        <v>512620.83333333331</v>
      </c>
      <c r="Y24" s="134">
        <f t="shared" si="23"/>
        <v>512620.83333333331</v>
      </c>
      <c r="Z24" s="134">
        <f t="shared" si="23"/>
        <v>512620.83333333331</v>
      </c>
      <c r="AA24" s="134">
        <f t="shared" si="23"/>
        <v>512620.83333333331</v>
      </c>
      <c r="AB24" s="134">
        <f t="shared" si="23"/>
        <v>512620.83333333331</v>
      </c>
      <c r="AC24" s="134">
        <f t="shared" si="23"/>
        <v>512620.83333333331</v>
      </c>
      <c r="AD24" s="134">
        <f t="shared" si="23"/>
        <v>512620.83333333331</v>
      </c>
      <c r="AE24" s="134">
        <f t="shared" si="23"/>
        <v>512620.83333333331</v>
      </c>
      <c r="AF24" s="134">
        <f t="shared" si="23"/>
        <v>512620.83333333331</v>
      </c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>
        <f t="shared" si="5"/>
        <v>6151449.9999999991</v>
      </c>
      <c r="AW24" s="135">
        <f t="shared" si="6"/>
        <v>6151450</v>
      </c>
      <c r="AX24" s="135">
        <f t="shared" si="7"/>
        <v>0</v>
      </c>
    </row>
    <row r="25" spans="1:50" ht="26.25" customHeight="1" x14ac:dyDescent="0.35">
      <c r="A25" s="198" t="str">
        <f>'Phase II Financial'!A77</f>
        <v>Additional Contingency</v>
      </c>
      <c r="B25" s="150">
        <f>'Phase II Financial'!C77</f>
        <v>2000000</v>
      </c>
      <c r="C25" s="149">
        <v>0</v>
      </c>
      <c r="D25" s="149">
        <v>0</v>
      </c>
      <c r="E25" s="149">
        <v>0</v>
      </c>
      <c r="F25" s="149"/>
      <c r="G25" s="149">
        <v>0</v>
      </c>
      <c r="H25" s="149">
        <v>0</v>
      </c>
      <c r="I25" s="149">
        <v>0</v>
      </c>
      <c r="J25" s="149">
        <v>0</v>
      </c>
      <c r="K25" s="149">
        <f t="shared" ref="K25:V25" si="24">$B25*K4</f>
        <v>0</v>
      </c>
      <c r="L25" s="149">
        <f t="shared" si="24"/>
        <v>0</v>
      </c>
      <c r="M25" s="149">
        <f t="shared" si="24"/>
        <v>0</v>
      </c>
      <c r="N25" s="149">
        <f t="shared" si="24"/>
        <v>0</v>
      </c>
      <c r="O25" s="149">
        <f t="shared" si="24"/>
        <v>0</v>
      </c>
      <c r="P25" s="149">
        <f t="shared" si="24"/>
        <v>0</v>
      </c>
      <c r="Q25" s="149">
        <f t="shared" si="24"/>
        <v>0</v>
      </c>
      <c r="R25" s="149">
        <f t="shared" si="24"/>
        <v>0</v>
      </c>
      <c r="S25" s="149">
        <f t="shared" si="24"/>
        <v>0</v>
      </c>
      <c r="T25" s="149">
        <f t="shared" si="24"/>
        <v>0</v>
      </c>
      <c r="U25" s="149">
        <f t="shared" si="24"/>
        <v>100000</v>
      </c>
      <c r="V25" s="149">
        <f t="shared" si="24"/>
        <v>100000</v>
      </c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99"/>
      <c r="AN25" s="199"/>
      <c r="AO25" s="199"/>
      <c r="AP25" s="199"/>
      <c r="AQ25" s="200"/>
      <c r="AR25" s="200"/>
      <c r="AS25" s="200"/>
      <c r="AT25" s="200"/>
      <c r="AU25" s="200"/>
      <c r="AV25" s="135">
        <f t="shared" si="5"/>
        <v>200000</v>
      </c>
      <c r="AW25" s="135">
        <f t="shared" si="6"/>
        <v>2000000</v>
      </c>
      <c r="AX25" s="135">
        <f t="shared" si="7"/>
        <v>1800000</v>
      </c>
    </row>
    <row r="26" spans="1:50" ht="12" customHeight="1" x14ac:dyDescent="0.35">
      <c r="A26" s="285" t="str">
        <f>'Phase I Financial'!A69</f>
        <v>Total Project Cost</v>
      </c>
      <c r="B26" s="286">
        <f t="shared" ref="B26:X26" si="25">SUM(B5:B25)</f>
        <v>209435982.38533103</v>
      </c>
      <c r="C26" s="287">
        <f t="shared" si="25"/>
        <v>0</v>
      </c>
      <c r="D26" s="287">
        <f t="shared" si="25"/>
        <v>0</v>
      </c>
      <c r="E26" s="287">
        <f t="shared" si="25"/>
        <v>1701052.16</v>
      </c>
      <c r="F26" s="287">
        <f t="shared" si="25"/>
        <v>1301052.1599999999</v>
      </c>
      <c r="G26" s="287">
        <f t="shared" si="25"/>
        <v>450350.72000000003</v>
      </c>
      <c r="H26" s="287">
        <f t="shared" si="25"/>
        <v>1060350.72</v>
      </c>
      <c r="I26" s="287">
        <f t="shared" si="25"/>
        <v>260175.36000000002</v>
      </c>
      <c r="J26" s="287">
        <f t="shared" si="25"/>
        <v>260070.144</v>
      </c>
      <c r="K26" s="287">
        <f t="shared" si="25"/>
        <v>1923195.1440000001</v>
      </c>
      <c r="L26" s="287">
        <f t="shared" si="25"/>
        <v>942133.06707692309</v>
      </c>
      <c r="M26" s="287">
        <f t="shared" si="25"/>
        <v>80070.144</v>
      </c>
      <c r="N26" s="287">
        <f t="shared" si="25"/>
        <v>296736.81066666666</v>
      </c>
      <c r="O26" s="287">
        <f t="shared" si="25"/>
        <v>40035.072</v>
      </c>
      <c r="P26" s="287">
        <f t="shared" si="25"/>
        <v>365035.07199999999</v>
      </c>
      <c r="Q26" s="287">
        <f t="shared" si="25"/>
        <v>40035.072</v>
      </c>
      <c r="R26" s="287">
        <f t="shared" si="25"/>
        <v>256701.73866666667</v>
      </c>
      <c r="S26" s="287">
        <f t="shared" si="25"/>
        <v>40035.072</v>
      </c>
      <c r="T26" s="287">
        <f t="shared" si="25"/>
        <v>12844080</v>
      </c>
      <c r="U26" s="287">
        <f t="shared" si="25"/>
        <v>29034018.474684756</v>
      </c>
      <c r="V26" s="287">
        <f t="shared" si="25"/>
        <v>7805013.6524993731</v>
      </c>
      <c r="W26" s="287">
        <f t="shared" si="25"/>
        <v>13429838.563557066</v>
      </c>
      <c r="X26" s="287">
        <f t="shared" si="25"/>
        <v>13429838.563557066</v>
      </c>
      <c r="Y26" s="287">
        <f t="shared" ref="Y26:AH26" si="26">SUM(Y5:Y25)</f>
        <v>13429838.563557066</v>
      </c>
      <c r="Z26" s="287">
        <f t="shared" si="26"/>
        <v>13429838.563557066</v>
      </c>
      <c r="AA26" s="287">
        <f t="shared" si="26"/>
        <v>19537996.474614754</v>
      </c>
      <c r="AB26" s="287">
        <f t="shared" si="26"/>
        <v>19537996.474614754</v>
      </c>
      <c r="AC26" s="287">
        <f t="shared" si="26"/>
        <v>7321680.6524993731</v>
      </c>
      <c r="AD26" s="287">
        <f t="shared" si="26"/>
        <v>16446680.652499374</v>
      </c>
      <c r="AE26" s="287">
        <f t="shared" si="26"/>
        <v>19100805.652499374</v>
      </c>
      <c r="AF26" s="287">
        <f t="shared" si="26"/>
        <v>9975805.652499374</v>
      </c>
      <c r="AG26" s="287">
        <f t="shared" si="26"/>
        <v>2348494.5788073614</v>
      </c>
      <c r="AH26" s="287">
        <f t="shared" si="26"/>
        <v>1081193.7428073618</v>
      </c>
      <c r="AI26" s="287"/>
      <c r="AJ26" s="287"/>
      <c r="AK26" s="287"/>
      <c r="AL26" s="287"/>
      <c r="AM26" s="287"/>
      <c r="AN26" s="287"/>
      <c r="AO26" s="287"/>
      <c r="AP26" s="287"/>
      <c r="AQ26" s="287"/>
      <c r="AR26" s="288"/>
      <c r="AS26" s="201"/>
      <c r="AT26" s="201"/>
      <c r="AU26" s="201"/>
      <c r="AV26" s="202">
        <f t="shared" ref="AV26:AW26" si="27">SUM(AV5:AV25)</f>
        <v>207770148.71866438</v>
      </c>
      <c r="AW26" s="203">
        <f t="shared" si="27"/>
        <v>209435982.38533103</v>
      </c>
      <c r="AX26" s="273"/>
    </row>
    <row r="27" spans="1:50" ht="12" customHeight="1" x14ac:dyDescent="0.35">
      <c r="A27" s="152" t="s">
        <v>356</v>
      </c>
      <c r="B27" s="204">
        <f>'Phase II Financial'!B86</f>
        <v>-16866000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205"/>
      <c r="AW27" s="174"/>
      <c r="AX27" s="273"/>
    </row>
    <row r="28" spans="1:50" ht="12" customHeight="1" x14ac:dyDescent="0.35">
      <c r="A28" s="154" t="s">
        <v>357</v>
      </c>
      <c r="B28" s="206">
        <f>B26+B27</f>
        <v>192569982.38533103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66"/>
      <c r="AA28" s="166"/>
      <c r="AB28" s="166"/>
      <c r="AC28" s="166"/>
      <c r="AD28" s="166"/>
      <c r="AE28" s="166"/>
      <c r="AF28" s="166"/>
      <c r="AG28" s="166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56"/>
    </row>
    <row r="29" spans="1:50" ht="12" customHeight="1" x14ac:dyDescent="0.35">
      <c r="A29" s="157" t="s">
        <v>358</v>
      </c>
      <c r="B29" s="158">
        <f>SUM(C29:AR29)</f>
        <v>55920000</v>
      </c>
      <c r="C29" s="135">
        <f>C26</f>
        <v>0</v>
      </c>
      <c r="D29" s="135">
        <f t="shared" ref="D29:X29" si="28">IF(C30+D26&lt;=$B$30,D26,($B$30-C30))</f>
        <v>0</v>
      </c>
      <c r="E29" s="135">
        <f t="shared" si="28"/>
        <v>1701052.16</v>
      </c>
      <c r="F29" s="135">
        <f t="shared" si="28"/>
        <v>1301052.1599999999</v>
      </c>
      <c r="G29" s="135">
        <f t="shared" si="28"/>
        <v>450350.72000000003</v>
      </c>
      <c r="H29" s="135">
        <f t="shared" si="28"/>
        <v>1060350.72</v>
      </c>
      <c r="I29" s="135">
        <f t="shared" si="28"/>
        <v>260175.36000000002</v>
      </c>
      <c r="J29" s="135">
        <f t="shared" si="28"/>
        <v>260070.144</v>
      </c>
      <c r="K29" s="135">
        <f t="shared" si="28"/>
        <v>1923195.1440000001</v>
      </c>
      <c r="L29" s="135">
        <f t="shared" si="28"/>
        <v>942133.06707692309</v>
      </c>
      <c r="M29" s="135">
        <f t="shared" si="28"/>
        <v>80070.144</v>
      </c>
      <c r="N29" s="135">
        <f t="shared" si="28"/>
        <v>296736.81066666666</v>
      </c>
      <c r="O29" s="135">
        <f t="shared" si="28"/>
        <v>40035.072</v>
      </c>
      <c r="P29" s="135">
        <f t="shared" si="28"/>
        <v>365035.07199999999</v>
      </c>
      <c r="Q29" s="135">
        <f t="shared" si="28"/>
        <v>40035.072</v>
      </c>
      <c r="R29" s="135">
        <f t="shared" si="28"/>
        <v>256701.73866666667</v>
      </c>
      <c r="S29" s="135">
        <f t="shared" si="28"/>
        <v>40035.072</v>
      </c>
      <c r="T29" s="135">
        <f t="shared" si="28"/>
        <v>12844080</v>
      </c>
      <c r="U29" s="135">
        <f t="shared" si="28"/>
        <v>29034018.474684756</v>
      </c>
      <c r="V29" s="135">
        <f t="shared" si="28"/>
        <v>5024873.068904981</v>
      </c>
      <c r="W29" s="135">
        <f t="shared" si="28"/>
        <v>0</v>
      </c>
      <c r="X29" s="135">
        <f t="shared" si="28"/>
        <v>0</v>
      </c>
      <c r="Y29" s="135">
        <f t="shared" ref="Y29:AH29" si="29">IF(X30+Y26&lt;=$B$30,Y26,($B$30-X30))</f>
        <v>0</v>
      </c>
      <c r="Z29" s="135">
        <f t="shared" si="29"/>
        <v>0</v>
      </c>
      <c r="AA29" s="135">
        <f t="shared" si="29"/>
        <v>0</v>
      </c>
      <c r="AB29" s="135">
        <f t="shared" si="29"/>
        <v>0</v>
      </c>
      <c r="AC29" s="135">
        <f t="shared" si="29"/>
        <v>0</v>
      </c>
      <c r="AD29" s="135">
        <f t="shared" si="29"/>
        <v>0</v>
      </c>
      <c r="AE29" s="135">
        <f t="shared" si="29"/>
        <v>0</v>
      </c>
      <c r="AF29" s="135">
        <f t="shared" si="29"/>
        <v>0</v>
      </c>
      <c r="AG29" s="135">
        <f t="shared" si="29"/>
        <v>0</v>
      </c>
      <c r="AH29" s="135">
        <f t="shared" si="29"/>
        <v>0</v>
      </c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59"/>
      <c r="AT29" s="159"/>
      <c r="AU29" s="159"/>
      <c r="AV29" s="159"/>
      <c r="AW29" s="159"/>
      <c r="AX29" s="159"/>
    </row>
    <row r="30" spans="1:50" ht="12" customHeight="1" x14ac:dyDescent="0.35">
      <c r="A30" s="269" t="s">
        <v>359</v>
      </c>
      <c r="B30" s="160">
        <f>'Phase II Financial'!B93</f>
        <v>55920000</v>
      </c>
      <c r="C30" s="135">
        <f>C29</f>
        <v>0</v>
      </c>
      <c r="D30" s="135">
        <f t="shared" ref="D30:X30" si="30">IF(SUM($C$29:D29)&lt;=$B30,SUM($C$29:D29),0)</f>
        <v>0</v>
      </c>
      <c r="E30" s="135">
        <f t="shared" si="30"/>
        <v>1701052.16</v>
      </c>
      <c r="F30" s="135">
        <f t="shared" si="30"/>
        <v>3002104.32</v>
      </c>
      <c r="G30" s="135">
        <f t="shared" si="30"/>
        <v>3452455.04</v>
      </c>
      <c r="H30" s="135">
        <f t="shared" si="30"/>
        <v>4512805.76</v>
      </c>
      <c r="I30" s="135">
        <f t="shared" si="30"/>
        <v>4772981.12</v>
      </c>
      <c r="J30" s="135">
        <f t="shared" si="30"/>
        <v>5033051.2640000004</v>
      </c>
      <c r="K30" s="135">
        <f t="shared" si="30"/>
        <v>6956246.4080000008</v>
      </c>
      <c r="L30" s="135">
        <f t="shared" si="30"/>
        <v>7898379.4750769241</v>
      </c>
      <c r="M30" s="135">
        <f t="shared" si="30"/>
        <v>7978449.6190769244</v>
      </c>
      <c r="N30" s="135">
        <f t="shared" si="30"/>
        <v>8275186.4297435908</v>
      </c>
      <c r="O30" s="135">
        <f t="shared" si="30"/>
        <v>8315221.5017435905</v>
      </c>
      <c r="P30" s="135">
        <f t="shared" si="30"/>
        <v>8680256.5737435911</v>
      </c>
      <c r="Q30" s="135">
        <f t="shared" si="30"/>
        <v>8720291.6457435917</v>
      </c>
      <c r="R30" s="135">
        <f t="shared" si="30"/>
        <v>8976993.3844102584</v>
      </c>
      <c r="S30" s="135">
        <f t="shared" si="30"/>
        <v>9017028.456410259</v>
      </c>
      <c r="T30" s="135">
        <f t="shared" si="30"/>
        <v>21861108.456410259</v>
      </c>
      <c r="U30" s="135">
        <f t="shared" si="30"/>
        <v>50895126.931095019</v>
      </c>
      <c r="V30" s="135">
        <f t="shared" si="30"/>
        <v>55920000</v>
      </c>
      <c r="W30" s="135">
        <f t="shared" si="30"/>
        <v>55920000</v>
      </c>
      <c r="X30" s="175">
        <f t="shared" si="30"/>
        <v>55920000</v>
      </c>
      <c r="Y30" s="175">
        <f>IF(SUM($C$29:Y29)&lt;=$B30,SUM($C$29:Y29),0)</f>
        <v>55920000</v>
      </c>
      <c r="Z30" s="175">
        <f>IF(SUM($C$29:Z29)&lt;=$B30,SUM($C$29:Z29),0)</f>
        <v>55920000</v>
      </c>
      <c r="AA30" s="175">
        <f>IF(SUM($C$29:AA29)&lt;=$B30,SUM($C$29:AA29),0)</f>
        <v>55920000</v>
      </c>
      <c r="AB30" s="175">
        <f>IF(SUM($C$29:AB29)&lt;=$B30,SUM($C$29:AB29),0)</f>
        <v>55920000</v>
      </c>
      <c r="AC30" s="175">
        <f>IF(SUM($C$29:AC29)&lt;=$B30,SUM($C$29:AC29),0)</f>
        <v>55920000</v>
      </c>
      <c r="AD30" s="175">
        <f>IF(SUM($C$29:AD29)&lt;=$B30,SUM($C$29:AD29),0)</f>
        <v>55920000</v>
      </c>
      <c r="AE30" s="175">
        <f>IF(SUM($C$29:AE29)&lt;=$B30,SUM($C$29:AE29),0)</f>
        <v>55920000</v>
      </c>
      <c r="AF30" s="175">
        <f>IF(SUM($C$29:AF29)&lt;=$B30,SUM($C$29:AF29),0)</f>
        <v>55920000</v>
      </c>
      <c r="AG30" s="175">
        <f>IF(SUM($C$29:AG29)&lt;=$B30,SUM($C$29:AG29),0)</f>
        <v>55920000</v>
      </c>
      <c r="AH30" s="175">
        <f>IF(SUM($C$29:AH29)&lt;=$B30,SUM($C$29:AH29),0)</f>
        <v>55920000</v>
      </c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59"/>
      <c r="AT30" s="159"/>
      <c r="AU30" s="159"/>
      <c r="AV30" s="159"/>
      <c r="AW30" s="159"/>
      <c r="AX30" s="159"/>
    </row>
    <row r="31" spans="1:50" ht="12" customHeight="1" x14ac:dyDescent="0.35">
      <c r="A31" s="88" t="s">
        <v>360</v>
      </c>
      <c r="B31" s="161">
        <f>'Phase II Financial'!B88</f>
        <v>136133388.55046517</v>
      </c>
      <c r="C31" s="274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274"/>
      <c r="AT31" s="274"/>
      <c r="AU31" s="274"/>
      <c r="AV31" s="274"/>
      <c r="AW31" s="274"/>
      <c r="AX31" s="159"/>
    </row>
    <row r="32" spans="1:50" ht="12" customHeight="1" x14ac:dyDescent="0.35">
      <c r="A32" s="163" t="s">
        <v>361</v>
      </c>
      <c r="B32" s="164">
        <f>PMT(0.045,30,(B31))</f>
        <v>-8357438.7644880656</v>
      </c>
      <c r="C32" s="274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274"/>
      <c r="AT32" s="274"/>
      <c r="AU32" s="274"/>
      <c r="AV32" s="274"/>
      <c r="AW32" s="274"/>
      <c r="AX32" s="159"/>
    </row>
    <row r="33" spans="1:52" ht="12" customHeight="1" x14ac:dyDescent="0.35">
      <c r="A33" s="275" t="s">
        <v>362</v>
      </c>
      <c r="B33" s="165">
        <f>SUM(C33:AV33)</f>
        <v>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66"/>
      <c r="AW33" s="274"/>
      <c r="AX33" s="159"/>
    </row>
    <row r="34" spans="1:52" ht="12" customHeight="1" x14ac:dyDescent="0.35">
      <c r="A34" s="971" t="s">
        <v>363</v>
      </c>
      <c r="B34" s="947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01"/>
      <c r="AT34" s="101"/>
      <c r="AU34" s="101"/>
      <c r="AV34" s="166"/>
      <c r="AW34" s="162"/>
      <c r="AX34" s="159"/>
    </row>
    <row r="35" spans="1:52" ht="12" customHeight="1" x14ac:dyDescent="0.35">
      <c r="A35" s="157" t="s">
        <v>364</v>
      </c>
      <c r="B35" s="158">
        <f>'Phase II Financial'!B100+'Phase II Financial'!B101</f>
        <v>109200811.44953483</v>
      </c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20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289"/>
      <c r="AT35" s="289"/>
      <c r="AU35" s="289"/>
      <c r="AV35" s="1"/>
      <c r="AW35" s="168"/>
      <c r="AX35" s="169"/>
    </row>
    <row r="36" spans="1:52" ht="12" customHeight="1" x14ac:dyDescent="0.35">
      <c r="A36" s="157" t="s">
        <v>389</v>
      </c>
      <c r="B36" s="170">
        <f>SUM(C36:AU36)</f>
        <v>53280811.449534833</v>
      </c>
      <c r="C36" s="171">
        <f t="shared" ref="C36:W36" si="31">-C29</f>
        <v>0</v>
      </c>
      <c r="D36" s="171">
        <f t="shared" si="31"/>
        <v>0</v>
      </c>
      <c r="E36" s="171">
        <f t="shared" si="31"/>
        <v>-1701052.16</v>
      </c>
      <c r="F36" s="171">
        <f t="shared" si="31"/>
        <v>-1301052.1599999999</v>
      </c>
      <c r="G36" s="171">
        <f t="shared" si="31"/>
        <v>-450350.72000000003</v>
      </c>
      <c r="H36" s="171">
        <f t="shared" si="31"/>
        <v>-1060350.72</v>
      </c>
      <c r="I36" s="171">
        <f t="shared" si="31"/>
        <v>-260175.36000000002</v>
      </c>
      <c r="J36" s="171">
        <f t="shared" si="31"/>
        <v>-260070.144</v>
      </c>
      <c r="K36" s="171">
        <f t="shared" si="31"/>
        <v>-1923195.1440000001</v>
      </c>
      <c r="L36" s="171">
        <f t="shared" si="31"/>
        <v>-942133.06707692309</v>
      </c>
      <c r="M36" s="171">
        <f t="shared" si="31"/>
        <v>-80070.144</v>
      </c>
      <c r="N36" s="171">
        <f t="shared" si="31"/>
        <v>-296736.81066666666</v>
      </c>
      <c r="O36" s="171">
        <f t="shared" si="31"/>
        <v>-40035.072</v>
      </c>
      <c r="P36" s="171">
        <f t="shared" si="31"/>
        <v>-365035.07199999999</v>
      </c>
      <c r="Q36" s="171">
        <f t="shared" si="31"/>
        <v>-40035.072</v>
      </c>
      <c r="R36" s="171">
        <f t="shared" si="31"/>
        <v>-256701.73866666667</v>
      </c>
      <c r="S36" s="171">
        <f t="shared" si="31"/>
        <v>-40035.072</v>
      </c>
      <c r="T36" s="171">
        <f t="shared" si="31"/>
        <v>-12844080</v>
      </c>
      <c r="U36" s="171">
        <f t="shared" si="31"/>
        <v>-29034018.474684756</v>
      </c>
      <c r="V36" s="171">
        <f t="shared" si="31"/>
        <v>-5024873.068904981</v>
      </c>
      <c r="W36" s="171">
        <f t="shared" si="31"/>
        <v>0</v>
      </c>
      <c r="X36" s="171">
        <f t="shared" ref="X36:AG36" si="32">-X29</f>
        <v>0</v>
      </c>
      <c r="Y36" s="171">
        <f t="shared" si="32"/>
        <v>0</v>
      </c>
      <c r="Z36" s="171">
        <f t="shared" si="32"/>
        <v>0</v>
      </c>
      <c r="AA36" s="171">
        <f t="shared" si="32"/>
        <v>0</v>
      </c>
      <c r="AB36" s="171">
        <f t="shared" si="32"/>
        <v>0</v>
      </c>
      <c r="AC36" s="171">
        <f t="shared" si="32"/>
        <v>0</v>
      </c>
      <c r="AD36" s="171">
        <f t="shared" si="32"/>
        <v>0</v>
      </c>
      <c r="AE36" s="171">
        <f t="shared" si="32"/>
        <v>0</v>
      </c>
      <c r="AF36" s="171">
        <f t="shared" si="32"/>
        <v>0</v>
      </c>
      <c r="AG36" s="171">
        <f t="shared" si="32"/>
        <v>0</v>
      </c>
      <c r="AH36" s="172">
        <f>B35</f>
        <v>109200811.44953483</v>
      </c>
      <c r="AI36" s="171"/>
      <c r="AJ36" s="171"/>
      <c r="AK36" s="208"/>
      <c r="AL36" s="209"/>
      <c r="AM36" s="209"/>
      <c r="AN36" s="209"/>
      <c r="AO36" s="209"/>
      <c r="AP36" s="209"/>
      <c r="AQ36" s="209"/>
      <c r="AR36" s="209"/>
      <c r="AS36" s="290"/>
      <c r="AT36" s="290"/>
      <c r="AU36" s="290"/>
      <c r="AV36" s="210"/>
      <c r="AW36" s="171"/>
      <c r="AX36" s="135"/>
    </row>
    <row r="37" spans="1:52" ht="12" customHeight="1" x14ac:dyDescent="0.35">
      <c r="A37" s="157" t="s">
        <v>390</v>
      </c>
      <c r="B37" s="173">
        <f>IF(B36&lt;0,0,IRR(C36:AIW36))</f>
        <v>4.3982894147475138E-2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"/>
      <c r="AW37" s="174"/>
      <c r="AX37" s="175"/>
    </row>
    <row r="38" spans="1:52" ht="12" customHeight="1" x14ac:dyDescent="0.35">
      <c r="A38" s="144" t="s">
        <v>367</v>
      </c>
      <c r="B38" s="211">
        <f>POWER((1+B37),4)-1</f>
        <v>0.18788262747755891</v>
      </c>
      <c r="C38" s="1"/>
      <c r="D38" s="1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8"/>
      <c r="Q38" s="177"/>
      <c r="R38" s="177"/>
      <c r="S38" s="177"/>
      <c r="T38" s="177"/>
      <c r="U38" s="177"/>
      <c r="V38" s="178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212"/>
      <c r="AS38" s="212"/>
      <c r="AT38" s="212"/>
      <c r="AU38" s="212"/>
      <c r="AV38" s="177"/>
      <c r="AW38" s="177"/>
      <c r="AX38" s="179"/>
    </row>
    <row r="39" spans="1:52" ht="12" customHeight="1" x14ac:dyDescent="0.35">
      <c r="A39" s="971" t="s">
        <v>368</v>
      </c>
      <c r="B39" s="97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44"/>
      <c r="AY39" s="2"/>
      <c r="AZ39" s="2"/>
    </row>
    <row r="40" spans="1:52" ht="12" customHeight="1" x14ac:dyDescent="0.35">
      <c r="A40" s="157" t="s">
        <v>369</v>
      </c>
      <c r="B40" s="213">
        <f>'Phase II Financial'!B100-B27</f>
        <v>262200200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62"/>
      <c r="N40" s="1"/>
      <c r="O40" s="1"/>
      <c r="P40" s="1"/>
      <c r="Q40" s="1"/>
      <c r="R40" s="1"/>
      <c r="S40" s="16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44"/>
      <c r="AY40" s="2"/>
      <c r="AZ40" s="2"/>
    </row>
    <row r="41" spans="1:52" ht="12" customHeight="1" x14ac:dyDescent="0.35">
      <c r="A41" s="157" t="s">
        <v>391</v>
      </c>
      <c r="B41" s="170">
        <f>SUM(C41:AU41)</f>
        <v>54430051.281335622</v>
      </c>
      <c r="C41" s="135">
        <f t="shared" ref="C41:W41" si="33">-C26</f>
        <v>0</v>
      </c>
      <c r="D41" s="135">
        <f t="shared" si="33"/>
        <v>0</v>
      </c>
      <c r="E41" s="135">
        <f t="shared" si="33"/>
        <v>-1701052.16</v>
      </c>
      <c r="F41" s="135">
        <f t="shared" si="33"/>
        <v>-1301052.1599999999</v>
      </c>
      <c r="G41" s="135">
        <f t="shared" si="33"/>
        <v>-450350.72000000003</v>
      </c>
      <c r="H41" s="135">
        <f t="shared" si="33"/>
        <v>-1060350.72</v>
      </c>
      <c r="I41" s="135">
        <f t="shared" si="33"/>
        <v>-260175.36000000002</v>
      </c>
      <c r="J41" s="135">
        <f t="shared" si="33"/>
        <v>-260070.144</v>
      </c>
      <c r="K41" s="135">
        <f t="shared" si="33"/>
        <v>-1923195.1440000001</v>
      </c>
      <c r="L41" s="135">
        <f t="shared" si="33"/>
        <v>-942133.06707692309</v>
      </c>
      <c r="M41" s="135">
        <f t="shared" si="33"/>
        <v>-80070.144</v>
      </c>
      <c r="N41" s="135">
        <f t="shared" si="33"/>
        <v>-296736.81066666666</v>
      </c>
      <c r="O41" s="135">
        <f t="shared" si="33"/>
        <v>-40035.072</v>
      </c>
      <c r="P41" s="135">
        <f t="shared" si="33"/>
        <v>-365035.07199999999</v>
      </c>
      <c r="Q41" s="135">
        <f t="shared" si="33"/>
        <v>-40035.072</v>
      </c>
      <c r="R41" s="135">
        <f t="shared" si="33"/>
        <v>-256701.73866666667</v>
      </c>
      <c r="S41" s="135">
        <f t="shared" si="33"/>
        <v>-40035.072</v>
      </c>
      <c r="T41" s="135">
        <f t="shared" si="33"/>
        <v>-12844080</v>
      </c>
      <c r="U41" s="135">
        <f t="shared" si="33"/>
        <v>-29034018.474684756</v>
      </c>
      <c r="V41" s="135">
        <f t="shared" si="33"/>
        <v>-7805013.6524993731</v>
      </c>
      <c r="W41" s="135">
        <f t="shared" si="33"/>
        <v>-13429838.563557066</v>
      </c>
      <c r="X41" s="135">
        <f>-X26</f>
        <v>-13429838.563557066</v>
      </c>
      <c r="Y41" s="135">
        <f t="shared" ref="Y41:AR41" si="34">IF(Y30&gt;=$B$30,-(Y26+Y36),Y36)</f>
        <v>-13429838.563557066</v>
      </c>
      <c r="Z41" s="135">
        <f t="shared" si="34"/>
        <v>-13429838.563557066</v>
      </c>
      <c r="AA41" s="135">
        <f t="shared" si="34"/>
        <v>-19537996.474614754</v>
      </c>
      <c r="AB41" s="135">
        <f t="shared" si="34"/>
        <v>-19537996.474614754</v>
      </c>
      <c r="AC41" s="135">
        <f t="shared" si="34"/>
        <v>-7321680.6524993731</v>
      </c>
      <c r="AD41" s="135">
        <f t="shared" si="34"/>
        <v>-16446680.652499374</v>
      </c>
      <c r="AE41" s="135">
        <f t="shared" si="34"/>
        <v>-19100805.652499374</v>
      </c>
      <c r="AF41" s="135">
        <f t="shared" si="34"/>
        <v>-9975805.652499374</v>
      </c>
      <c r="AG41" s="135">
        <f t="shared" si="34"/>
        <v>-2348494.5788073614</v>
      </c>
      <c r="AH41" s="175">
        <f>-AH26+B40</f>
        <v>261119006.25719264</v>
      </c>
      <c r="AI41" s="135">
        <f t="shared" si="34"/>
        <v>0</v>
      </c>
      <c r="AJ41" s="135">
        <f t="shared" si="34"/>
        <v>0</v>
      </c>
      <c r="AK41" s="135">
        <f t="shared" si="34"/>
        <v>0</v>
      </c>
      <c r="AL41" s="135">
        <f t="shared" si="34"/>
        <v>0</v>
      </c>
      <c r="AM41" s="135">
        <f t="shared" si="34"/>
        <v>0</v>
      </c>
      <c r="AN41" s="135">
        <f t="shared" si="34"/>
        <v>0</v>
      </c>
      <c r="AO41" s="135">
        <f t="shared" si="34"/>
        <v>0</v>
      </c>
      <c r="AP41" s="135">
        <f t="shared" si="34"/>
        <v>0</v>
      </c>
      <c r="AQ41" s="135">
        <f t="shared" si="34"/>
        <v>0</v>
      </c>
      <c r="AR41" s="135">
        <f t="shared" si="34"/>
        <v>0</v>
      </c>
      <c r="AS41" s="135"/>
      <c r="AT41" s="135"/>
      <c r="AU41" s="135"/>
      <c r="AV41" s="214"/>
      <c r="AW41" s="144"/>
      <c r="AX41" s="144"/>
      <c r="AY41" s="2"/>
      <c r="AZ41" s="2"/>
    </row>
    <row r="42" spans="1:52" ht="12" customHeight="1" x14ac:dyDescent="0.35">
      <c r="A42" s="157" t="s">
        <v>392</v>
      </c>
      <c r="B42" s="173">
        <f>IF(B41&lt;0,0,IRR(C41:AU41))</f>
        <v>2.5840841696771921E-2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44"/>
      <c r="AY42" s="2"/>
      <c r="AZ42" s="2"/>
    </row>
    <row r="43" spans="1:52" ht="12" customHeight="1" x14ac:dyDescent="0.35">
      <c r="A43" s="144" t="s">
        <v>393</v>
      </c>
      <c r="B43" s="176">
        <f>POWER((1+B42),4)-1</f>
        <v>0.10743932806863699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44"/>
      <c r="AY43" s="2"/>
      <c r="AZ43" s="2"/>
    </row>
    <row r="44" spans="1:52" ht="12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" customHeight="1" x14ac:dyDescent="0.35">
      <c r="A45" s="2"/>
      <c r="B45" s="41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2" customHeight="1" x14ac:dyDescent="0.35">
      <c r="A46" s="2"/>
      <c r="B46" s="2"/>
      <c r="C46" s="41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91"/>
      <c r="AC51" s="2"/>
      <c r="AD51" s="2"/>
      <c r="AE51" s="291"/>
      <c r="AF51" s="2"/>
      <c r="AG51" s="2"/>
      <c r="AH51" s="2"/>
      <c r="AI51" s="29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91"/>
      <c r="AC52" s="2"/>
      <c r="AD52" s="2"/>
      <c r="AE52" s="291"/>
      <c r="AF52" s="2"/>
      <c r="AG52" s="2"/>
      <c r="AH52" s="2"/>
      <c r="AI52" s="29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91"/>
      <c r="AC53" s="2"/>
      <c r="AD53" s="2"/>
      <c r="AE53" s="291"/>
      <c r="AF53" s="2"/>
      <c r="AG53" s="2"/>
      <c r="AH53" s="2"/>
      <c r="AI53" s="29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91"/>
      <c r="AC54" s="2"/>
      <c r="AD54" s="2"/>
      <c r="AE54" s="291"/>
      <c r="AF54" s="2"/>
      <c r="AG54" s="2"/>
      <c r="AH54" s="2"/>
      <c r="AI54" s="29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91"/>
      <c r="AC55" s="2"/>
      <c r="AD55" s="2"/>
      <c r="AE55" s="291"/>
      <c r="AF55" s="2"/>
      <c r="AG55" s="2"/>
      <c r="AH55" s="2"/>
      <c r="AI55" s="29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91"/>
      <c r="AC56" s="2"/>
      <c r="AD56" s="2"/>
      <c r="AE56" s="291"/>
      <c r="AF56" s="2"/>
      <c r="AG56" s="2"/>
      <c r="AH56" s="2"/>
      <c r="AI56" s="29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91"/>
      <c r="AC57" s="2"/>
      <c r="AD57" s="2"/>
      <c r="AE57" s="291"/>
      <c r="AF57" s="2"/>
      <c r="AG57" s="2"/>
      <c r="AH57" s="2"/>
      <c r="AI57" s="29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91"/>
      <c r="AC58" s="2"/>
      <c r="AD58" s="2"/>
      <c r="AE58" s="291"/>
      <c r="AF58" s="2"/>
      <c r="AG58" s="2"/>
      <c r="AH58" s="2"/>
      <c r="AI58" s="29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91"/>
      <c r="AC59" s="2"/>
      <c r="AD59" s="2"/>
      <c r="AE59" s="291"/>
      <c r="AF59" s="2"/>
      <c r="AG59" s="2"/>
      <c r="AH59" s="2"/>
      <c r="AI59" s="29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91"/>
      <c r="AC60" s="2"/>
      <c r="AD60" s="2"/>
      <c r="AE60" s="291"/>
      <c r="AF60" s="2"/>
      <c r="AG60" s="2"/>
      <c r="AH60" s="2"/>
      <c r="AI60" s="29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91"/>
      <c r="AC61" s="2"/>
      <c r="AD61" s="2"/>
      <c r="AE61" s="291"/>
      <c r="AF61" s="2"/>
      <c r="AG61" s="2"/>
      <c r="AH61" s="2"/>
      <c r="AI61" s="29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91"/>
      <c r="AC62" s="2"/>
      <c r="AD62" s="2"/>
      <c r="AE62" s="291"/>
      <c r="AF62" s="2"/>
      <c r="AG62" s="2"/>
      <c r="AH62" s="2"/>
      <c r="AI62" s="29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91"/>
      <c r="AC63" s="2"/>
      <c r="AD63" s="2"/>
      <c r="AE63" s="291"/>
      <c r="AF63" s="2"/>
      <c r="AG63" s="2"/>
      <c r="AH63" s="2"/>
      <c r="AI63" s="29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91"/>
      <c r="AC64" s="2"/>
      <c r="AD64" s="2"/>
      <c r="AE64" s="291"/>
      <c r="AF64" s="2"/>
      <c r="AG64" s="2"/>
      <c r="AH64" s="2"/>
      <c r="AI64" s="29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2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91"/>
      <c r="AC65" s="2"/>
      <c r="AD65" s="2"/>
      <c r="AE65" s="291"/>
      <c r="AF65" s="2"/>
      <c r="AG65" s="2"/>
      <c r="AH65" s="2"/>
      <c r="AI65" s="29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2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91"/>
      <c r="AC66" s="2"/>
      <c r="AD66" s="2"/>
      <c r="AE66" s="291"/>
      <c r="AF66" s="2"/>
      <c r="AG66" s="2"/>
      <c r="AH66" s="2"/>
      <c r="AI66" s="29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2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91"/>
      <c r="AC67" s="2"/>
      <c r="AD67" s="2"/>
      <c r="AE67" s="291"/>
      <c r="AF67" s="2"/>
      <c r="AG67" s="2"/>
      <c r="AH67" s="2"/>
      <c r="AI67" s="29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2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91"/>
      <c r="AC68" s="2"/>
      <c r="AD68" s="2"/>
      <c r="AE68" s="291"/>
      <c r="AF68" s="2"/>
      <c r="AG68" s="2"/>
      <c r="AH68" s="2"/>
      <c r="AI68" s="29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2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91"/>
      <c r="AC69" s="2"/>
      <c r="AD69" s="2"/>
      <c r="AE69" s="291"/>
      <c r="AF69" s="2"/>
      <c r="AG69" s="2"/>
      <c r="AH69" s="2"/>
      <c r="AI69" s="29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2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91"/>
      <c r="AC70" s="2"/>
      <c r="AD70" s="2"/>
      <c r="AE70" s="291"/>
      <c r="AF70" s="2"/>
      <c r="AG70" s="2"/>
      <c r="AH70" s="2"/>
      <c r="AI70" s="29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2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91"/>
      <c r="AC71" s="2"/>
      <c r="AD71" s="2"/>
      <c r="AE71" s="291"/>
      <c r="AF71" s="2"/>
      <c r="AG71" s="2"/>
      <c r="AH71" s="2"/>
      <c r="AI71" s="29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2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91"/>
      <c r="AC72" s="2"/>
      <c r="AD72" s="2"/>
      <c r="AE72" s="291"/>
      <c r="AF72" s="2"/>
      <c r="AG72" s="2"/>
      <c r="AH72" s="2"/>
      <c r="AI72" s="29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91"/>
      <c r="AC73" s="2"/>
      <c r="AD73" s="2"/>
      <c r="AE73" s="291"/>
      <c r="AF73" s="2"/>
      <c r="AG73" s="2"/>
      <c r="AH73" s="2"/>
      <c r="AI73" s="29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2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91"/>
      <c r="AC74" s="2"/>
      <c r="AD74" s="2"/>
      <c r="AE74" s="291"/>
      <c r="AF74" s="2"/>
      <c r="AG74" s="2"/>
      <c r="AH74" s="2"/>
      <c r="AI74" s="29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2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91"/>
      <c r="AC75" s="2"/>
      <c r="AD75" s="2"/>
      <c r="AE75" s="291"/>
      <c r="AF75" s="2"/>
      <c r="AG75" s="2"/>
      <c r="AH75" s="2"/>
      <c r="AI75" s="29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2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91"/>
      <c r="AC76" s="2"/>
      <c r="AD76" s="2"/>
      <c r="AE76" s="291"/>
      <c r="AF76" s="2"/>
      <c r="AG76" s="2"/>
      <c r="AH76" s="2"/>
      <c r="AI76" s="29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2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91"/>
      <c r="AC77" s="2"/>
      <c r="AD77" s="2"/>
      <c r="AE77" s="291"/>
      <c r="AF77" s="2"/>
      <c r="AG77" s="2"/>
      <c r="AH77" s="2"/>
      <c r="AI77" s="29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2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91"/>
      <c r="AC78" s="2"/>
      <c r="AD78" s="2"/>
      <c r="AE78" s="291"/>
      <c r="AF78" s="2"/>
      <c r="AG78" s="2"/>
      <c r="AH78" s="2"/>
      <c r="AI78" s="29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2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91"/>
      <c r="AC79" s="2"/>
      <c r="AD79" s="2"/>
      <c r="AE79" s="291"/>
      <c r="AF79" s="2"/>
      <c r="AG79" s="2"/>
      <c r="AH79" s="2"/>
      <c r="AI79" s="29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91"/>
      <c r="AC80" s="2"/>
      <c r="AD80" s="2"/>
      <c r="AE80" s="291"/>
      <c r="AF80" s="2"/>
      <c r="AG80" s="2"/>
      <c r="AH80" s="2"/>
      <c r="AI80" s="29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2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91"/>
      <c r="AC81" s="2"/>
      <c r="AD81" s="2"/>
      <c r="AE81" s="291"/>
      <c r="AF81" s="2"/>
      <c r="AG81" s="2"/>
      <c r="AH81" s="2"/>
      <c r="AI81" s="29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2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91"/>
      <c r="AC82" s="2"/>
      <c r="AD82" s="2"/>
      <c r="AE82" s="291"/>
      <c r="AF82" s="2"/>
      <c r="AG82" s="2"/>
      <c r="AH82" s="2"/>
      <c r="AI82" s="29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2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91"/>
      <c r="AC83" s="2"/>
      <c r="AD83" s="2"/>
      <c r="AE83" s="291"/>
      <c r="AF83" s="2"/>
      <c r="AG83" s="2"/>
      <c r="AH83" s="2"/>
      <c r="AI83" s="29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2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91"/>
      <c r="AC84" s="2"/>
      <c r="AD84" s="2"/>
      <c r="AE84" s="291"/>
      <c r="AF84" s="2"/>
      <c r="AG84" s="2"/>
      <c r="AH84" s="2"/>
      <c r="AI84" s="29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2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91"/>
      <c r="AC85" s="2"/>
      <c r="AD85" s="2"/>
      <c r="AE85" s="291"/>
      <c r="AF85" s="2"/>
      <c r="AG85" s="2"/>
      <c r="AH85" s="2"/>
      <c r="AI85" s="29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2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91"/>
      <c r="AC86" s="2"/>
      <c r="AD86" s="2"/>
      <c r="AE86" s="291"/>
      <c r="AF86" s="2"/>
      <c r="AG86" s="2"/>
      <c r="AH86" s="2"/>
      <c r="AI86" s="29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2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91"/>
      <c r="AC87" s="2"/>
      <c r="AD87" s="2"/>
      <c r="AE87" s="291"/>
      <c r="AF87" s="2"/>
      <c r="AG87" s="2"/>
      <c r="AH87" s="2"/>
      <c r="AI87" s="29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2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91"/>
      <c r="AC88" s="2"/>
      <c r="AD88" s="2"/>
      <c r="AE88" s="291"/>
      <c r="AF88" s="2"/>
      <c r="AG88" s="2"/>
      <c r="AH88" s="2"/>
      <c r="AI88" s="29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2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91"/>
      <c r="AC89" s="2"/>
      <c r="AD89" s="2"/>
      <c r="AE89" s="291"/>
      <c r="AF89" s="2"/>
      <c r="AG89" s="2"/>
      <c r="AH89" s="2"/>
      <c r="AI89" s="29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2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91"/>
      <c r="AC90" s="2"/>
      <c r="AD90" s="2"/>
      <c r="AE90" s="291"/>
      <c r="AF90" s="2"/>
      <c r="AG90" s="2"/>
      <c r="AH90" s="2"/>
      <c r="AI90" s="29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2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91"/>
      <c r="AC91" s="2"/>
      <c r="AD91" s="2"/>
      <c r="AE91" s="291"/>
      <c r="AF91" s="2"/>
      <c r="AG91" s="2"/>
      <c r="AH91" s="2"/>
      <c r="AI91" s="29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2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91"/>
      <c r="AC92" s="2"/>
      <c r="AD92" s="2"/>
      <c r="AE92" s="291"/>
      <c r="AF92" s="2"/>
      <c r="AG92" s="2"/>
      <c r="AH92" s="2"/>
      <c r="AI92" s="29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2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91"/>
      <c r="AC93" s="2"/>
      <c r="AD93" s="2"/>
      <c r="AE93" s="291"/>
      <c r="AF93" s="2"/>
      <c r="AG93" s="2"/>
      <c r="AH93" s="2"/>
      <c r="AI93" s="29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2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91"/>
      <c r="AC94" s="2"/>
      <c r="AD94" s="2"/>
      <c r="AE94" s="291"/>
      <c r="AF94" s="2"/>
      <c r="AG94" s="2"/>
      <c r="AH94" s="2"/>
      <c r="AI94" s="29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2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91"/>
      <c r="AC95" s="2"/>
      <c r="AD95" s="2"/>
      <c r="AE95" s="291"/>
      <c r="AF95" s="2"/>
      <c r="AG95" s="2"/>
      <c r="AH95" s="2"/>
      <c r="AI95" s="29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2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91"/>
      <c r="AC96" s="2"/>
      <c r="AD96" s="2"/>
      <c r="AE96" s="291"/>
      <c r="AF96" s="2"/>
      <c r="AG96" s="2"/>
      <c r="AH96" s="2"/>
      <c r="AI96" s="29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2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91"/>
      <c r="AC97" s="2"/>
      <c r="AD97" s="2"/>
      <c r="AE97" s="291"/>
      <c r="AF97" s="2"/>
      <c r="AG97" s="2"/>
      <c r="AH97" s="2"/>
      <c r="AI97" s="29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2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91"/>
      <c r="AC98" s="2"/>
      <c r="AD98" s="2"/>
      <c r="AE98" s="291"/>
      <c r="AF98" s="2"/>
      <c r="AG98" s="2"/>
      <c r="AH98" s="2"/>
      <c r="AI98" s="29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2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91"/>
      <c r="AC99" s="2"/>
      <c r="AD99" s="2"/>
      <c r="AE99" s="291"/>
      <c r="AF99" s="2"/>
      <c r="AG99" s="2"/>
      <c r="AH99" s="2"/>
      <c r="AI99" s="29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2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91"/>
      <c r="AC100" s="2"/>
      <c r="AD100" s="2"/>
      <c r="AE100" s="291"/>
      <c r="AF100" s="2"/>
      <c r="AG100" s="2"/>
      <c r="AH100" s="2"/>
      <c r="AI100" s="29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2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91"/>
      <c r="AC101" s="2"/>
      <c r="AD101" s="2"/>
      <c r="AE101" s="291"/>
      <c r="AF101" s="2"/>
      <c r="AG101" s="2"/>
      <c r="AH101" s="2"/>
      <c r="AI101" s="29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2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91"/>
      <c r="AC102" s="2"/>
      <c r="AD102" s="2"/>
      <c r="AE102" s="291"/>
      <c r="AF102" s="2"/>
      <c r="AG102" s="2"/>
      <c r="AH102" s="2"/>
      <c r="AI102" s="29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2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91"/>
      <c r="AC103" s="2"/>
      <c r="AD103" s="2"/>
      <c r="AE103" s="291"/>
      <c r="AF103" s="2"/>
      <c r="AG103" s="2"/>
      <c r="AH103" s="2"/>
      <c r="AI103" s="29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2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91"/>
      <c r="AC104" s="2"/>
      <c r="AD104" s="2"/>
      <c r="AE104" s="291"/>
      <c r="AF104" s="2"/>
      <c r="AG104" s="2"/>
      <c r="AH104" s="2"/>
      <c r="AI104" s="29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2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91"/>
      <c r="AC105" s="2"/>
      <c r="AD105" s="2"/>
      <c r="AE105" s="291"/>
      <c r="AF105" s="2"/>
      <c r="AG105" s="2"/>
      <c r="AH105" s="2"/>
      <c r="AI105" s="29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2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91"/>
      <c r="AC106" s="2"/>
      <c r="AD106" s="2"/>
      <c r="AE106" s="291"/>
      <c r="AF106" s="2"/>
      <c r="AG106" s="2"/>
      <c r="AH106" s="2"/>
      <c r="AI106" s="29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2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91"/>
      <c r="AC107" s="2"/>
      <c r="AD107" s="2"/>
      <c r="AE107" s="291"/>
      <c r="AF107" s="2"/>
      <c r="AG107" s="2"/>
      <c r="AH107" s="2"/>
      <c r="AI107" s="29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2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91"/>
      <c r="AC108" s="2"/>
      <c r="AD108" s="2"/>
      <c r="AE108" s="291"/>
      <c r="AF108" s="2"/>
      <c r="AG108" s="2"/>
      <c r="AH108" s="2"/>
      <c r="AI108" s="29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2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91"/>
      <c r="AC109" s="2"/>
      <c r="AD109" s="2"/>
      <c r="AE109" s="291"/>
      <c r="AF109" s="2"/>
      <c r="AG109" s="2"/>
      <c r="AH109" s="2"/>
      <c r="AI109" s="29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2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91"/>
      <c r="AC110" s="2"/>
      <c r="AD110" s="2"/>
      <c r="AE110" s="291"/>
      <c r="AF110" s="2"/>
      <c r="AG110" s="2"/>
      <c r="AH110" s="2"/>
      <c r="AI110" s="29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2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91"/>
      <c r="AC111" s="2"/>
      <c r="AD111" s="2"/>
      <c r="AE111" s="291"/>
      <c r="AF111" s="2"/>
      <c r="AG111" s="2"/>
      <c r="AH111" s="2"/>
      <c r="AI111" s="29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2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91"/>
      <c r="AC112" s="2"/>
      <c r="AD112" s="2"/>
      <c r="AE112" s="291"/>
      <c r="AF112" s="2"/>
      <c r="AG112" s="2"/>
      <c r="AH112" s="2"/>
      <c r="AI112" s="29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2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91"/>
      <c r="AC113" s="2"/>
      <c r="AD113" s="2"/>
      <c r="AE113" s="291"/>
      <c r="AF113" s="2"/>
      <c r="AG113" s="2"/>
      <c r="AH113" s="2"/>
      <c r="AI113" s="29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2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91"/>
      <c r="AC114" s="2"/>
      <c r="AD114" s="2"/>
      <c r="AE114" s="291"/>
      <c r="AF114" s="2"/>
      <c r="AG114" s="2"/>
      <c r="AH114" s="2"/>
      <c r="AI114" s="29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2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91"/>
      <c r="AC115" s="2"/>
      <c r="AD115" s="2"/>
      <c r="AE115" s="291"/>
      <c r="AF115" s="2"/>
      <c r="AG115" s="2"/>
      <c r="AH115" s="2"/>
      <c r="AI115" s="29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2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91"/>
      <c r="AC116" s="2"/>
      <c r="AD116" s="2"/>
      <c r="AE116" s="291"/>
      <c r="AF116" s="2"/>
      <c r="AG116" s="2"/>
      <c r="AH116" s="2"/>
      <c r="AI116" s="29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2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91"/>
      <c r="AC117" s="2"/>
      <c r="AD117" s="2"/>
      <c r="AE117" s="291"/>
      <c r="AF117" s="2"/>
      <c r="AG117" s="2"/>
      <c r="AH117" s="2"/>
      <c r="AI117" s="29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2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91"/>
      <c r="AC118" s="2"/>
      <c r="AD118" s="2"/>
      <c r="AE118" s="291"/>
      <c r="AF118" s="2"/>
      <c r="AG118" s="2"/>
      <c r="AH118" s="2"/>
      <c r="AI118" s="29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2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91"/>
      <c r="AC119" s="2"/>
      <c r="AD119" s="2"/>
      <c r="AE119" s="291"/>
      <c r="AF119" s="2"/>
      <c r="AG119" s="2"/>
      <c r="AH119" s="2"/>
      <c r="AI119" s="29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2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91"/>
      <c r="AC120" s="2"/>
      <c r="AD120" s="2"/>
      <c r="AE120" s="291"/>
      <c r="AF120" s="2"/>
      <c r="AG120" s="2"/>
      <c r="AH120" s="2"/>
      <c r="AI120" s="29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2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91"/>
      <c r="AC121" s="2"/>
      <c r="AD121" s="2"/>
      <c r="AE121" s="291"/>
      <c r="AF121" s="2"/>
      <c r="AG121" s="2"/>
      <c r="AH121" s="2"/>
      <c r="AI121" s="29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2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91"/>
      <c r="AC122" s="2"/>
      <c r="AD122" s="2"/>
      <c r="AE122" s="291"/>
      <c r="AF122" s="2"/>
      <c r="AG122" s="2"/>
      <c r="AH122" s="2"/>
      <c r="AI122" s="29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2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91"/>
      <c r="AC123" s="2"/>
      <c r="AD123" s="2"/>
      <c r="AE123" s="291"/>
      <c r="AF123" s="2"/>
      <c r="AG123" s="2"/>
      <c r="AH123" s="2"/>
      <c r="AI123" s="29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2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91"/>
      <c r="AC124" s="2"/>
      <c r="AD124" s="2"/>
      <c r="AE124" s="291"/>
      <c r="AF124" s="2"/>
      <c r="AG124" s="2"/>
      <c r="AH124" s="2"/>
      <c r="AI124" s="29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2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91"/>
      <c r="AC125" s="2"/>
      <c r="AD125" s="2"/>
      <c r="AE125" s="291"/>
      <c r="AF125" s="2"/>
      <c r="AG125" s="2"/>
      <c r="AH125" s="2"/>
      <c r="AI125" s="29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2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91"/>
      <c r="AC126" s="2"/>
      <c r="AD126" s="2"/>
      <c r="AE126" s="291"/>
      <c r="AF126" s="2"/>
      <c r="AG126" s="2"/>
      <c r="AH126" s="2"/>
      <c r="AI126" s="29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2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91"/>
      <c r="AC127" s="2"/>
      <c r="AD127" s="2"/>
      <c r="AE127" s="291"/>
      <c r="AF127" s="2"/>
      <c r="AG127" s="2"/>
      <c r="AH127" s="2"/>
      <c r="AI127" s="29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2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91"/>
      <c r="AC128" s="2"/>
      <c r="AD128" s="2"/>
      <c r="AE128" s="291"/>
      <c r="AF128" s="2"/>
      <c r="AG128" s="2"/>
      <c r="AH128" s="2"/>
      <c r="AI128" s="29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2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91"/>
      <c r="AC129" s="2"/>
      <c r="AD129" s="2"/>
      <c r="AE129" s="291"/>
      <c r="AF129" s="2"/>
      <c r="AG129" s="2"/>
      <c r="AH129" s="2"/>
      <c r="AI129" s="29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2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91"/>
      <c r="AC130" s="2"/>
      <c r="AD130" s="2"/>
      <c r="AE130" s="291"/>
      <c r="AF130" s="2"/>
      <c r="AG130" s="2"/>
      <c r="AH130" s="2"/>
      <c r="AI130" s="29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2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91"/>
      <c r="AC131" s="2"/>
      <c r="AD131" s="2"/>
      <c r="AE131" s="291"/>
      <c r="AF131" s="2"/>
      <c r="AG131" s="2"/>
      <c r="AH131" s="2"/>
      <c r="AI131" s="29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2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91"/>
      <c r="AC132" s="2"/>
      <c r="AD132" s="2"/>
      <c r="AE132" s="291"/>
      <c r="AF132" s="2"/>
      <c r="AG132" s="2"/>
      <c r="AH132" s="2"/>
      <c r="AI132" s="29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2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91"/>
      <c r="AC133" s="2"/>
      <c r="AD133" s="2"/>
      <c r="AE133" s="291"/>
      <c r="AF133" s="2"/>
      <c r="AG133" s="2"/>
      <c r="AH133" s="2"/>
      <c r="AI133" s="29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2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91"/>
      <c r="AC134" s="2"/>
      <c r="AD134" s="2"/>
      <c r="AE134" s="291"/>
      <c r="AF134" s="2"/>
      <c r="AG134" s="2"/>
      <c r="AH134" s="2"/>
      <c r="AI134" s="29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2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91"/>
      <c r="AC135" s="2"/>
      <c r="AD135" s="2"/>
      <c r="AE135" s="291"/>
      <c r="AF135" s="2"/>
      <c r="AG135" s="2"/>
      <c r="AH135" s="2"/>
      <c r="AI135" s="29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2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91"/>
      <c r="AC136" s="2"/>
      <c r="AD136" s="2"/>
      <c r="AE136" s="291"/>
      <c r="AF136" s="2"/>
      <c r="AG136" s="2"/>
      <c r="AH136" s="2"/>
      <c r="AI136" s="29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2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91"/>
      <c r="AC137" s="2"/>
      <c r="AD137" s="2"/>
      <c r="AE137" s="291"/>
      <c r="AF137" s="2"/>
      <c r="AG137" s="2"/>
      <c r="AH137" s="2"/>
      <c r="AI137" s="29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2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91"/>
      <c r="AC138" s="2"/>
      <c r="AD138" s="2"/>
      <c r="AE138" s="291"/>
      <c r="AF138" s="2"/>
      <c r="AG138" s="2"/>
      <c r="AH138" s="2"/>
      <c r="AI138" s="29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2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91"/>
      <c r="AC139" s="2"/>
      <c r="AD139" s="2"/>
      <c r="AE139" s="291"/>
      <c r="AF139" s="2"/>
      <c r="AG139" s="2"/>
      <c r="AH139" s="2"/>
      <c r="AI139" s="29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2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91"/>
      <c r="AC140" s="2"/>
      <c r="AD140" s="2"/>
      <c r="AE140" s="291"/>
      <c r="AF140" s="2"/>
      <c r="AG140" s="2"/>
      <c r="AH140" s="2"/>
      <c r="AI140" s="29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2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91"/>
      <c r="AC141" s="2"/>
      <c r="AD141" s="2"/>
      <c r="AE141" s="291"/>
      <c r="AF141" s="2"/>
      <c r="AG141" s="2"/>
      <c r="AH141" s="2"/>
      <c r="AI141" s="29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2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91"/>
      <c r="AC142" s="2"/>
      <c r="AD142" s="2"/>
      <c r="AE142" s="291"/>
      <c r="AF142" s="2"/>
      <c r="AG142" s="2"/>
      <c r="AH142" s="2"/>
      <c r="AI142" s="29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2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91"/>
      <c r="AC143" s="2"/>
      <c r="AD143" s="2"/>
      <c r="AE143" s="291"/>
      <c r="AF143" s="2"/>
      <c r="AG143" s="2"/>
      <c r="AH143" s="2"/>
      <c r="AI143" s="29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2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91"/>
      <c r="AC144" s="2"/>
      <c r="AD144" s="2"/>
      <c r="AE144" s="291"/>
      <c r="AF144" s="2"/>
      <c r="AG144" s="2"/>
      <c r="AH144" s="2"/>
      <c r="AI144" s="29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2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91"/>
      <c r="AC145" s="2"/>
      <c r="AD145" s="2"/>
      <c r="AE145" s="291"/>
      <c r="AF145" s="2"/>
      <c r="AG145" s="2"/>
      <c r="AH145" s="2"/>
      <c r="AI145" s="29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2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91"/>
      <c r="AC146" s="2"/>
      <c r="AD146" s="2"/>
      <c r="AE146" s="291"/>
      <c r="AF146" s="2"/>
      <c r="AG146" s="2"/>
      <c r="AH146" s="2"/>
      <c r="AI146" s="29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2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91"/>
      <c r="AC147" s="2"/>
      <c r="AD147" s="2"/>
      <c r="AE147" s="291"/>
      <c r="AF147" s="2"/>
      <c r="AG147" s="2"/>
      <c r="AH147" s="2"/>
      <c r="AI147" s="29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2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91"/>
      <c r="AC148" s="2"/>
      <c r="AD148" s="2"/>
      <c r="AE148" s="291"/>
      <c r="AF148" s="2"/>
      <c r="AG148" s="2"/>
      <c r="AH148" s="2"/>
      <c r="AI148" s="29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2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91"/>
      <c r="AC149" s="2"/>
      <c r="AD149" s="2"/>
      <c r="AE149" s="291"/>
      <c r="AF149" s="2"/>
      <c r="AG149" s="2"/>
      <c r="AH149" s="2"/>
      <c r="AI149" s="29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2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91"/>
      <c r="AC150" s="2"/>
      <c r="AD150" s="2"/>
      <c r="AE150" s="291"/>
      <c r="AF150" s="2"/>
      <c r="AG150" s="2"/>
      <c r="AH150" s="2"/>
      <c r="AI150" s="29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2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91"/>
      <c r="AC151" s="2"/>
      <c r="AD151" s="2"/>
      <c r="AE151" s="291"/>
      <c r="AF151" s="2"/>
      <c r="AG151" s="2"/>
      <c r="AH151" s="2"/>
      <c r="AI151" s="29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2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91"/>
      <c r="AC152" s="2"/>
      <c r="AD152" s="2"/>
      <c r="AE152" s="291"/>
      <c r="AF152" s="2"/>
      <c r="AG152" s="2"/>
      <c r="AH152" s="2"/>
      <c r="AI152" s="29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2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91"/>
      <c r="AC153" s="2"/>
      <c r="AD153" s="2"/>
      <c r="AE153" s="291"/>
      <c r="AF153" s="2"/>
      <c r="AG153" s="2"/>
      <c r="AH153" s="2"/>
      <c r="AI153" s="29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2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91"/>
      <c r="AC154" s="2"/>
      <c r="AD154" s="2"/>
      <c r="AE154" s="291"/>
      <c r="AF154" s="2"/>
      <c r="AG154" s="2"/>
      <c r="AH154" s="2"/>
      <c r="AI154" s="29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2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91"/>
      <c r="AC155" s="2"/>
      <c r="AD155" s="2"/>
      <c r="AE155" s="291"/>
      <c r="AF155" s="2"/>
      <c r="AG155" s="2"/>
      <c r="AH155" s="2"/>
      <c r="AI155" s="29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2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91"/>
      <c r="AC156" s="2"/>
      <c r="AD156" s="2"/>
      <c r="AE156" s="291"/>
      <c r="AF156" s="2"/>
      <c r="AG156" s="2"/>
      <c r="AH156" s="2"/>
      <c r="AI156" s="29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2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91"/>
      <c r="AC157" s="2"/>
      <c r="AD157" s="2"/>
      <c r="AE157" s="291"/>
      <c r="AF157" s="2"/>
      <c r="AG157" s="2"/>
      <c r="AH157" s="2"/>
      <c r="AI157" s="29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2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91"/>
      <c r="AC158" s="2"/>
      <c r="AD158" s="2"/>
      <c r="AE158" s="291"/>
      <c r="AF158" s="2"/>
      <c r="AG158" s="2"/>
      <c r="AH158" s="2"/>
      <c r="AI158" s="29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2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91"/>
      <c r="AC159" s="2"/>
      <c r="AD159" s="2"/>
      <c r="AE159" s="291"/>
      <c r="AF159" s="2"/>
      <c r="AG159" s="2"/>
      <c r="AH159" s="2"/>
      <c r="AI159" s="29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2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91"/>
      <c r="AC160" s="2"/>
      <c r="AD160" s="2"/>
      <c r="AE160" s="291"/>
      <c r="AF160" s="2"/>
      <c r="AG160" s="2"/>
      <c r="AH160" s="2"/>
      <c r="AI160" s="29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2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91"/>
      <c r="AC161" s="2"/>
      <c r="AD161" s="2"/>
      <c r="AE161" s="291"/>
      <c r="AF161" s="2"/>
      <c r="AG161" s="2"/>
      <c r="AH161" s="2"/>
      <c r="AI161" s="29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2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91"/>
      <c r="AC162" s="2"/>
      <c r="AD162" s="2"/>
      <c r="AE162" s="291"/>
      <c r="AF162" s="2"/>
      <c r="AG162" s="2"/>
      <c r="AH162" s="2"/>
      <c r="AI162" s="29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2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91"/>
      <c r="AC163" s="2"/>
      <c r="AD163" s="2"/>
      <c r="AE163" s="291"/>
      <c r="AF163" s="2"/>
      <c r="AG163" s="2"/>
      <c r="AH163" s="2"/>
      <c r="AI163" s="29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2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91"/>
      <c r="AC164" s="2"/>
      <c r="AD164" s="2"/>
      <c r="AE164" s="291"/>
      <c r="AF164" s="2"/>
      <c r="AG164" s="2"/>
      <c r="AH164" s="2"/>
      <c r="AI164" s="29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2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91"/>
      <c r="AC165" s="2"/>
      <c r="AD165" s="2"/>
      <c r="AE165" s="291"/>
      <c r="AF165" s="2"/>
      <c r="AG165" s="2"/>
      <c r="AH165" s="2"/>
      <c r="AI165" s="29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2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91"/>
      <c r="AC166" s="2"/>
      <c r="AD166" s="2"/>
      <c r="AE166" s="291"/>
      <c r="AF166" s="2"/>
      <c r="AG166" s="2"/>
      <c r="AH166" s="2"/>
      <c r="AI166" s="29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2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91"/>
      <c r="AC167" s="2"/>
      <c r="AD167" s="2"/>
      <c r="AE167" s="291"/>
      <c r="AF167" s="2"/>
      <c r="AG167" s="2"/>
      <c r="AH167" s="2"/>
      <c r="AI167" s="29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2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91"/>
      <c r="AC168" s="2"/>
      <c r="AD168" s="2"/>
      <c r="AE168" s="291"/>
      <c r="AF168" s="2"/>
      <c r="AG168" s="2"/>
      <c r="AH168" s="2"/>
      <c r="AI168" s="29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2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91"/>
      <c r="AC169" s="2"/>
      <c r="AD169" s="2"/>
      <c r="AE169" s="291"/>
      <c r="AF169" s="2"/>
      <c r="AG169" s="2"/>
      <c r="AH169" s="2"/>
      <c r="AI169" s="29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2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91"/>
      <c r="AC170" s="2"/>
      <c r="AD170" s="2"/>
      <c r="AE170" s="291"/>
      <c r="AF170" s="2"/>
      <c r="AG170" s="2"/>
      <c r="AH170" s="2"/>
      <c r="AI170" s="29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2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91"/>
      <c r="AC171" s="2"/>
      <c r="AD171" s="2"/>
      <c r="AE171" s="291"/>
      <c r="AF171" s="2"/>
      <c r="AG171" s="2"/>
      <c r="AH171" s="2"/>
      <c r="AI171" s="29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2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91"/>
      <c r="AC172" s="2"/>
      <c r="AD172" s="2"/>
      <c r="AE172" s="291"/>
      <c r="AF172" s="2"/>
      <c r="AG172" s="2"/>
      <c r="AH172" s="2"/>
      <c r="AI172" s="29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2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91"/>
      <c r="AC173" s="2"/>
      <c r="AD173" s="2"/>
      <c r="AE173" s="291"/>
      <c r="AF173" s="2"/>
      <c r="AG173" s="2"/>
      <c r="AH173" s="2"/>
      <c r="AI173" s="29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2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91"/>
      <c r="AC174" s="2"/>
      <c r="AD174" s="2"/>
      <c r="AE174" s="291"/>
      <c r="AF174" s="2"/>
      <c r="AG174" s="2"/>
      <c r="AH174" s="2"/>
      <c r="AI174" s="29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2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91"/>
      <c r="AC175" s="2"/>
      <c r="AD175" s="2"/>
      <c r="AE175" s="291"/>
      <c r="AF175" s="2"/>
      <c r="AG175" s="2"/>
      <c r="AH175" s="2"/>
      <c r="AI175" s="29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2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91"/>
      <c r="AC176" s="2"/>
      <c r="AD176" s="2"/>
      <c r="AE176" s="291"/>
      <c r="AF176" s="2"/>
      <c r="AG176" s="2"/>
      <c r="AH176" s="2"/>
      <c r="AI176" s="29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2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91"/>
      <c r="AC177" s="2"/>
      <c r="AD177" s="2"/>
      <c r="AE177" s="291"/>
      <c r="AF177" s="2"/>
      <c r="AG177" s="2"/>
      <c r="AH177" s="2"/>
      <c r="AI177" s="29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2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91"/>
      <c r="AC178" s="2"/>
      <c r="AD178" s="2"/>
      <c r="AE178" s="291"/>
      <c r="AF178" s="2"/>
      <c r="AG178" s="2"/>
      <c r="AH178" s="2"/>
      <c r="AI178" s="29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2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91"/>
      <c r="AC179" s="2"/>
      <c r="AD179" s="2"/>
      <c r="AE179" s="291"/>
      <c r="AF179" s="2"/>
      <c r="AG179" s="2"/>
      <c r="AH179" s="2"/>
      <c r="AI179" s="29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2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91"/>
      <c r="AC180" s="2"/>
      <c r="AD180" s="2"/>
      <c r="AE180" s="291"/>
      <c r="AF180" s="2"/>
      <c r="AG180" s="2"/>
      <c r="AH180" s="2"/>
      <c r="AI180" s="29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2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91"/>
      <c r="AC181" s="2"/>
      <c r="AD181" s="2"/>
      <c r="AE181" s="291"/>
      <c r="AF181" s="2"/>
      <c r="AG181" s="2"/>
      <c r="AH181" s="2"/>
      <c r="AI181" s="29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2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91"/>
      <c r="AC182" s="2"/>
      <c r="AD182" s="2"/>
      <c r="AE182" s="291"/>
      <c r="AF182" s="2"/>
      <c r="AG182" s="2"/>
      <c r="AH182" s="2"/>
      <c r="AI182" s="29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2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91"/>
      <c r="AC183" s="2"/>
      <c r="AD183" s="2"/>
      <c r="AE183" s="291"/>
      <c r="AF183" s="2"/>
      <c r="AG183" s="2"/>
      <c r="AH183" s="2"/>
      <c r="AI183" s="29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2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91"/>
      <c r="AC184" s="2"/>
      <c r="AD184" s="2"/>
      <c r="AE184" s="291"/>
      <c r="AF184" s="2"/>
      <c r="AG184" s="2"/>
      <c r="AH184" s="2"/>
      <c r="AI184" s="29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2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91"/>
      <c r="AC185" s="2"/>
      <c r="AD185" s="2"/>
      <c r="AE185" s="291"/>
      <c r="AF185" s="2"/>
      <c r="AG185" s="2"/>
      <c r="AH185" s="2"/>
      <c r="AI185" s="29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2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91"/>
      <c r="AC186" s="2"/>
      <c r="AD186" s="2"/>
      <c r="AE186" s="291"/>
      <c r="AF186" s="2"/>
      <c r="AG186" s="2"/>
      <c r="AH186" s="2"/>
      <c r="AI186" s="29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2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91"/>
      <c r="AC187" s="2"/>
      <c r="AD187" s="2"/>
      <c r="AE187" s="291"/>
      <c r="AF187" s="2"/>
      <c r="AG187" s="2"/>
      <c r="AH187" s="2"/>
      <c r="AI187" s="29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2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91"/>
      <c r="AC188" s="2"/>
      <c r="AD188" s="2"/>
      <c r="AE188" s="291"/>
      <c r="AF188" s="2"/>
      <c r="AG188" s="2"/>
      <c r="AH188" s="2"/>
      <c r="AI188" s="29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2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91"/>
      <c r="AC189" s="2"/>
      <c r="AD189" s="2"/>
      <c r="AE189" s="291"/>
      <c r="AF189" s="2"/>
      <c r="AG189" s="2"/>
      <c r="AH189" s="2"/>
      <c r="AI189" s="29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2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91"/>
      <c r="AC190" s="2"/>
      <c r="AD190" s="2"/>
      <c r="AE190" s="291"/>
      <c r="AF190" s="2"/>
      <c r="AG190" s="2"/>
      <c r="AH190" s="2"/>
      <c r="AI190" s="29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2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91"/>
      <c r="AC191" s="2"/>
      <c r="AD191" s="2"/>
      <c r="AE191" s="291"/>
      <c r="AF191" s="2"/>
      <c r="AG191" s="2"/>
      <c r="AH191" s="2"/>
      <c r="AI191" s="29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2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91"/>
      <c r="AC192" s="2"/>
      <c r="AD192" s="2"/>
      <c r="AE192" s="291"/>
      <c r="AF192" s="2"/>
      <c r="AG192" s="2"/>
      <c r="AH192" s="2"/>
      <c r="AI192" s="29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2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91"/>
      <c r="AC193" s="2"/>
      <c r="AD193" s="2"/>
      <c r="AE193" s="291"/>
      <c r="AF193" s="2"/>
      <c r="AG193" s="2"/>
      <c r="AH193" s="2"/>
      <c r="AI193" s="29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2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91"/>
      <c r="AC194" s="2"/>
      <c r="AD194" s="2"/>
      <c r="AE194" s="291"/>
      <c r="AF194" s="2"/>
      <c r="AG194" s="2"/>
      <c r="AH194" s="2"/>
      <c r="AI194" s="29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2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91"/>
      <c r="AC195" s="2"/>
      <c r="AD195" s="2"/>
      <c r="AE195" s="291"/>
      <c r="AF195" s="2"/>
      <c r="AG195" s="2"/>
      <c r="AH195" s="2"/>
      <c r="AI195" s="29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2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91"/>
      <c r="AC196" s="2"/>
      <c r="AD196" s="2"/>
      <c r="AE196" s="291"/>
      <c r="AF196" s="2"/>
      <c r="AG196" s="2"/>
      <c r="AH196" s="2"/>
      <c r="AI196" s="29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2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91"/>
      <c r="AC197" s="2"/>
      <c r="AD197" s="2"/>
      <c r="AE197" s="291"/>
      <c r="AF197" s="2"/>
      <c r="AG197" s="2"/>
      <c r="AH197" s="2"/>
      <c r="AI197" s="29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2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91"/>
      <c r="AC198" s="2"/>
      <c r="AD198" s="2"/>
      <c r="AE198" s="291"/>
      <c r="AF198" s="2"/>
      <c r="AG198" s="2"/>
      <c r="AH198" s="2"/>
      <c r="AI198" s="29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2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91"/>
      <c r="AC199" s="2"/>
      <c r="AD199" s="2"/>
      <c r="AE199" s="291"/>
      <c r="AF199" s="2"/>
      <c r="AG199" s="2"/>
      <c r="AH199" s="2"/>
      <c r="AI199" s="29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2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91"/>
      <c r="AC200" s="2"/>
      <c r="AD200" s="2"/>
      <c r="AE200" s="291"/>
      <c r="AF200" s="2"/>
      <c r="AG200" s="2"/>
      <c r="AH200" s="2"/>
      <c r="AI200" s="29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2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91"/>
      <c r="AC201" s="2"/>
      <c r="AD201" s="2"/>
      <c r="AE201" s="291"/>
      <c r="AF201" s="2"/>
      <c r="AG201" s="2"/>
      <c r="AH201" s="2"/>
      <c r="AI201" s="29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2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91"/>
      <c r="AC202" s="2"/>
      <c r="AD202" s="2"/>
      <c r="AE202" s="291"/>
      <c r="AF202" s="2"/>
      <c r="AG202" s="2"/>
      <c r="AH202" s="2"/>
      <c r="AI202" s="29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2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91"/>
      <c r="AC203" s="2"/>
      <c r="AD203" s="2"/>
      <c r="AE203" s="291"/>
      <c r="AF203" s="2"/>
      <c r="AG203" s="2"/>
      <c r="AH203" s="2"/>
      <c r="AI203" s="29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2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91"/>
      <c r="AC204" s="2"/>
      <c r="AD204" s="2"/>
      <c r="AE204" s="291"/>
      <c r="AF204" s="2"/>
      <c r="AG204" s="2"/>
      <c r="AH204" s="2"/>
      <c r="AI204" s="29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2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91"/>
      <c r="AC205" s="2"/>
      <c r="AD205" s="2"/>
      <c r="AE205" s="291"/>
      <c r="AF205" s="2"/>
      <c r="AG205" s="2"/>
      <c r="AH205" s="2"/>
      <c r="AI205" s="29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2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91"/>
      <c r="AC206" s="2"/>
      <c r="AD206" s="2"/>
      <c r="AE206" s="291"/>
      <c r="AF206" s="2"/>
      <c r="AG206" s="2"/>
      <c r="AH206" s="2"/>
      <c r="AI206" s="29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2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91"/>
      <c r="AC207" s="2"/>
      <c r="AD207" s="2"/>
      <c r="AE207" s="291"/>
      <c r="AF207" s="2"/>
      <c r="AG207" s="2"/>
      <c r="AH207" s="2"/>
      <c r="AI207" s="29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2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91"/>
      <c r="AC208" s="2"/>
      <c r="AD208" s="2"/>
      <c r="AE208" s="291"/>
      <c r="AF208" s="2"/>
      <c r="AG208" s="2"/>
      <c r="AH208" s="2"/>
      <c r="AI208" s="29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2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91"/>
      <c r="AC209" s="2"/>
      <c r="AD209" s="2"/>
      <c r="AE209" s="291"/>
      <c r="AF209" s="2"/>
      <c r="AG209" s="2"/>
      <c r="AH209" s="2"/>
      <c r="AI209" s="29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2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91"/>
      <c r="AC210" s="2"/>
      <c r="AD210" s="2"/>
      <c r="AE210" s="291"/>
      <c r="AF210" s="2"/>
      <c r="AG210" s="2"/>
      <c r="AH210" s="2"/>
      <c r="AI210" s="29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2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91"/>
      <c r="AC211" s="2"/>
      <c r="AD211" s="2"/>
      <c r="AE211" s="291"/>
      <c r="AF211" s="2"/>
      <c r="AG211" s="2"/>
      <c r="AH211" s="2"/>
      <c r="AI211" s="29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2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91"/>
      <c r="AC212" s="2"/>
      <c r="AD212" s="2"/>
      <c r="AE212" s="291"/>
      <c r="AF212" s="2"/>
      <c r="AG212" s="2"/>
      <c r="AH212" s="2"/>
      <c r="AI212" s="29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2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91"/>
      <c r="AC213" s="2"/>
      <c r="AD213" s="2"/>
      <c r="AE213" s="291"/>
      <c r="AF213" s="2"/>
      <c r="AG213" s="2"/>
      <c r="AH213" s="2"/>
      <c r="AI213" s="29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2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91"/>
      <c r="AC214" s="2"/>
      <c r="AD214" s="2"/>
      <c r="AE214" s="291"/>
      <c r="AF214" s="2"/>
      <c r="AG214" s="2"/>
      <c r="AH214" s="2"/>
      <c r="AI214" s="29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2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91"/>
      <c r="AC215" s="2"/>
      <c r="AD215" s="2"/>
      <c r="AE215" s="291"/>
      <c r="AF215" s="2"/>
      <c r="AG215" s="2"/>
      <c r="AH215" s="2"/>
      <c r="AI215" s="29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2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91"/>
      <c r="AC216" s="2"/>
      <c r="AD216" s="2"/>
      <c r="AE216" s="291"/>
      <c r="AF216" s="2"/>
      <c r="AG216" s="2"/>
      <c r="AH216" s="2"/>
      <c r="AI216" s="29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2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91"/>
      <c r="AC217" s="2"/>
      <c r="AD217" s="2"/>
      <c r="AE217" s="291"/>
      <c r="AF217" s="2"/>
      <c r="AG217" s="2"/>
      <c r="AH217" s="2"/>
      <c r="AI217" s="29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2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91"/>
      <c r="AC218" s="2"/>
      <c r="AD218" s="2"/>
      <c r="AE218" s="291"/>
      <c r="AF218" s="2"/>
      <c r="AG218" s="2"/>
      <c r="AH218" s="2"/>
      <c r="AI218" s="29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2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91"/>
      <c r="AC219" s="2"/>
      <c r="AD219" s="2"/>
      <c r="AE219" s="291"/>
      <c r="AF219" s="2"/>
      <c r="AG219" s="2"/>
      <c r="AH219" s="2"/>
      <c r="AI219" s="29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2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91"/>
      <c r="AC220" s="2"/>
      <c r="AD220" s="2"/>
      <c r="AE220" s="291"/>
      <c r="AF220" s="2"/>
      <c r="AG220" s="2"/>
      <c r="AH220" s="2"/>
      <c r="AI220" s="29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2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91"/>
      <c r="AC221" s="2"/>
      <c r="AD221" s="2"/>
      <c r="AE221" s="291"/>
      <c r="AF221" s="2"/>
      <c r="AG221" s="2"/>
      <c r="AH221" s="2"/>
      <c r="AI221" s="29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2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91"/>
      <c r="AC222" s="2"/>
      <c r="AD222" s="2"/>
      <c r="AE222" s="291"/>
      <c r="AF222" s="2"/>
      <c r="AG222" s="2"/>
      <c r="AH222" s="2"/>
      <c r="AI222" s="29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2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91"/>
      <c r="AC223" s="2"/>
      <c r="AD223" s="2"/>
      <c r="AE223" s="291"/>
      <c r="AF223" s="2"/>
      <c r="AG223" s="2"/>
      <c r="AH223" s="2"/>
      <c r="AI223" s="29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2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91"/>
      <c r="AC224" s="2"/>
      <c r="AD224" s="2"/>
      <c r="AE224" s="291"/>
      <c r="AF224" s="2"/>
      <c r="AG224" s="2"/>
      <c r="AH224" s="2"/>
      <c r="AI224" s="29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2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91"/>
      <c r="AC225" s="2"/>
      <c r="AD225" s="2"/>
      <c r="AE225" s="291"/>
      <c r="AF225" s="2"/>
      <c r="AG225" s="2"/>
      <c r="AH225" s="2"/>
      <c r="AI225" s="29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2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91"/>
      <c r="AC226" s="2"/>
      <c r="AD226" s="2"/>
      <c r="AE226" s="291"/>
      <c r="AF226" s="2"/>
      <c r="AG226" s="2"/>
      <c r="AH226" s="2"/>
      <c r="AI226" s="29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2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91"/>
      <c r="AC227" s="2"/>
      <c r="AD227" s="2"/>
      <c r="AE227" s="291"/>
      <c r="AF227" s="2"/>
      <c r="AG227" s="2"/>
      <c r="AH227" s="2"/>
      <c r="AI227" s="29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2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91"/>
      <c r="AC228" s="2"/>
      <c r="AD228" s="2"/>
      <c r="AE228" s="291"/>
      <c r="AF228" s="2"/>
      <c r="AG228" s="2"/>
      <c r="AH228" s="2"/>
      <c r="AI228" s="29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2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91"/>
      <c r="AC229" s="2"/>
      <c r="AD229" s="2"/>
      <c r="AE229" s="291"/>
      <c r="AF229" s="2"/>
      <c r="AG229" s="2"/>
      <c r="AH229" s="2"/>
      <c r="AI229" s="29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2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91"/>
      <c r="AC230" s="2"/>
      <c r="AD230" s="2"/>
      <c r="AE230" s="291"/>
      <c r="AF230" s="2"/>
      <c r="AG230" s="2"/>
      <c r="AH230" s="2"/>
      <c r="AI230" s="29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2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91"/>
      <c r="AC231" s="2"/>
      <c r="AD231" s="2"/>
      <c r="AE231" s="291"/>
      <c r="AF231" s="2"/>
      <c r="AG231" s="2"/>
      <c r="AH231" s="2"/>
      <c r="AI231" s="29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2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91"/>
      <c r="AC232" s="2"/>
      <c r="AD232" s="2"/>
      <c r="AE232" s="291"/>
      <c r="AF232" s="2"/>
      <c r="AG232" s="2"/>
      <c r="AH232" s="2"/>
      <c r="AI232" s="29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2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91"/>
      <c r="AC233" s="2"/>
      <c r="AD233" s="2"/>
      <c r="AE233" s="291"/>
      <c r="AF233" s="2"/>
      <c r="AG233" s="2"/>
      <c r="AH233" s="2"/>
      <c r="AI233" s="29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2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91"/>
      <c r="AC234" s="2"/>
      <c r="AD234" s="2"/>
      <c r="AE234" s="291"/>
      <c r="AF234" s="2"/>
      <c r="AG234" s="2"/>
      <c r="AH234" s="2"/>
      <c r="AI234" s="29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2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91"/>
      <c r="AC235" s="2"/>
      <c r="AD235" s="2"/>
      <c r="AE235" s="291"/>
      <c r="AF235" s="2"/>
      <c r="AG235" s="2"/>
      <c r="AH235" s="2"/>
      <c r="AI235" s="29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2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91"/>
      <c r="AC236" s="2"/>
      <c r="AD236" s="2"/>
      <c r="AE236" s="291"/>
      <c r="AF236" s="2"/>
      <c r="AG236" s="2"/>
      <c r="AH236" s="2"/>
      <c r="AI236" s="29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2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91"/>
      <c r="AC237" s="2"/>
      <c r="AD237" s="2"/>
      <c r="AE237" s="291"/>
      <c r="AF237" s="2"/>
      <c r="AG237" s="2"/>
      <c r="AH237" s="2"/>
      <c r="AI237" s="29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2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91"/>
      <c r="AC238" s="2"/>
      <c r="AD238" s="2"/>
      <c r="AE238" s="291"/>
      <c r="AF238" s="2"/>
      <c r="AG238" s="2"/>
      <c r="AH238" s="2"/>
      <c r="AI238" s="29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2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91"/>
      <c r="AC239" s="2"/>
      <c r="AD239" s="2"/>
      <c r="AE239" s="291"/>
      <c r="AF239" s="2"/>
      <c r="AG239" s="2"/>
      <c r="AH239" s="2"/>
      <c r="AI239" s="29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2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91"/>
      <c r="AC240" s="2"/>
      <c r="AD240" s="2"/>
      <c r="AE240" s="291"/>
      <c r="AF240" s="2"/>
      <c r="AG240" s="2"/>
      <c r="AH240" s="2"/>
      <c r="AI240" s="29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2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91"/>
      <c r="AC241" s="2"/>
      <c r="AD241" s="2"/>
      <c r="AE241" s="291"/>
      <c r="AF241" s="2"/>
      <c r="AG241" s="2"/>
      <c r="AH241" s="2"/>
      <c r="AI241" s="29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2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91"/>
      <c r="AC242" s="2"/>
      <c r="AD242" s="2"/>
      <c r="AE242" s="291"/>
      <c r="AF242" s="2"/>
      <c r="AG242" s="2"/>
      <c r="AH242" s="2"/>
      <c r="AI242" s="29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2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91"/>
      <c r="AC243" s="2"/>
      <c r="AD243" s="2"/>
      <c r="AE243" s="291"/>
      <c r="AF243" s="2"/>
      <c r="AG243" s="2"/>
      <c r="AH243" s="2"/>
      <c r="AI243" s="29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2" customHeight="1" x14ac:dyDescent="0.35">
      <c r="A244" s="2"/>
      <c r="B244" s="2"/>
      <c r="C244" s="2"/>
      <c r="D244" s="2"/>
      <c r="E244" s="2"/>
      <c r="F244" s="2"/>
      <c r="G244" s="27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91"/>
      <c r="AC244" s="2"/>
      <c r="AD244" s="2"/>
      <c r="AE244" s="291"/>
      <c r="AF244" s="2"/>
      <c r="AG244" s="2"/>
      <c r="AH244" s="2"/>
      <c r="AI244" s="29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2" customHeight="1" x14ac:dyDescent="0.35">
      <c r="A245" s="2"/>
      <c r="B245" s="2"/>
      <c r="C245" s="2"/>
      <c r="D245" s="2"/>
      <c r="E245" s="2"/>
      <c r="F245" s="2"/>
      <c r="G245" s="27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91"/>
      <c r="AC245" s="2"/>
      <c r="AD245" s="2"/>
      <c r="AE245" s="291"/>
      <c r="AF245" s="2"/>
      <c r="AG245" s="2"/>
      <c r="AH245" s="2"/>
      <c r="AI245" s="29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2" customHeight="1" x14ac:dyDescent="0.35">
      <c r="A246" s="2"/>
      <c r="B246" s="2"/>
      <c r="C246" s="2"/>
      <c r="D246" s="2"/>
      <c r="E246" s="2"/>
      <c r="F246" s="2"/>
      <c r="G246" s="27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91"/>
      <c r="AC246" s="2"/>
      <c r="AD246" s="2"/>
      <c r="AE246" s="291"/>
      <c r="AF246" s="2"/>
      <c r="AG246" s="2"/>
      <c r="AH246" s="2"/>
      <c r="AI246" s="29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2" customHeight="1" x14ac:dyDescent="0.35">
      <c r="A247" s="2"/>
      <c r="B247" s="2"/>
      <c r="C247" s="2"/>
      <c r="D247" s="2"/>
      <c r="E247" s="2"/>
      <c r="F247" s="2"/>
      <c r="G247" s="27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91"/>
      <c r="AC247" s="2"/>
      <c r="AD247" s="2"/>
      <c r="AE247" s="291"/>
      <c r="AF247" s="2"/>
      <c r="AG247" s="2"/>
      <c r="AH247" s="2"/>
      <c r="AI247" s="29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2" customHeight="1" x14ac:dyDescent="0.35">
      <c r="A248" s="2"/>
      <c r="B248" s="2"/>
      <c r="C248" s="2"/>
      <c r="D248" s="2"/>
      <c r="E248" s="2"/>
      <c r="F248" s="2"/>
      <c r="G248" s="27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91"/>
      <c r="AC248" s="2"/>
      <c r="AD248" s="2"/>
      <c r="AE248" s="291"/>
      <c r="AF248" s="2"/>
      <c r="AG248" s="2"/>
      <c r="AH248" s="2"/>
      <c r="AI248" s="29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2" customHeight="1" x14ac:dyDescent="0.35">
      <c r="A249" s="2"/>
      <c r="B249" s="2"/>
      <c r="C249" s="2"/>
      <c r="D249" s="2"/>
      <c r="E249" s="2"/>
      <c r="F249" s="2"/>
      <c r="G249" s="27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91"/>
      <c r="AC249" s="2"/>
      <c r="AD249" s="2"/>
      <c r="AE249" s="291"/>
      <c r="AF249" s="2"/>
      <c r="AG249" s="2"/>
      <c r="AH249" s="2"/>
      <c r="AI249" s="29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2" customHeight="1" x14ac:dyDescent="0.35">
      <c r="A250" s="2"/>
      <c r="B250" s="2"/>
      <c r="C250" s="2"/>
      <c r="D250" s="2"/>
      <c r="E250" s="2"/>
      <c r="F250" s="2"/>
      <c r="G250" s="27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91"/>
      <c r="AC250" s="2"/>
      <c r="AD250" s="2"/>
      <c r="AE250" s="291"/>
      <c r="AF250" s="2"/>
      <c r="AG250" s="2"/>
      <c r="AH250" s="2"/>
      <c r="AI250" s="29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2" customHeight="1" x14ac:dyDescent="0.35">
      <c r="A251" s="2"/>
      <c r="B251" s="2"/>
      <c r="C251" s="2"/>
      <c r="D251" s="2"/>
      <c r="E251" s="2"/>
      <c r="F251" s="2"/>
      <c r="G251" s="27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91"/>
      <c r="AC251" s="2"/>
      <c r="AD251" s="2"/>
      <c r="AE251" s="291"/>
      <c r="AF251" s="2"/>
      <c r="AG251" s="2"/>
      <c r="AH251" s="2"/>
      <c r="AI251" s="29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2" customHeight="1" x14ac:dyDescent="0.35">
      <c r="A252" s="2"/>
      <c r="B252" s="2"/>
      <c r="C252" s="2"/>
      <c r="D252" s="2"/>
      <c r="E252" s="2"/>
      <c r="F252" s="2"/>
      <c r="G252" s="27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91"/>
      <c r="AC252" s="2"/>
      <c r="AD252" s="2"/>
      <c r="AE252" s="291"/>
      <c r="AF252" s="2"/>
      <c r="AG252" s="2"/>
      <c r="AH252" s="2"/>
      <c r="AI252" s="29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2" customHeight="1" x14ac:dyDescent="0.35">
      <c r="A253" s="2"/>
      <c r="B253" s="2"/>
      <c r="C253" s="2"/>
      <c r="D253" s="2"/>
      <c r="E253" s="2"/>
      <c r="F253" s="2"/>
      <c r="G253" s="27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91"/>
      <c r="AC253" s="2"/>
      <c r="AD253" s="2"/>
      <c r="AE253" s="291"/>
      <c r="AF253" s="2"/>
      <c r="AG253" s="2"/>
      <c r="AH253" s="2"/>
      <c r="AI253" s="29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2" customHeight="1" x14ac:dyDescent="0.35">
      <c r="A254" s="2"/>
      <c r="B254" s="2"/>
      <c r="C254" s="2"/>
      <c r="D254" s="2"/>
      <c r="E254" s="2"/>
      <c r="F254" s="2"/>
      <c r="G254" s="27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91"/>
      <c r="AC254" s="2"/>
      <c r="AD254" s="2"/>
      <c r="AE254" s="291"/>
      <c r="AF254" s="2"/>
      <c r="AG254" s="2"/>
      <c r="AH254" s="2"/>
      <c r="AI254" s="29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2" customHeight="1" x14ac:dyDescent="0.35">
      <c r="A255" s="2"/>
      <c r="B255" s="2"/>
      <c r="C255" s="2"/>
      <c r="D255" s="2"/>
      <c r="E255" s="2"/>
      <c r="F255" s="2"/>
      <c r="G255" s="27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91"/>
      <c r="AC255" s="2"/>
      <c r="AD255" s="2"/>
      <c r="AE255" s="291"/>
      <c r="AF255" s="2"/>
      <c r="AG255" s="2"/>
      <c r="AH255" s="2"/>
      <c r="AI255" s="29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2" customHeight="1" x14ac:dyDescent="0.35">
      <c r="A256" s="2"/>
      <c r="B256" s="2"/>
      <c r="C256" s="2"/>
      <c r="D256" s="2"/>
      <c r="E256" s="2"/>
      <c r="F256" s="2"/>
      <c r="G256" s="27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91"/>
      <c r="AC256" s="2"/>
      <c r="AD256" s="2"/>
      <c r="AE256" s="291"/>
      <c r="AF256" s="2"/>
      <c r="AG256" s="2"/>
      <c r="AH256" s="2"/>
      <c r="AI256" s="29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2" customHeight="1" x14ac:dyDescent="0.35">
      <c r="A257" s="2"/>
      <c r="B257" s="2"/>
      <c r="C257" s="2"/>
      <c r="D257" s="2"/>
      <c r="E257" s="2"/>
      <c r="F257" s="2"/>
      <c r="G257" s="27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91"/>
      <c r="AC257" s="2"/>
      <c r="AD257" s="2"/>
      <c r="AE257" s="291"/>
      <c r="AF257" s="2"/>
      <c r="AG257" s="2"/>
      <c r="AH257" s="2"/>
      <c r="AI257" s="29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2" customHeight="1" x14ac:dyDescent="0.35">
      <c r="A258" s="2"/>
      <c r="B258" s="2"/>
      <c r="C258" s="2"/>
      <c r="D258" s="2"/>
      <c r="E258" s="2"/>
      <c r="F258" s="2"/>
      <c r="G258" s="27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91"/>
      <c r="AC258" s="2"/>
      <c r="AD258" s="2"/>
      <c r="AE258" s="291"/>
      <c r="AF258" s="2"/>
      <c r="AG258" s="2"/>
      <c r="AH258" s="2"/>
      <c r="AI258" s="29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2" customHeight="1" x14ac:dyDescent="0.35">
      <c r="A259" s="2"/>
      <c r="B259" s="2"/>
      <c r="C259" s="2"/>
      <c r="D259" s="2"/>
      <c r="E259" s="2"/>
      <c r="F259" s="2"/>
      <c r="G259" s="27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91"/>
      <c r="AC259" s="2"/>
      <c r="AD259" s="2"/>
      <c r="AE259" s="291"/>
      <c r="AF259" s="2"/>
      <c r="AG259" s="2"/>
      <c r="AH259" s="2"/>
      <c r="AI259" s="29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2" customHeight="1" x14ac:dyDescent="0.35">
      <c r="A260" s="2"/>
      <c r="B260" s="2"/>
      <c r="C260" s="2"/>
      <c r="D260" s="2"/>
      <c r="E260" s="2"/>
      <c r="F260" s="2"/>
      <c r="G260" s="27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91"/>
      <c r="AC260" s="2"/>
      <c r="AD260" s="2"/>
      <c r="AE260" s="291"/>
      <c r="AF260" s="2"/>
      <c r="AG260" s="2"/>
      <c r="AH260" s="2"/>
      <c r="AI260" s="29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2" customHeight="1" x14ac:dyDescent="0.35">
      <c r="A261" s="2"/>
      <c r="B261" s="2"/>
      <c r="C261" s="2"/>
      <c r="D261" s="2"/>
      <c r="E261" s="2"/>
      <c r="F261" s="2"/>
      <c r="G261" s="27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91"/>
      <c r="AC261" s="2"/>
      <c r="AD261" s="2"/>
      <c r="AE261" s="291"/>
      <c r="AF261" s="2"/>
      <c r="AG261" s="2"/>
      <c r="AH261" s="2"/>
      <c r="AI261" s="29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2" customHeight="1" x14ac:dyDescent="0.35">
      <c r="A262" s="2"/>
      <c r="B262" s="2"/>
      <c r="C262" s="2"/>
      <c r="D262" s="2"/>
      <c r="E262" s="2"/>
      <c r="F262" s="2"/>
      <c r="G262" s="27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91"/>
      <c r="AC262" s="2"/>
      <c r="AD262" s="2"/>
      <c r="AE262" s="291"/>
      <c r="AF262" s="2"/>
      <c r="AG262" s="2"/>
      <c r="AH262" s="2"/>
      <c r="AI262" s="29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2" customHeight="1" x14ac:dyDescent="0.35">
      <c r="A263" s="2"/>
      <c r="B263" s="2"/>
      <c r="C263" s="2"/>
      <c r="D263" s="2"/>
      <c r="E263" s="2"/>
      <c r="F263" s="2"/>
      <c r="G263" s="27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91"/>
      <c r="AC263" s="2"/>
      <c r="AD263" s="2"/>
      <c r="AE263" s="291"/>
      <c r="AF263" s="2"/>
      <c r="AG263" s="2"/>
      <c r="AH263" s="2"/>
      <c r="AI263" s="29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2" customHeight="1" x14ac:dyDescent="0.35">
      <c r="A264" s="2"/>
      <c r="B264" s="2"/>
      <c r="C264" s="2"/>
      <c r="D264" s="2"/>
      <c r="E264" s="2"/>
      <c r="F264" s="2"/>
      <c r="G264" s="27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91"/>
      <c r="AC264" s="2"/>
      <c r="AD264" s="2"/>
      <c r="AE264" s="291"/>
      <c r="AF264" s="2"/>
      <c r="AG264" s="2"/>
      <c r="AH264" s="2"/>
      <c r="AI264" s="29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2" customHeight="1" x14ac:dyDescent="0.35">
      <c r="A265" s="2"/>
      <c r="B265" s="2"/>
      <c r="C265" s="2"/>
      <c r="D265" s="2"/>
      <c r="E265" s="2"/>
      <c r="F265" s="2"/>
      <c r="G265" s="27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91"/>
      <c r="AC265" s="2"/>
      <c r="AD265" s="2"/>
      <c r="AE265" s="291"/>
      <c r="AF265" s="2"/>
      <c r="AG265" s="2"/>
      <c r="AH265" s="2"/>
      <c r="AI265" s="29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2" customHeight="1" x14ac:dyDescent="0.35">
      <c r="A266" s="2"/>
      <c r="B266" s="2"/>
      <c r="C266" s="2"/>
      <c r="D266" s="2"/>
      <c r="E266" s="2"/>
      <c r="F266" s="2"/>
      <c r="G266" s="27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91"/>
      <c r="AC266" s="2"/>
      <c r="AD266" s="2"/>
      <c r="AE266" s="291"/>
      <c r="AF266" s="2"/>
      <c r="AG266" s="2"/>
      <c r="AH266" s="2"/>
      <c r="AI266" s="29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2" customHeight="1" x14ac:dyDescent="0.35">
      <c r="A267" s="2"/>
      <c r="B267" s="2"/>
      <c r="C267" s="2"/>
      <c r="D267" s="2"/>
      <c r="E267" s="2"/>
      <c r="F267" s="2"/>
      <c r="G267" s="27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91"/>
      <c r="AC267" s="2"/>
      <c r="AD267" s="2"/>
      <c r="AE267" s="291"/>
      <c r="AF267" s="2"/>
      <c r="AG267" s="2"/>
      <c r="AH267" s="2"/>
      <c r="AI267" s="29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2" customHeight="1" x14ac:dyDescent="0.35">
      <c r="A268" s="2"/>
      <c r="B268" s="2"/>
      <c r="C268" s="2"/>
      <c r="D268" s="2"/>
      <c r="E268" s="2"/>
      <c r="F268" s="2"/>
      <c r="G268" s="27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91"/>
      <c r="AC268" s="2"/>
      <c r="AD268" s="2"/>
      <c r="AE268" s="291"/>
      <c r="AF268" s="2"/>
      <c r="AG268" s="2"/>
      <c r="AH268" s="2"/>
      <c r="AI268" s="29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2" customHeight="1" x14ac:dyDescent="0.35">
      <c r="A269" s="2"/>
      <c r="B269" s="2"/>
      <c r="C269" s="2"/>
      <c r="D269" s="2"/>
      <c r="E269" s="2"/>
      <c r="F269" s="2"/>
      <c r="G269" s="27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91"/>
      <c r="AC269" s="2"/>
      <c r="AD269" s="2"/>
      <c r="AE269" s="291"/>
      <c r="AF269" s="2"/>
      <c r="AG269" s="2"/>
      <c r="AH269" s="2"/>
      <c r="AI269" s="29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2" customHeight="1" x14ac:dyDescent="0.35">
      <c r="A270" s="2"/>
      <c r="B270" s="2"/>
      <c r="C270" s="2"/>
      <c r="D270" s="2"/>
      <c r="E270" s="2"/>
      <c r="F270" s="2"/>
      <c r="G270" s="27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91"/>
      <c r="AC270" s="2"/>
      <c r="AD270" s="2"/>
      <c r="AE270" s="291"/>
      <c r="AF270" s="2"/>
      <c r="AG270" s="2"/>
      <c r="AH270" s="2"/>
      <c r="AI270" s="29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2" customHeight="1" x14ac:dyDescent="0.35">
      <c r="A271" s="2"/>
      <c r="B271" s="2"/>
      <c r="C271" s="2"/>
      <c r="D271" s="2"/>
      <c r="E271" s="2"/>
      <c r="F271" s="2"/>
      <c r="G271" s="27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91"/>
      <c r="AC271" s="2"/>
      <c r="AD271" s="2"/>
      <c r="AE271" s="291"/>
      <c r="AF271" s="2"/>
      <c r="AG271" s="2"/>
      <c r="AH271" s="2"/>
      <c r="AI271" s="29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2" customHeight="1" x14ac:dyDescent="0.35">
      <c r="A272" s="2"/>
      <c r="B272" s="2"/>
      <c r="C272" s="2"/>
      <c r="D272" s="2"/>
      <c r="E272" s="2"/>
      <c r="F272" s="2"/>
      <c r="G272" s="27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91"/>
      <c r="AC272" s="2"/>
      <c r="AD272" s="2"/>
      <c r="AE272" s="291"/>
      <c r="AF272" s="2"/>
      <c r="AG272" s="2"/>
      <c r="AH272" s="2"/>
      <c r="AI272" s="29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2" customHeight="1" x14ac:dyDescent="0.35">
      <c r="A273" s="2"/>
      <c r="B273" s="2"/>
      <c r="C273" s="2"/>
      <c r="D273" s="2"/>
      <c r="E273" s="2"/>
      <c r="F273" s="2"/>
      <c r="G273" s="27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91"/>
      <c r="AC273" s="2"/>
      <c r="AD273" s="2"/>
      <c r="AE273" s="291"/>
      <c r="AF273" s="2"/>
      <c r="AG273" s="2"/>
      <c r="AH273" s="2"/>
      <c r="AI273" s="29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2" customHeight="1" x14ac:dyDescent="0.35">
      <c r="A274" s="2"/>
      <c r="B274" s="2"/>
      <c r="C274" s="2"/>
      <c r="D274" s="2"/>
      <c r="E274" s="2"/>
      <c r="F274" s="2"/>
      <c r="G274" s="27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91"/>
      <c r="AC274" s="2"/>
      <c r="AD274" s="2"/>
      <c r="AE274" s="291"/>
      <c r="AF274" s="2"/>
      <c r="AG274" s="2"/>
      <c r="AH274" s="2"/>
      <c r="AI274" s="29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2" customHeight="1" x14ac:dyDescent="0.35">
      <c r="A275" s="2"/>
      <c r="B275" s="2"/>
      <c r="C275" s="2"/>
      <c r="D275" s="2"/>
      <c r="E275" s="2"/>
      <c r="F275" s="2"/>
      <c r="G275" s="27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91"/>
      <c r="AC275" s="2"/>
      <c r="AD275" s="2"/>
      <c r="AE275" s="291"/>
      <c r="AF275" s="2"/>
      <c r="AG275" s="2"/>
      <c r="AH275" s="2"/>
      <c r="AI275" s="29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2" customHeight="1" x14ac:dyDescent="0.35">
      <c r="A276" s="2"/>
      <c r="B276" s="2"/>
      <c r="C276" s="2"/>
      <c r="D276" s="2"/>
      <c r="E276" s="2"/>
      <c r="F276" s="2"/>
      <c r="G276" s="27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91"/>
      <c r="AC276" s="2"/>
      <c r="AD276" s="2"/>
      <c r="AE276" s="291"/>
      <c r="AF276" s="2"/>
      <c r="AG276" s="2"/>
      <c r="AH276" s="2"/>
      <c r="AI276" s="29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2" customHeight="1" x14ac:dyDescent="0.35">
      <c r="A277" s="2"/>
      <c r="B277" s="2"/>
      <c r="C277" s="2"/>
      <c r="D277" s="2"/>
      <c r="E277" s="2"/>
      <c r="F277" s="2"/>
      <c r="G277" s="27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91"/>
      <c r="AC277" s="2"/>
      <c r="AD277" s="2"/>
      <c r="AE277" s="291"/>
      <c r="AF277" s="2"/>
      <c r="AG277" s="2"/>
      <c r="AH277" s="2"/>
      <c r="AI277" s="29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2" customHeight="1" x14ac:dyDescent="0.35">
      <c r="A278" s="2"/>
      <c r="B278" s="2"/>
      <c r="C278" s="2"/>
      <c r="D278" s="2"/>
      <c r="E278" s="2"/>
      <c r="F278" s="2"/>
      <c r="G278" s="27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91"/>
      <c r="AC278" s="2"/>
      <c r="AD278" s="2"/>
      <c r="AE278" s="291"/>
      <c r="AF278" s="2"/>
      <c r="AG278" s="2"/>
      <c r="AH278" s="2"/>
      <c r="AI278" s="29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2" customHeight="1" x14ac:dyDescent="0.35">
      <c r="A279" s="2"/>
      <c r="B279" s="2"/>
      <c r="C279" s="2"/>
      <c r="D279" s="2"/>
      <c r="E279" s="2"/>
      <c r="F279" s="2"/>
      <c r="G279" s="27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91"/>
      <c r="AC279" s="2"/>
      <c r="AD279" s="2"/>
      <c r="AE279" s="291"/>
      <c r="AF279" s="2"/>
      <c r="AG279" s="2"/>
      <c r="AH279" s="2"/>
      <c r="AI279" s="29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2" customHeight="1" x14ac:dyDescent="0.35">
      <c r="A280" s="2"/>
      <c r="B280" s="2"/>
      <c r="C280" s="2"/>
      <c r="D280" s="2"/>
      <c r="E280" s="2"/>
      <c r="F280" s="2"/>
      <c r="G280" s="27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91"/>
      <c r="AC280" s="2"/>
      <c r="AD280" s="2"/>
      <c r="AE280" s="291"/>
      <c r="AF280" s="2"/>
      <c r="AG280" s="2"/>
      <c r="AH280" s="2"/>
      <c r="AI280" s="29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2" customHeight="1" x14ac:dyDescent="0.35">
      <c r="A281" s="2"/>
      <c r="B281" s="2"/>
      <c r="C281" s="2"/>
      <c r="D281" s="2"/>
      <c r="E281" s="2"/>
      <c r="F281" s="2"/>
      <c r="G281" s="27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91"/>
      <c r="AC281" s="2"/>
      <c r="AD281" s="2"/>
      <c r="AE281" s="291"/>
      <c r="AF281" s="2"/>
      <c r="AG281" s="2"/>
      <c r="AH281" s="2"/>
      <c r="AI281" s="29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2" customHeight="1" x14ac:dyDescent="0.35">
      <c r="A282" s="2"/>
      <c r="B282" s="2"/>
      <c r="C282" s="2"/>
      <c r="D282" s="2"/>
      <c r="E282" s="2"/>
      <c r="F282" s="2"/>
      <c r="G282" s="27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91"/>
      <c r="AC282" s="2"/>
      <c r="AD282" s="2"/>
      <c r="AE282" s="291"/>
      <c r="AF282" s="2"/>
      <c r="AG282" s="2"/>
      <c r="AH282" s="2"/>
      <c r="AI282" s="29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2" customHeight="1" x14ac:dyDescent="0.35">
      <c r="A283" s="2"/>
      <c r="B283" s="2"/>
      <c r="C283" s="2"/>
      <c r="D283" s="2"/>
      <c r="E283" s="2"/>
      <c r="F283" s="2"/>
      <c r="G283" s="27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91"/>
      <c r="AC283" s="2"/>
      <c r="AD283" s="2"/>
      <c r="AE283" s="291"/>
      <c r="AF283" s="2"/>
      <c r="AG283" s="2"/>
      <c r="AH283" s="2"/>
      <c r="AI283" s="29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2" customHeight="1" x14ac:dyDescent="0.35">
      <c r="A284" s="2"/>
      <c r="B284" s="2"/>
      <c r="C284" s="2"/>
      <c r="D284" s="2"/>
      <c r="E284" s="2"/>
      <c r="F284" s="2"/>
      <c r="G284" s="27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91"/>
      <c r="AC284" s="2"/>
      <c r="AD284" s="2"/>
      <c r="AE284" s="291"/>
      <c r="AF284" s="2"/>
      <c r="AG284" s="2"/>
      <c r="AH284" s="2"/>
      <c r="AI284" s="29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2" customHeight="1" x14ac:dyDescent="0.35">
      <c r="A285" s="2"/>
      <c r="B285" s="2"/>
      <c r="C285" s="2"/>
      <c r="D285" s="2"/>
      <c r="E285" s="2"/>
      <c r="F285" s="2"/>
      <c r="G285" s="27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91"/>
      <c r="AC285" s="2"/>
      <c r="AD285" s="2"/>
      <c r="AE285" s="291"/>
      <c r="AF285" s="2"/>
      <c r="AG285" s="2"/>
      <c r="AH285" s="2"/>
      <c r="AI285" s="29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2" customHeight="1" x14ac:dyDescent="0.35">
      <c r="A286" s="2"/>
      <c r="B286" s="2"/>
      <c r="C286" s="2"/>
      <c r="D286" s="2"/>
      <c r="E286" s="2"/>
      <c r="F286" s="2"/>
      <c r="G286" s="27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91"/>
      <c r="AC286" s="2"/>
      <c r="AD286" s="2"/>
      <c r="AE286" s="291"/>
      <c r="AF286" s="2"/>
      <c r="AG286" s="2"/>
      <c r="AH286" s="2"/>
      <c r="AI286" s="29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2" customHeight="1" x14ac:dyDescent="0.35">
      <c r="A287" s="2"/>
      <c r="B287" s="2"/>
      <c r="C287" s="2"/>
      <c r="D287" s="2"/>
      <c r="E287" s="2"/>
      <c r="F287" s="2"/>
      <c r="G287" s="27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91"/>
      <c r="AC287" s="2"/>
      <c r="AD287" s="2"/>
      <c r="AE287" s="291"/>
      <c r="AF287" s="2"/>
      <c r="AG287" s="2"/>
      <c r="AH287" s="2"/>
      <c r="AI287" s="29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2" customHeight="1" x14ac:dyDescent="0.35">
      <c r="A288" s="2"/>
      <c r="B288" s="2"/>
      <c r="C288" s="2"/>
      <c r="D288" s="2"/>
      <c r="E288" s="2"/>
      <c r="F288" s="2"/>
      <c r="G288" s="27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91"/>
      <c r="AC288" s="2"/>
      <c r="AD288" s="2"/>
      <c r="AE288" s="291"/>
      <c r="AF288" s="2"/>
      <c r="AG288" s="2"/>
      <c r="AH288" s="2"/>
      <c r="AI288" s="29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2" customHeight="1" x14ac:dyDescent="0.35">
      <c r="A289" s="2"/>
      <c r="B289" s="2"/>
      <c r="C289" s="2"/>
      <c r="D289" s="2"/>
      <c r="E289" s="2"/>
      <c r="F289" s="2"/>
      <c r="G289" s="27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91"/>
      <c r="AC289" s="2"/>
      <c r="AD289" s="2"/>
      <c r="AE289" s="291"/>
      <c r="AF289" s="2"/>
      <c r="AG289" s="2"/>
      <c r="AH289" s="2"/>
      <c r="AI289" s="29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2" customHeight="1" x14ac:dyDescent="0.35">
      <c r="A290" s="2"/>
      <c r="B290" s="2"/>
      <c r="C290" s="2"/>
      <c r="D290" s="2"/>
      <c r="E290" s="2"/>
      <c r="F290" s="2"/>
      <c r="G290" s="27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91"/>
      <c r="AC290" s="2"/>
      <c r="AD290" s="2"/>
      <c r="AE290" s="291"/>
      <c r="AF290" s="2"/>
      <c r="AG290" s="2"/>
      <c r="AH290" s="2"/>
      <c r="AI290" s="29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2" customHeight="1" x14ac:dyDescent="0.35">
      <c r="A291" s="2"/>
      <c r="B291" s="2"/>
      <c r="C291" s="2"/>
      <c r="D291" s="2"/>
      <c r="E291" s="2"/>
      <c r="F291" s="2"/>
      <c r="G291" s="27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91"/>
      <c r="AC291" s="2"/>
      <c r="AD291" s="2"/>
      <c r="AE291" s="291"/>
      <c r="AF291" s="2"/>
      <c r="AG291" s="2"/>
      <c r="AH291" s="2"/>
      <c r="AI291" s="29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2" customHeight="1" x14ac:dyDescent="0.35">
      <c r="A292" s="2"/>
      <c r="B292" s="2"/>
      <c r="C292" s="2"/>
      <c r="D292" s="2"/>
      <c r="E292" s="2"/>
      <c r="F292" s="2"/>
      <c r="G292" s="27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91"/>
      <c r="AC292" s="2"/>
      <c r="AD292" s="2"/>
      <c r="AE292" s="291"/>
      <c r="AF292" s="2"/>
      <c r="AG292" s="2"/>
      <c r="AH292" s="2"/>
      <c r="AI292" s="29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2" customHeight="1" x14ac:dyDescent="0.35">
      <c r="A293" s="2"/>
      <c r="B293" s="2"/>
      <c r="C293" s="2"/>
      <c r="D293" s="2"/>
      <c r="E293" s="2"/>
      <c r="F293" s="2"/>
      <c r="G293" s="27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91"/>
      <c r="AC293" s="2"/>
      <c r="AD293" s="2"/>
      <c r="AE293" s="291"/>
      <c r="AF293" s="2"/>
      <c r="AG293" s="2"/>
      <c r="AH293" s="2"/>
      <c r="AI293" s="29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2" customHeight="1" x14ac:dyDescent="0.35">
      <c r="A294" s="2"/>
      <c r="B294" s="2"/>
      <c r="C294" s="2"/>
      <c r="D294" s="2"/>
      <c r="E294" s="2"/>
      <c r="F294" s="2"/>
      <c r="G294" s="27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91"/>
      <c r="AC294" s="2"/>
      <c r="AD294" s="2"/>
      <c r="AE294" s="291"/>
      <c r="AF294" s="2"/>
      <c r="AG294" s="2"/>
      <c r="AH294" s="2"/>
      <c r="AI294" s="29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2" customHeight="1" x14ac:dyDescent="0.35">
      <c r="A295" s="2"/>
      <c r="B295" s="2"/>
      <c r="C295" s="2"/>
      <c r="D295" s="2"/>
      <c r="E295" s="2"/>
      <c r="F295" s="2"/>
      <c r="G295" s="27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91"/>
      <c r="AC295" s="2"/>
      <c r="AD295" s="2"/>
      <c r="AE295" s="291"/>
      <c r="AF295" s="2"/>
      <c r="AG295" s="2"/>
      <c r="AH295" s="2"/>
      <c r="AI295" s="29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2" customHeight="1" x14ac:dyDescent="0.35">
      <c r="A296" s="2"/>
      <c r="B296" s="2"/>
      <c r="C296" s="2"/>
      <c r="D296" s="2"/>
      <c r="E296" s="2"/>
      <c r="F296" s="2"/>
      <c r="G296" s="27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91"/>
      <c r="AC296" s="2"/>
      <c r="AD296" s="2"/>
      <c r="AE296" s="291"/>
      <c r="AF296" s="2"/>
      <c r="AG296" s="2"/>
      <c r="AH296" s="2"/>
      <c r="AI296" s="29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2" customHeight="1" x14ac:dyDescent="0.35">
      <c r="A297" s="2"/>
      <c r="B297" s="2"/>
      <c r="C297" s="2"/>
      <c r="D297" s="2"/>
      <c r="E297" s="2"/>
      <c r="F297" s="2"/>
      <c r="G297" s="27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91"/>
      <c r="AC297" s="2"/>
      <c r="AD297" s="2"/>
      <c r="AE297" s="291"/>
      <c r="AF297" s="2"/>
      <c r="AG297" s="2"/>
      <c r="AH297" s="2"/>
      <c r="AI297" s="29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2" customHeight="1" x14ac:dyDescent="0.35">
      <c r="A298" s="2"/>
      <c r="B298" s="2"/>
      <c r="C298" s="2"/>
      <c r="D298" s="2"/>
      <c r="E298" s="2"/>
      <c r="F298" s="2"/>
      <c r="G298" s="27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91"/>
      <c r="AC298" s="2"/>
      <c r="AD298" s="2"/>
      <c r="AE298" s="291"/>
      <c r="AF298" s="2"/>
      <c r="AG298" s="2"/>
      <c r="AH298" s="2"/>
      <c r="AI298" s="29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2" customHeight="1" x14ac:dyDescent="0.35">
      <c r="A299" s="2"/>
      <c r="B299" s="2"/>
      <c r="C299" s="2"/>
      <c r="D299" s="2"/>
      <c r="E299" s="2"/>
      <c r="F299" s="2"/>
      <c r="G299" s="27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91"/>
      <c r="AC299" s="2"/>
      <c r="AD299" s="2"/>
      <c r="AE299" s="291"/>
      <c r="AF299" s="2"/>
      <c r="AG299" s="2"/>
      <c r="AH299" s="2"/>
      <c r="AI299" s="29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2" customHeight="1" x14ac:dyDescent="0.35">
      <c r="A300" s="2"/>
      <c r="B300" s="2"/>
      <c r="C300" s="2"/>
      <c r="D300" s="2"/>
      <c r="E300" s="2"/>
      <c r="F300" s="2"/>
      <c r="G300" s="27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91"/>
      <c r="AC300" s="2"/>
      <c r="AD300" s="2"/>
      <c r="AE300" s="291"/>
      <c r="AF300" s="2"/>
      <c r="AG300" s="2"/>
      <c r="AH300" s="2"/>
      <c r="AI300" s="29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2" customHeight="1" x14ac:dyDescent="0.35">
      <c r="A301" s="2"/>
      <c r="B301" s="2"/>
      <c r="C301" s="2"/>
      <c r="D301" s="2"/>
      <c r="E301" s="2"/>
      <c r="F301" s="2"/>
      <c r="G301" s="27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91"/>
      <c r="AC301" s="2"/>
      <c r="AD301" s="2"/>
      <c r="AE301" s="291"/>
      <c r="AF301" s="2"/>
      <c r="AG301" s="2"/>
      <c r="AH301" s="2"/>
      <c r="AI301" s="29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2" customHeight="1" x14ac:dyDescent="0.35">
      <c r="A302" s="2"/>
      <c r="B302" s="2"/>
      <c r="C302" s="2"/>
      <c r="D302" s="2"/>
      <c r="E302" s="2"/>
      <c r="F302" s="2"/>
      <c r="G302" s="27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91"/>
      <c r="AC302" s="2"/>
      <c r="AD302" s="2"/>
      <c r="AE302" s="291"/>
      <c r="AF302" s="2"/>
      <c r="AG302" s="2"/>
      <c r="AH302" s="2"/>
      <c r="AI302" s="29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2" customHeight="1" x14ac:dyDescent="0.35">
      <c r="A303" s="2"/>
      <c r="B303" s="2"/>
      <c r="C303" s="2"/>
      <c r="D303" s="2"/>
      <c r="E303" s="2"/>
      <c r="F303" s="2"/>
      <c r="G303" s="27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91"/>
      <c r="AC303" s="2"/>
      <c r="AD303" s="2"/>
      <c r="AE303" s="291"/>
      <c r="AF303" s="2"/>
      <c r="AG303" s="2"/>
      <c r="AH303" s="2"/>
      <c r="AI303" s="29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2" customHeight="1" x14ac:dyDescent="0.35">
      <c r="A304" s="2"/>
      <c r="B304" s="2"/>
      <c r="C304" s="2"/>
      <c r="D304" s="2"/>
      <c r="E304" s="2"/>
      <c r="F304" s="2"/>
      <c r="G304" s="27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91"/>
      <c r="AC304" s="2"/>
      <c r="AD304" s="2"/>
      <c r="AE304" s="291"/>
      <c r="AF304" s="2"/>
      <c r="AG304" s="2"/>
      <c r="AH304" s="2"/>
      <c r="AI304" s="29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2" customHeight="1" x14ac:dyDescent="0.35">
      <c r="A305" s="2"/>
      <c r="B305" s="2"/>
      <c r="C305" s="2"/>
      <c r="D305" s="2"/>
      <c r="E305" s="2"/>
      <c r="F305" s="2"/>
      <c r="G305" s="27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91"/>
      <c r="AC305" s="2"/>
      <c r="AD305" s="2"/>
      <c r="AE305" s="291"/>
      <c r="AF305" s="2"/>
      <c r="AG305" s="2"/>
      <c r="AH305" s="2"/>
      <c r="AI305" s="29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2" customHeight="1" x14ac:dyDescent="0.35">
      <c r="A306" s="2"/>
      <c r="B306" s="2"/>
      <c r="C306" s="2"/>
      <c r="D306" s="2"/>
      <c r="E306" s="2"/>
      <c r="F306" s="2"/>
      <c r="G306" s="27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91"/>
      <c r="AC306" s="2"/>
      <c r="AD306" s="2"/>
      <c r="AE306" s="291"/>
      <c r="AF306" s="2"/>
      <c r="AG306" s="2"/>
      <c r="AH306" s="2"/>
      <c r="AI306" s="29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2" customHeight="1" x14ac:dyDescent="0.35">
      <c r="A307" s="2"/>
      <c r="B307" s="2"/>
      <c r="C307" s="2"/>
      <c r="D307" s="2"/>
      <c r="E307" s="2"/>
      <c r="F307" s="2"/>
      <c r="G307" s="27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91"/>
      <c r="AC307" s="2"/>
      <c r="AD307" s="2"/>
      <c r="AE307" s="291"/>
      <c r="AF307" s="2"/>
      <c r="AG307" s="2"/>
      <c r="AH307" s="2"/>
      <c r="AI307" s="29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2" customHeight="1" x14ac:dyDescent="0.35">
      <c r="A308" s="2"/>
      <c r="B308" s="2"/>
      <c r="C308" s="2"/>
      <c r="D308" s="2"/>
      <c r="E308" s="2"/>
      <c r="F308" s="2"/>
      <c r="G308" s="27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91"/>
      <c r="AC308" s="2"/>
      <c r="AD308" s="2"/>
      <c r="AE308" s="291"/>
      <c r="AF308" s="2"/>
      <c r="AG308" s="2"/>
      <c r="AH308" s="2"/>
      <c r="AI308" s="29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2" customHeight="1" x14ac:dyDescent="0.35">
      <c r="A309" s="2"/>
      <c r="B309" s="2"/>
      <c r="C309" s="2"/>
      <c r="D309" s="2"/>
      <c r="E309" s="2"/>
      <c r="F309" s="2"/>
      <c r="G309" s="27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91"/>
      <c r="AC309" s="2"/>
      <c r="AD309" s="2"/>
      <c r="AE309" s="291"/>
      <c r="AF309" s="2"/>
      <c r="AG309" s="2"/>
      <c r="AH309" s="2"/>
      <c r="AI309" s="29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2" customHeight="1" x14ac:dyDescent="0.35">
      <c r="A310" s="2"/>
      <c r="B310" s="2"/>
      <c r="C310" s="2"/>
      <c r="D310" s="2"/>
      <c r="E310" s="2"/>
      <c r="F310" s="2"/>
      <c r="G310" s="27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91"/>
      <c r="AC310" s="2"/>
      <c r="AD310" s="2"/>
      <c r="AE310" s="291"/>
      <c r="AF310" s="2"/>
      <c r="AG310" s="2"/>
      <c r="AH310" s="2"/>
      <c r="AI310" s="29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2" customHeight="1" x14ac:dyDescent="0.35">
      <c r="A311" s="2"/>
      <c r="B311" s="2"/>
      <c r="C311" s="2"/>
      <c r="D311" s="2"/>
      <c r="E311" s="2"/>
      <c r="F311" s="2"/>
      <c r="G311" s="27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91"/>
      <c r="AC311" s="2"/>
      <c r="AD311" s="2"/>
      <c r="AE311" s="291"/>
      <c r="AF311" s="2"/>
      <c r="AG311" s="2"/>
      <c r="AH311" s="2"/>
      <c r="AI311" s="29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2" customHeight="1" x14ac:dyDescent="0.35">
      <c r="A312" s="2"/>
      <c r="B312" s="2"/>
      <c r="C312" s="2"/>
      <c r="D312" s="2"/>
      <c r="E312" s="2"/>
      <c r="F312" s="2"/>
      <c r="G312" s="27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91"/>
      <c r="AC312" s="2"/>
      <c r="AD312" s="2"/>
      <c r="AE312" s="291"/>
      <c r="AF312" s="2"/>
      <c r="AG312" s="2"/>
      <c r="AH312" s="2"/>
      <c r="AI312" s="29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2" customHeight="1" x14ac:dyDescent="0.35">
      <c r="A313" s="2"/>
      <c r="B313" s="2"/>
      <c r="C313" s="2"/>
      <c r="D313" s="2"/>
      <c r="E313" s="2"/>
      <c r="F313" s="2"/>
      <c r="G313" s="27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91"/>
      <c r="AC313" s="2"/>
      <c r="AD313" s="2"/>
      <c r="AE313" s="291"/>
      <c r="AF313" s="2"/>
      <c r="AG313" s="2"/>
      <c r="AH313" s="2"/>
      <c r="AI313" s="29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2" customHeight="1" x14ac:dyDescent="0.35">
      <c r="A314" s="2"/>
      <c r="B314" s="2"/>
      <c r="C314" s="2"/>
      <c r="D314" s="2"/>
      <c r="E314" s="2"/>
      <c r="F314" s="2"/>
      <c r="G314" s="27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91"/>
      <c r="AC314" s="2"/>
      <c r="AD314" s="2"/>
      <c r="AE314" s="291"/>
      <c r="AF314" s="2"/>
      <c r="AG314" s="2"/>
      <c r="AH314" s="2"/>
      <c r="AI314" s="29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2" customHeight="1" x14ac:dyDescent="0.35">
      <c r="A315" s="2"/>
      <c r="B315" s="2"/>
      <c r="C315" s="2"/>
      <c r="D315" s="2"/>
      <c r="E315" s="2"/>
      <c r="F315" s="2"/>
      <c r="G315" s="27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91"/>
      <c r="AC315" s="2"/>
      <c r="AD315" s="2"/>
      <c r="AE315" s="291"/>
      <c r="AF315" s="2"/>
      <c r="AG315" s="2"/>
      <c r="AH315" s="2"/>
      <c r="AI315" s="29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2" customHeight="1" x14ac:dyDescent="0.35">
      <c r="A316" s="2"/>
      <c r="B316" s="2"/>
      <c r="C316" s="2"/>
      <c r="D316" s="2"/>
      <c r="E316" s="2"/>
      <c r="F316" s="2"/>
      <c r="G316" s="27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91"/>
      <c r="AC316" s="2"/>
      <c r="AD316" s="2"/>
      <c r="AE316" s="291"/>
      <c r="AF316" s="2"/>
      <c r="AG316" s="2"/>
      <c r="AH316" s="2"/>
      <c r="AI316" s="29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2" customHeight="1" x14ac:dyDescent="0.35">
      <c r="A317" s="2"/>
      <c r="B317" s="2"/>
      <c r="C317" s="2"/>
      <c r="D317" s="2"/>
      <c r="E317" s="2"/>
      <c r="F317" s="2"/>
      <c r="G317" s="27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91"/>
      <c r="AC317" s="2"/>
      <c r="AD317" s="2"/>
      <c r="AE317" s="291"/>
      <c r="AF317" s="2"/>
      <c r="AG317" s="2"/>
      <c r="AH317" s="2"/>
      <c r="AI317" s="29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2" customHeight="1" x14ac:dyDescent="0.35">
      <c r="A318" s="2"/>
      <c r="B318" s="2"/>
      <c r="C318" s="2"/>
      <c r="D318" s="2"/>
      <c r="E318" s="2"/>
      <c r="F318" s="2"/>
      <c r="G318" s="27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91"/>
      <c r="AC318" s="2"/>
      <c r="AD318" s="2"/>
      <c r="AE318" s="291"/>
      <c r="AF318" s="2"/>
      <c r="AG318" s="2"/>
      <c r="AH318" s="2"/>
      <c r="AI318" s="29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2" customHeight="1" x14ac:dyDescent="0.35">
      <c r="A319" s="2"/>
      <c r="B319" s="2"/>
      <c r="C319" s="2"/>
      <c r="D319" s="2"/>
      <c r="E319" s="2"/>
      <c r="F319" s="2"/>
      <c r="G319" s="27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91"/>
      <c r="AC319" s="2"/>
      <c r="AD319" s="2"/>
      <c r="AE319" s="291"/>
      <c r="AF319" s="2"/>
      <c r="AG319" s="2"/>
      <c r="AH319" s="2"/>
      <c r="AI319" s="29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2" customHeight="1" x14ac:dyDescent="0.35">
      <c r="A320" s="2"/>
      <c r="B320" s="2"/>
      <c r="C320" s="2"/>
      <c r="D320" s="2"/>
      <c r="E320" s="2"/>
      <c r="F320" s="2"/>
      <c r="G320" s="27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91"/>
      <c r="AC320" s="2"/>
      <c r="AD320" s="2"/>
      <c r="AE320" s="291"/>
      <c r="AF320" s="2"/>
      <c r="AG320" s="2"/>
      <c r="AH320" s="2"/>
      <c r="AI320" s="29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2" customHeight="1" x14ac:dyDescent="0.35">
      <c r="A321" s="2"/>
      <c r="B321" s="2"/>
      <c r="C321" s="2"/>
      <c r="D321" s="2"/>
      <c r="E321" s="2"/>
      <c r="F321" s="2"/>
      <c r="G321" s="27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91"/>
      <c r="AC321" s="2"/>
      <c r="AD321" s="2"/>
      <c r="AE321" s="291"/>
      <c r="AF321" s="2"/>
      <c r="AG321" s="2"/>
      <c r="AH321" s="2"/>
      <c r="AI321" s="29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2" customHeight="1" x14ac:dyDescent="0.35">
      <c r="A322" s="2"/>
      <c r="B322" s="2"/>
      <c r="C322" s="2"/>
      <c r="D322" s="2"/>
      <c r="E322" s="2"/>
      <c r="F322" s="2"/>
      <c r="G322" s="27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91"/>
      <c r="AC322" s="2"/>
      <c r="AD322" s="2"/>
      <c r="AE322" s="291"/>
      <c r="AF322" s="2"/>
      <c r="AG322" s="2"/>
      <c r="AH322" s="2"/>
      <c r="AI322" s="29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2" customHeight="1" x14ac:dyDescent="0.35">
      <c r="A323" s="2"/>
      <c r="B323" s="2"/>
      <c r="C323" s="2"/>
      <c r="D323" s="2"/>
      <c r="E323" s="2"/>
      <c r="F323" s="2"/>
      <c r="G323" s="27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91"/>
      <c r="AC323" s="2"/>
      <c r="AD323" s="2"/>
      <c r="AE323" s="291"/>
      <c r="AF323" s="2"/>
      <c r="AG323" s="2"/>
      <c r="AH323" s="2"/>
      <c r="AI323" s="29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2" customHeight="1" x14ac:dyDescent="0.35">
      <c r="A324" s="2"/>
      <c r="B324" s="2"/>
      <c r="C324" s="2"/>
      <c r="D324" s="2"/>
      <c r="E324" s="2"/>
      <c r="F324" s="2"/>
      <c r="G324" s="27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91"/>
      <c r="AC324" s="2"/>
      <c r="AD324" s="2"/>
      <c r="AE324" s="291"/>
      <c r="AF324" s="2"/>
      <c r="AG324" s="2"/>
      <c r="AH324" s="2"/>
      <c r="AI324" s="29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2" customHeight="1" x14ac:dyDescent="0.35">
      <c r="A325" s="2"/>
      <c r="B325" s="2"/>
      <c r="C325" s="2"/>
      <c r="D325" s="2"/>
      <c r="E325" s="2"/>
      <c r="F325" s="2"/>
      <c r="G325" s="27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91"/>
      <c r="AC325" s="2"/>
      <c r="AD325" s="2"/>
      <c r="AE325" s="291"/>
      <c r="AF325" s="2"/>
      <c r="AG325" s="2"/>
      <c r="AH325" s="2"/>
      <c r="AI325" s="29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2" customHeight="1" x14ac:dyDescent="0.35">
      <c r="A326" s="2"/>
      <c r="B326" s="2"/>
      <c r="C326" s="2"/>
      <c r="D326" s="2"/>
      <c r="E326" s="2"/>
      <c r="F326" s="2"/>
      <c r="G326" s="27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91"/>
      <c r="AC326" s="2"/>
      <c r="AD326" s="2"/>
      <c r="AE326" s="291"/>
      <c r="AF326" s="2"/>
      <c r="AG326" s="2"/>
      <c r="AH326" s="2"/>
      <c r="AI326" s="29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2" customHeight="1" x14ac:dyDescent="0.35">
      <c r="A327" s="2"/>
      <c r="B327" s="2"/>
      <c r="C327" s="2"/>
      <c r="D327" s="2"/>
      <c r="E327" s="2"/>
      <c r="F327" s="2"/>
      <c r="G327" s="27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91"/>
      <c r="AC327" s="2"/>
      <c r="AD327" s="2"/>
      <c r="AE327" s="291"/>
      <c r="AF327" s="2"/>
      <c r="AG327" s="2"/>
      <c r="AH327" s="2"/>
      <c r="AI327" s="29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2" customHeight="1" x14ac:dyDescent="0.35">
      <c r="A328" s="2"/>
      <c r="B328" s="2"/>
      <c r="C328" s="2"/>
      <c r="D328" s="2"/>
      <c r="E328" s="2"/>
      <c r="F328" s="2"/>
      <c r="G328" s="27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91"/>
      <c r="AC328" s="2"/>
      <c r="AD328" s="2"/>
      <c r="AE328" s="291"/>
      <c r="AF328" s="2"/>
      <c r="AG328" s="2"/>
      <c r="AH328" s="2"/>
      <c r="AI328" s="29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2" customHeight="1" x14ac:dyDescent="0.35">
      <c r="A329" s="2"/>
      <c r="B329" s="2"/>
      <c r="C329" s="2"/>
      <c r="D329" s="2"/>
      <c r="E329" s="2"/>
      <c r="F329" s="2"/>
      <c r="G329" s="27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91"/>
      <c r="AC329" s="2"/>
      <c r="AD329" s="2"/>
      <c r="AE329" s="291"/>
      <c r="AF329" s="2"/>
      <c r="AG329" s="2"/>
      <c r="AH329" s="2"/>
      <c r="AI329" s="29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2" customHeight="1" x14ac:dyDescent="0.35">
      <c r="A330" s="2"/>
      <c r="B330" s="2"/>
      <c r="C330" s="2"/>
      <c r="D330" s="2"/>
      <c r="E330" s="2"/>
      <c r="F330" s="2"/>
      <c r="G330" s="27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91"/>
      <c r="AC330" s="2"/>
      <c r="AD330" s="2"/>
      <c r="AE330" s="291"/>
      <c r="AF330" s="2"/>
      <c r="AG330" s="2"/>
      <c r="AH330" s="2"/>
      <c r="AI330" s="29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2" customHeight="1" x14ac:dyDescent="0.35">
      <c r="A331" s="2"/>
      <c r="B331" s="2"/>
      <c r="C331" s="2"/>
      <c r="D331" s="2"/>
      <c r="E331" s="2"/>
      <c r="F331" s="2"/>
      <c r="G331" s="27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91"/>
      <c r="AC331" s="2"/>
      <c r="AD331" s="2"/>
      <c r="AE331" s="291"/>
      <c r="AF331" s="2"/>
      <c r="AG331" s="2"/>
      <c r="AH331" s="2"/>
      <c r="AI331" s="29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2" customHeight="1" x14ac:dyDescent="0.35">
      <c r="A332" s="2"/>
      <c r="B332" s="2"/>
      <c r="C332" s="2"/>
      <c r="D332" s="2"/>
      <c r="E332" s="2"/>
      <c r="F332" s="2"/>
      <c r="G332" s="27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91"/>
      <c r="AC332" s="2"/>
      <c r="AD332" s="2"/>
      <c r="AE332" s="291"/>
      <c r="AF332" s="2"/>
      <c r="AG332" s="2"/>
      <c r="AH332" s="2"/>
      <c r="AI332" s="29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2" customHeight="1" x14ac:dyDescent="0.35">
      <c r="A333" s="2"/>
      <c r="B333" s="2"/>
      <c r="C333" s="2"/>
      <c r="D333" s="2"/>
      <c r="E333" s="2"/>
      <c r="F333" s="2"/>
      <c r="G333" s="27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91"/>
      <c r="AC333" s="2"/>
      <c r="AD333" s="2"/>
      <c r="AE333" s="291"/>
      <c r="AF333" s="2"/>
      <c r="AG333" s="2"/>
      <c r="AH333" s="2"/>
      <c r="AI333" s="29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2" customHeight="1" x14ac:dyDescent="0.35">
      <c r="A334" s="2"/>
      <c r="B334" s="2"/>
      <c r="C334" s="2"/>
      <c r="D334" s="2"/>
      <c r="E334" s="2"/>
      <c r="F334" s="2"/>
      <c r="G334" s="27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91"/>
      <c r="AC334" s="2"/>
      <c r="AD334" s="2"/>
      <c r="AE334" s="291"/>
      <c r="AF334" s="2"/>
      <c r="AG334" s="2"/>
      <c r="AH334" s="2"/>
      <c r="AI334" s="29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2" customHeight="1" x14ac:dyDescent="0.35">
      <c r="A335" s="2"/>
      <c r="B335" s="2"/>
      <c r="C335" s="2"/>
      <c r="D335" s="2"/>
      <c r="E335" s="2"/>
      <c r="F335" s="2"/>
      <c r="G335" s="27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91"/>
      <c r="AC335" s="2"/>
      <c r="AD335" s="2"/>
      <c r="AE335" s="291"/>
      <c r="AF335" s="2"/>
      <c r="AG335" s="2"/>
      <c r="AH335" s="2"/>
      <c r="AI335" s="29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2" customHeight="1" x14ac:dyDescent="0.35">
      <c r="A336" s="2"/>
      <c r="B336" s="2"/>
      <c r="C336" s="2"/>
      <c r="D336" s="2"/>
      <c r="E336" s="2"/>
      <c r="F336" s="2"/>
      <c r="G336" s="27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91"/>
      <c r="AC336" s="2"/>
      <c r="AD336" s="2"/>
      <c r="AE336" s="291"/>
      <c r="AF336" s="2"/>
      <c r="AG336" s="2"/>
      <c r="AH336" s="2"/>
      <c r="AI336" s="29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2" customHeight="1" x14ac:dyDescent="0.35">
      <c r="A337" s="2"/>
      <c r="B337" s="2"/>
      <c r="C337" s="2"/>
      <c r="D337" s="2"/>
      <c r="E337" s="2"/>
      <c r="F337" s="2"/>
      <c r="G337" s="27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91"/>
      <c r="AC337" s="2"/>
      <c r="AD337" s="2"/>
      <c r="AE337" s="291"/>
      <c r="AF337" s="2"/>
      <c r="AG337" s="2"/>
      <c r="AH337" s="2"/>
      <c r="AI337" s="29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2" customHeight="1" x14ac:dyDescent="0.35">
      <c r="A338" s="2"/>
      <c r="B338" s="2"/>
      <c r="C338" s="2"/>
      <c r="D338" s="2"/>
      <c r="E338" s="2"/>
      <c r="F338" s="2"/>
      <c r="G338" s="27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91"/>
      <c r="AC338" s="2"/>
      <c r="AD338" s="2"/>
      <c r="AE338" s="291"/>
      <c r="AF338" s="2"/>
      <c r="AG338" s="2"/>
      <c r="AH338" s="2"/>
      <c r="AI338" s="29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2" customHeight="1" x14ac:dyDescent="0.35">
      <c r="A339" s="2"/>
      <c r="B339" s="2"/>
      <c r="C339" s="2"/>
      <c r="D339" s="2"/>
      <c r="E339" s="2"/>
      <c r="F339" s="2"/>
      <c r="G339" s="27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91"/>
      <c r="AC339" s="2"/>
      <c r="AD339" s="2"/>
      <c r="AE339" s="291"/>
      <c r="AF339" s="2"/>
      <c r="AG339" s="2"/>
      <c r="AH339" s="2"/>
      <c r="AI339" s="29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2" customHeight="1" x14ac:dyDescent="0.35">
      <c r="A340" s="2"/>
      <c r="B340" s="2"/>
      <c r="C340" s="2"/>
      <c r="D340" s="2"/>
      <c r="E340" s="2"/>
      <c r="F340" s="2"/>
      <c r="G340" s="27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91"/>
      <c r="AC340" s="2"/>
      <c r="AD340" s="2"/>
      <c r="AE340" s="291"/>
      <c r="AF340" s="2"/>
      <c r="AG340" s="2"/>
      <c r="AH340" s="2"/>
      <c r="AI340" s="29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2" customHeight="1" x14ac:dyDescent="0.35">
      <c r="A341" s="2"/>
      <c r="B341" s="2"/>
      <c r="C341" s="2"/>
      <c r="D341" s="2"/>
      <c r="E341" s="2"/>
      <c r="F341" s="2"/>
      <c r="G341" s="27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91"/>
      <c r="AC341" s="2"/>
      <c r="AD341" s="2"/>
      <c r="AE341" s="291"/>
      <c r="AF341" s="2"/>
      <c r="AG341" s="2"/>
      <c r="AH341" s="2"/>
      <c r="AI341" s="29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2" customHeight="1" x14ac:dyDescent="0.35">
      <c r="A342" s="2"/>
      <c r="B342" s="2"/>
      <c r="C342" s="2"/>
      <c r="D342" s="2"/>
      <c r="E342" s="2"/>
      <c r="F342" s="2"/>
      <c r="G342" s="27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91"/>
      <c r="AC342" s="2"/>
      <c r="AD342" s="2"/>
      <c r="AE342" s="291"/>
      <c r="AF342" s="2"/>
      <c r="AG342" s="2"/>
      <c r="AH342" s="2"/>
      <c r="AI342" s="29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2" customHeight="1" x14ac:dyDescent="0.35">
      <c r="A343" s="2"/>
      <c r="B343" s="2"/>
      <c r="C343" s="2"/>
      <c r="D343" s="2"/>
      <c r="E343" s="2"/>
      <c r="F343" s="2"/>
      <c r="G343" s="27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91"/>
      <c r="AC343" s="2"/>
      <c r="AD343" s="2"/>
      <c r="AE343" s="291"/>
      <c r="AF343" s="2"/>
      <c r="AG343" s="2"/>
      <c r="AH343" s="2"/>
      <c r="AI343" s="29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2" customHeight="1" x14ac:dyDescent="0.35">
      <c r="A344" s="2"/>
      <c r="B344" s="2"/>
      <c r="C344" s="2"/>
      <c r="D344" s="2"/>
      <c r="E344" s="2"/>
      <c r="F344" s="2"/>
      <c r="G344" s="27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91"/>
      <c r="AC344" s="2"/>
      <c r="AD344" s="2"/>
      <c r="AE344" s="291"/>
      <c r="AF344" s="2"/>
      <c r="AG344" s="2"/>
      <c r="AH344" s="2"/>
      <c r="AI344" s="29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2" customHeight="1" x14ac:dyDescent="0.35">
      <c r="A345" s="2"/>
      <c r="B345" s="2"/>
      <c r="C345" s="2"/>
      <c r="D345" s="2"/>
      <c r="E345" s="2"/>
      <c r="F345" s="2"/>
      <c r="G345" s="27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91"/>
      <c r="AC345" s="2"/>
      <c r="AD345" s="2"/>
      <c r="AE345" s="291"/>
      <c r="AF345" s="2"/>
      <c r="AG345" s="2"/>
      <c r="AH345" s="2"/>
      <c r="AI345" s="29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2" customHeight="1" x14ac:dyDescent="0.35">
      <c r="A346" s="2"/>
      <c r="B346" s="2"/>
      <c r="C346" s="2"/>
      <c r="D346" s="2"/>
      <c r="E346" s="2"/>
      <c r="F346" s="2"/>
      <c r="G346" s="27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91"/>
      <c r="AC346" s="2"/>
      <c r="AD346" s="2"/>
      <c r="AE346" s="291"/>
      <c r="AF346" s="2"/>
      <c r="AG346" s="2"/>
      <c r="AH346" s="2"/>
      <c r="AI346" s="29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2" customHeight="1" x14ac:dyDescent="0.35">
      <c r="A347" s="2"/>
      <c r="B347" s="2"/>
      <c r="C347" s="2"/>
      <c r="D347" s="2"/>
      <c r="E347" s="2"/>
      <c r="F347" s="2"/>
      <c r="G347" s="27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91"/>
      <c r="AC347" s="2"/>
      <c r="AD347" s="2"/>
      <c r="AE347" s="291"/>
      <c r="AF347" s="2"/>
      <c r="AG347" s="2"/>
      <c r="AH347" s="2"/>
      <c r="AI347" s="29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2" customHeight="1" x14ac:dyDescent="0.35">
      <c r="A348" s="2"/>
      <c r="B348" s="2"/>
      <c r="C348" s="2"/>
      <c r="D348" s="2"/>
      <c r="E348" s="2"/>
      <c r="F348" s="2"/>
      <c r="G348" s="27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91"/>
      <c r="AC348" s="2"/>
      <c r="AD348" s="2"/>
      <c r="AE348" s="291"/>
      <c r="AF348" s="2"/>
      <c r="AG348" s="2"/>
      <c r="AH348" s="2"/>
      <c r="AI348" s="29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2" customHeight="1" x14ac:dyDescent="0.35">
      <c r="A349" s="2"/>
      <c r="B349" s="2"/>
      <c r="C349" s="2"/>
      <c r="D349" s="2"/>
      <c r="E349" s="2"/>
      <c r="F349" s="2"/>
      <c r="G349" s="27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91"/>
      <c r="AC349" s="2"/>
      <c r="AD349" s="2"/>
      <c r="AE349" s="291"/>
      <c r="AF349" s="2"/>
      <c r="AG349" s="2"/>
      <c r="AH349" s="2"/>
      <c r="AI349" s="29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2" customHeight="1" x14ac:dyDescent="0.35">
      <c r="A350" s="2"/>
      <c r="B350" s="2"/>
      <c r="C350" s="2"/>
      <c r="D350" s="2"/>
      <c r="E350" s="2"/>
      <c r="F350" s="2"/>
      <c r="G350" s="27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91"/>
      <c r="AC350" s="2"/>
      <c r="AD350" s="2"/>
      <c r="AE350" s="291"/>
      <c r="AF350" s="2"/>
      <c r="AG350" s="2"/>
      <c r="AH350" s="2"/>
      <c r="AI350" s="29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2" customHeight="1" x14ac:dyDescent="0.35">
      <c r="A351" s="2"/>
      <c r="B351" s="2"/>
      <c r="C351" s="2"/>
      <c r="D351" s="2"/>
      <c r="E351" s="2"/>
      <c r="F351" s="2"/>
      <c r="G351" s="27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91"/>
      <c r="AC351" s="2"/>
      <c r="AD351" s="2"/>
      <c r="AE351" s="291"/>
      <c r="AF351" s="2"/>
      <c r="AG351" s="2"/>
      <c r="AH351" s="2"/>
      <c r="AI351" s="29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2" customHeight="1" x14ac:dyDescent="0.35">
      <c r="A352" s="2"/>
      <c r="B352" s="2"/>
      <c r="C352" s="2"/>
      <c r="D352" s="2"/>
      <c r="E352" s="2"/>
      <c r="F352" s="2"/>
      <c r="G352" s="27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91"/>
      <c r="AC352" s="2"/>
      <c r="AD352" s="2"/>
      <c r="AE352" s="291"/>
      <c r="AF352" s="2"/>
      <c r="AG352" s="2"/>
      <c r="AH352" s="2"/>
      <c r="AI352" s="29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2" customHeight="1" x14ac:dyDescent="0.35">
      <c r="A353" s="2"/>
      <c r="B353" s="2"/>
      <c r="C353" s="2"/>
      <c r="D353" s="2"/>
      <c r="E353" s="2"/>
      <c r="F353" s="2"/>
      <c r="G353" s="27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91"/>
      <c r="AC353" s="2"/>
      <c r="AD353" s="2"/>
      <c r="AE353" s="291"/>
      <c r="AF353" s="2"/>
      <c r="AG353" s="2"/>
      <c r="AH353" s="2"/>
      <c r="AI353" s="29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2" customHeight="1" x14ac:dyDescent="0.35">
      <c r="A354" s="2"/>
      <c r="B354" s="2"/>
      <c r="C354" s="2"/>
      <c r="D354" s="2"/>
      <c r="E354" s="2"/>
      <c r="F354" s="2"/>
      <c r="G354" s="27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91"/>
      <c r="AC354" s="2"/>
      <c r="AD354" s="2"/>
      <c r="AE354" s="291"/>
      <c r="AF354" s="2"/>
      <c r="AG354" s="2"/>
      <c r="AH354" s="2"/>
      <c r="AI354" s="29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2" customHeight="1" x14ac:dyDescent="0.35">
      <c r="A355" s="2"/>
      <c r="B355" s="2"/>
      <c r="C355" s="2"/>
      <c r="D355" s="2"/>
      <c r="E355" s="2"/>
      <c r="F355" s="2"/>
      <c r="G355" s="27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91"/>
      <c r="AC355" s="2"/>
      <c r="AD355" s="2"/>
      <c r="AE355" s="291"/>
      <c r="AF355" s="2"/>
      <c r="AG355" s="2"/>
      <c r="AH355" s="2"/>
      <c r="AI355" s="29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2" customHeight="1" x14ac:dyDescent="0.35">
      <c r="A356" s="2"/>
      <c r="B356" s="2"/>
      <c r="C356" s="2"/>
      <c r="D356" s="2"/>
      <c r="E356" s="2"/>
      <c r="F356" s="2"/>
      <c r="G356" s="27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91"/>
      <c r="AC356" s="2"/>
      <c r="AD356" s="2"/>
      <c r="AE356" s="291"/>
      <c r="AF356" s="2"/>
      <c r="AG356" s="2"/>
      <c r="AH356" s="2"/>
      <c r="AI356" s="29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2" customHeight="1" x14ac:dyDescent="0.35">
      <c r="A357" s="2"/>
      <c r="B357" s="2"/>
      <c r="C357" s="2"/>
      <c r="D357" s="2"/>
      <c r="E357" s="2"/>
      <c r="F357" s="2"/>
      <c r="G357" s="27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91"/>
      <c r="AC357" s="2"/>
      <c r="AD357" s="2"/>
      <c r="AE357" s="291"/>
      <c r="AF357" s="2"/>
      <c r="AG357" s="2"/>
      <c r="AH357" s="2"/>
      <c r="AI357" s="29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2" customHeight="1" x14ac:dyDescent="0.35">
      <c r="A358" s="2"/>
      <c r="B358" s="2"/>
      <c r="C358" s="2"/>
      <c r="D358" s="2"/>
      <c r="E358" s="2"/>
      <c r="F358" s="2"/>
      <c r="G358" s="27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91"/>
      <c r="AC358" s="2"/>
      <c r="AD358" s="2"/>
      <c r="AE358" s="291"/>
      <c r="AF358" s="2"/>
      <c r="AG358" s="2"/>
      <c r="AH358" s="2"/>
      <c r="AI358" s="29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2" customHeight="1" x14ac:dyDescent="0.35">
      <c r="A359" s="2"/>
      <c r="B359" s="2"/>
      <c r="C359" s="2"/>
      <c r="D359" s="2"/>
      <c r="E359" s="2"/>
      <c r="F359" s="2"/>
      <c r="G359" s="27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91"/>
      <c r="AC359" s="2"/>
      <c r="AD359" s="2"/>
      <c r="AE359" s="291"/>
      <c r="AF359" s="2"/>
      <c r="AG359" s="2"/>
      <c r="AH359" s="2"/>
      <c r="AI359" s="29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2" customHeight="1" x14ac:dyDescent="0.35">
      <c r="A360" s="2"/>
      <c r="B360" s="2"/>
      <c r="C360" s="2"/>
      <c r="D360" s="2"/>
      <c r="E360" s="2"/>
      <c r="F360" s="2"/>
      <c r="G360" s="27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91"/>
      <c r="AC360" s="2"/>
      <c r="AD360" s="2"/>
      <c r="AE360" s="291"/>
      <c r="AF360" s="2"/>
      <c r="AG360" s="2"/>
      <c r="AH360" s="2"/>
      <c r="AI360" s="29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2" customHeight="1" x14ac:dyDescent="0.35">
      <c r="A361" s="2"/>
      <c r="B361" s="2"/>
      <c r="C361" s="2"/>
      <c r="D361" s="2"/>
      <c r="E361" s="2"/>
      <c r="F361" s="2"/>
      <c r="G361" s="27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91"/>
      <c r="AC361" s="2"/>
      <c r="AD361" s="2"/>
      <c r="AE361" s="291"/>
      <c r="AF361" s="2"/>
      <c r="AG361" s="2"/>
      <c r="AH361" s="2"/>
      <c r="AI361" s="29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2" customHeight="1" x14ac:dyDescent="0.35">
      <c r="A362" s="2"/>
      <c r="B362" s="2"/>
      <c r="C362" s="2"/>
      <c r="D362" s="2"/>
      <c r="E362" s="2"/>
      <c r="F362" s="2"/>
      <c r="G362" s="27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91"/>
      <c r="AC362" s="2"/>
      <c r="AD362" s="2"/>
      <c r="AE362" s="291"/>
      <c r="AF362" s="2"/>
      <c r="AG362" s="2"/>
      <c r="AH362" s="2"/>
      <c r="AI362" s="29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2" customHeight="1" x14ac:dyDescent="0.35">
      <c r="A363" s="2"/>
      <c r="B363" s="2"/>
      <c r="C363" s="2"/>
      <c r="D363" s="2"/>
      <c r="E363" s="2"/>
      <c r="F363" s="2"/>
      <c r="G363" s="27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91"/>
      <c r="AC363" s="2"/>
      <c r="AD363" s="2"/>
      <c r="AE363" s="291"/>
      <c r="AF363" s="2"/>
      <c r="AG363" s="2"/>
      <c r="AH363" s="2"/>
      <c r="AI363" s="29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2" customHeight="1" x14ac:dyDescent="0.35">
      <c r="A364" s="2"/>
      <c r="B364" s="2"/>
      <c r="C364" s="2"/>
      <c r="D364" s="2"/>
      <c r="E364" s="2"/>
      <c r="F364" s="2"/>
      <c r="G364" s="27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91"/>
      <c r="AC364" s="2"/>
      <c r="AD364" s="2"/>
      <c r="AE364" s="291"/>
      <c r="AF364" s="2"/>
      <c r="AG364" s="2"/>
      <c r="AH364" s="2"/>
      <c r="AI364" s="29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2" customHeight="1" x14ac:dyDescent="0.35">
      <c r="A365" s="2"/>
      <c r="B365" s="2"/>
      <c r="C365" s="2"/>
      <c r="D365" s="2"/>
      <c r="E365" s="2"/>
      <c r="F365" s="2"/>
      <c r="G365" s="27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91"/>
      <c r="AC365" s="2"/>
      <c r="AD365" s="2"/>
      <c r="AE365" s="291"/>
      <c r="AF365" s="2"/>
      <c r="AG365" s="2"/>
      <c r="AH365" s="2"/>
      <c r="AI365" s="29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2" customHeight="1" x14ac:dyDescent="0.35">
      <c r="A366" s="2"/>
      <c r="B366" s="2"/>
      <c r="C366" s="2"/>
      <c r="D366" s="2"/>
      <c r="E366" s="2"/>
      <c r="F366" s="2"/>
      <c r="G366" s="27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91"/>
      <c r="AC366" s="2"/>
      <c r="AD366" s="2"/>
      <c r="AE366" s="291"/>
      <c r="AF366" s="2"/>
      <c r="AG366" s="2"/>
      <c r="AH366" s="2"/>
      <c r="AI366" s="29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2" customHeight="1" x14ac:dyDescent="0.35">
      <c r="A367" s="2"/>
      <c r="B367" s="2"/>
      <c r="C367" s="2"/>
      <c r="D367" s="2"/>
      <c r="E367" s="2"/>
      <c r="F367" s="2"/>
      <c r="G367" s="27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91"/>
      <c r="AC367" s="2"/>
      <c r="AD367" s="2"/>
      <c r="AE367" s="291"/>
      <c r="AF367" s="2"/>
      <c r="AG367" s="2"/>
      <c r="AH367" s="2"/>
      <c r="AI367" s="29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2" customHeight="1" x14ac:dyDescent="0.35">
      <c r="A368" s="2"/>
      <c r="B368" s="2"/>
      <c r="C368" s="2"/>
      <c r="D368" s="2"/>
      <c r="E368" s="2"/>
      <c r="F368" s="2"/>
      <c r="G368" s="27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91"/>
      <c r="AC368" s="2"/>
      <c r="AD368" s="2"/>
      <c r="AE368" s="291"/>
      <c r="AF368" s="2"/>
      <c r="AG368" s="2"/>
      <c r="AH368" s="2"/>
      <c r="AI368" s="29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2" customHeight="1" x14ac:dyDescent="0.35">
      <c r="A369" s="2"/>
      <c r="B369" s="2"/>
      <c r="C369" s="2"/>
      <c r="D369" s="2"/>
      <c r="E369" s="2"/>
      <c r="F369" s="2"/>
      <c r="G369" s="27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91"/>
      <c r="AC369" s="2"/>
      <c r="AD369" s="2"/>
      <c r="AE369" s="291"/>
      <c r="AF369" s="2"/>
      <c r="AG369" s="2"/>
      <c r="AH369" s="2"/>
      <c r="AI369" s="29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2" customHeight="1" x14ac:dyDescent="0.35">
      <c r="A370" s="2"/>
      <c r="B370" s="2"/>
      <c r="C370" s="2"/>
      <c r="D370" s="2"/>
      <c r="E370" s="2"/>
      <c r="F370" s="2"/>
      <c r="G370" s="27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91"/>
      <c r="AC370" s="2"/>
      <c r="AD370" s="2"/>
      <c r="AE370" s="291"/>
      <c r="AF370" s="2"/>
      <c r="AG370" s="2"/>
      <c r="AH370" s="2"/>
      <c r="AI370" s="29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2" customHeight="1" x14ac:dyDescent="0.35">
      <c r="A371" s="2"/>
      <c r="B371" s="2"/>
      <c r="C371" s="2"/>
      <c r="D371" s="2"/>
      <c r="E371" s="2"/>
      <c r="F371" s="2"/>
      <c r="G371" s="27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91"/>
      <c r="AC371" s="2"/>
      <c r="AD371" s="2"/>
      <c r="AE371" s="291"/>
      <c r="AF371" s="2"/>
      <c r="AG371" s="2"/>
      <c r="AH371" s="2"/>
      <c r="AI371" s="29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2" customHeight="1" x14ac:dyDescent="0.35">
      <c r="A372" s="2"/>
      <c r="B372" s="2"/>
      <c r="C372" s="2"/>
      <c r="D372" s="2"/>
      <c r="E372" s="2"/>
      <c r="F372" s="2"/>
      <c r="G372" s="27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91"/>
      <c r="AC372" s="2"/>
      <c r="AD372" s="2"/>
      <c r="AE372" s="291"/>
      <c r="AF372" s="2"/>
      <c r="AG372" s="2"/>
      <c r="AH372" s="2"/>
      <c r="AI372" s="29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2" customHeight="1" x14ac:dyDescent="0.35">
      <c r="A373" s="2"/>
      <c r="B373" s="2"/>
      <c r="C373" s="2"/>
      <c r="D373" s="2"/>
      <c r="E373" s="2"/>
      <c r="F373" s="2"/>
      <c r="G373" s="27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91"/>
      <c r="AC373" s="2"/>
      <c r="AD373" s="2"/>
      <c r="AE373" s="291"/>
      <c r="AF373" s="2"/>
      <c r="AG373" s="2"/>
      <c r="AH373" s="2"/>
      <c r="AI373" s="29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2" customHeight="1" x14ac:dyDescent="0.35">
      <c r="A374" s="2"/>
      <c r="B374" s="2"/>
      <c r="C374" s="2"/>
      <c r="D374" s="2"/>
      <c r="E374" s="2"/>
      <c r="F374" s="2"/>
      <c r="G374" s="27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91"/>
      <c r="AC374" s="2"/>
      <c r="AD374" s="2"/>
      <c r="AE374" s="291"/>
      <c r="AF374" s="2"/>
      <c r="AG374" s="2"/>
      <c r="AH374" s="2"/>
      <c r="AI374" s="29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2" customHeight="1" x14ac:dyDescent="0.35">
      <c r="A375" s="2"/>
      <c r="B375" s="2"/>
      <c r="C375" s="2"/>
      <c r="D375" s="2"/>
      <c r="E375" s="2"/>
      <c r="F375" s="2"/>
      <c r="G375" s="27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91"/>
      <c r="AC375" s="2"/>
      <c r="AD375" s="2"/>
      <c r="AE375" s="291"/>
      <c r="AF375" s="2"/>
      <c r="AG375" s="2"/>
      <c r="AH375" s="2"/>
      <c r="AI375" s="29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2" customHeight="1" x14ac:dyDescent="0.35">
      <c r="A376" s="2"/>
      <c r="B376" s="2"/>
      <c r="C376" s="2"/>
      <c r="D376" s="2"/>
      <c r="E376" s="2"/>
      <c r="F376" s="2"/>
      <c r="G376" s="27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91"/>
      <c r="AC376" s="2"/>
      <c r="AD376" s="2"/>
      <c r="AE376" s="291"/>
      <c r="AF376" s="2"/>
      <c r="AG376" s="2"/>
      <c r="AH376" s="2"/>
      <c r="AI376" s="29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2" customHeight="1" x14ac:dyDescent="0.35">
      <c r="A377" s="2"/>
      <c r="B377" s="2"/>
      <c r="C377" s="2"/>
      <c r="D377" s="2"/>
      <c r="E377" s="2"/>
      <c r="F377" s="2"/>
      <c r="G377" s="27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91"/>
      <c r="AC377" s="2"/>
      <c r="AD377" s="2"/>
      <c r="AE377" s="291"/>
      <c r="AF377" s="2"/>
      <c r="AG377" s="2"/>
      <c r="AH377" s="2"/>
      <c r="AI377" s="29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2" customHeight="1" x14ac:dyDescent="0.35">
      <c r="A378" s="2"/>
      <c r="B378" s="2"/>
      <c r="C378" s="2"/>
      <c r="D378" s="2"/>
      <c r="E378" s="2"/>
      <c r="F378" s="2"/>
      <c r="G378" s="27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91"/>
      <c r="AC378" s="2"/>
      <c r="AD378" s="2"/>
      <c r="AE378" s="291"/>
      <c r="AF378" s="2"/>
      <c r="AG378" s="2"/>
      <c r="AH378" s="2"/>
      <c r="AI378" s="29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2" customHeight="1" x14ac:dyDescent="0.35">
      <c r="A379" s="2"/>
      <c r="B379" s="2"/>
      <c r="C379" s="2"/>
      <c r="D379" s="2"/>
      <c r="E379" s="2"/>
      <c r="F379" s="2"/>
      <c r="G379" s="27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91"/>
      <c r="AC379" s="2"/>
      <c r="AD379" s="2"/>
      <c r="AE379" s="291"/>
      <c r="AF379" s="2"/>
      <c r="AG379" s="2"/>
      <c r="AH379" s="2"/>
      <c r="AI379" s="29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2" customHeight="1" x14ac:dyDescent="0.35">
      <c r="A380" s="2"/>
      <c r="B380" s="2"/>
      <c r="C380" s="2"/>
      <c r="D380" s="2"/>
      <c r="E380" s="2"/>
      <c r="F380" s="2"/>
      <c r="G380" s="27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91"/>
      <c r="AC380" s="2"/>
      <c r="AD380" s="2"/>
      <c r="AE380" s="291"/>
      <c r="AF380" s="2"/>
      <c r="AG380" s="2"/>
      <c r="AH380" s="2"/>
      <c r="AI380" s="29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2" customHeight="1" x14ac:dyDescent="0.35">
      <c r="A381" s="2"/>
      <c r="B381" s="2"/>
      <c r="C381" s="2"/>
      <c r="D381" s="2"/>
      <c r="E381" s="2"/>
      <c r="F381" s="2"/>
      <c r="G381" s="27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91"/>
      <c r="AC381" s="2"/>
      <c r="AD381" s="2"/>
      <c r="AE381" s="291"/>
      <c r="AF381" s="2"/>
      <c r="AG381" s="2"/>
      <c r="AH381" s="2"/>
      <c r="AI381" s="29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2" customHeight="1" x14ac:dyDescent="0.35">
      <c r="A382" s="2"/>
      <c r="B382" s="2"/>
      <c r="C382" s="2"/>
      <c r="D382" s="2"/>
      <c r="E382" s="2"/>
      <c r="F382" s="2"/>
      <c r="G382" s="27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91"/>
      <c r="AC382" s="2"/>
      <c r="AD382" s="2"/>
      <c r="AE382" s="291"/>
      <c r="AF382" s="2"/>
      <c r="AG382" s="2"/>
      <c r="AH382" s="2"/>
      <c r="AI382" s="29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2" customHeight="1" x14ac:dyDescent="0.35">
      <c r="A383" s="2"/>
      <c r="B383" s="2"/>
      <c r="C383" s="2"/>
      <c r="D383" s="2"/>
      <c r="E383" s="2"/>
      <c r="F383" s="2"/>
      <c r="G383" s="27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91"/>
      <c r="AC383" s="2"/>
      <c r="AD383" s="2"/>
      <c r="AE383" s="291"/>
      <c r="AF383" s="2"/>
      <c r="AG383" s="2"/>
      <c r="AH383" s="2"/>
      <c r="AI383" s="29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2" customHeight="1" x14ac:dyDescent="0.35">
      <c r="A384" s="2"/>
      <c r="B384" s="2"/>
      <c r="C384" s="2"/>
      <c r="D384" s="2"/>
      <c r="E384" s="2"/>
      <c r="F384" s="2"/>
      <c r="G384" s="27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91"/>
      <c r="AC384" s="2"/>
      <c r="AD384" s="2"/>
      <c r="AE384" s="291"/>
      <c r="AF384" s="2"/>
      <c r="AG384" s="2"/>
      <c r="AH384" s="2"/>
      <c r="AI384" s="29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2" customHeight="1" x14ac:dyDescent="0.35">
      <c r="A385" s="2"/>
      <c r="B385" s="2"/>
      <c r="C385" s="2"/>
      <c r="D385" s="2"/>
      <c r="E385" s="2"/>
      <c r="F385" s="2"/>
      <c r="G385" s="27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91"/>
      <c r="AC385" s="2"/>
      <c r="AD385" s="2"/>
      <c r="AE385" s="291"/>
      <c r="AF385" s="2"/>
      <c r="AG385" s="2"/>
      <c r="AH385" s="2"/>
      <c r="AI385" s="29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2" customHeight="1" x14ac:dyDescent="0.35">
      <c r="A386" s="2"/>
      <c r="B386" s="2"/>
      <c r="C386" s="2"/>
      <c r="D386" s="2"/>
      <c r="E386" s="2"/>
      <c r="F386" s="2"/>
      <c r="G386" s="27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91"/>
      <c r="AC386" s="2"/>
      <c r="AD386" s="2"/>
      <c r="AE386" s="291"/>
      <c r="AF386" s="2"/>
      <c r="AG386" s="2"/>
      <c r="AH386" s="2"/>
      <c r="AI386" s="29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2" customHeight="1" x14ac:dyDescent="0.35">
      <c r="A387" s="2"/>
      <c r="B387" s="2"/>
      <c r="C387" s="2"/>
      <c r="D387" s="2"/>
      <c r="E387" s="2"/>
      <c r="F387" s="2"/>
      <c r="G387" s="27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91"/>
      <c r="AC387" s="2"/>
      <c r="AD387" s="2"/>
      <c r="AE387" s="291"/>
      <c r="AF387" s="2"/>
      <c r="AG387" s="2"/>
      <c r="AH387" s="2"/>
      <c r="AI387" s="29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2" customHeight="1" x14ac:dyDescent="0.35">
      <c r="A388" s="2"/>
      <c r="B388" s="2"/>
      <c r="C388" s="2"/>
      <c r="D388" s="2"/>
      <c r="E388" s="2"/>
      <c r="F388" s="2"/>
      <c r="G388" s="27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91"/>
      <c r="AC388" s="2"/>
      <c r="AD388" s="2"/>
      <c r="AE388" s="291"/>
      <c r="AF388" s="2"/>
      <c r="AG388" s="2"/>
      <c r="AH388" s="2"/>
      <c r="AI388" s="29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2" customHeight="1" x14ac:dyDescent="0.35">
      <c r="A389" s="2"/>
      <c r="B389" s="2"/>
      <c r="C389" s="2"/>
      <c r="D389" s="2"/>
      <c r="E389" s="2"/>
      <c r="F389" s="2"/>
      <c r="G389" s="27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91"/>
      <c r="AC389" s="2"/>
      <c r="AD389" s="2"/>
      <c r="AE389" s="291"/>
      <c r="AF389" s="2"/>
      <c r="AG389" s="2"/>
      <c r="AH389" s="2"/>
      <c r="AI389" s="29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2" customHeight="1" x14ac:dyDescent="0.35">
      <c r="A390" s="2"/>
      <c r="B390" s="2"/>
      <c r="C390" s="2"/>
      <c r="D390" s="2"/>
      <c r="E390" s="2"/>
      <c r="F390" s="2"/>
      <c r="G390" s="27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91"/>
      <c r="AC390" s="2"/>
      <c r="AD390" s="2"/>
      <c r="AE390" s="291"/>
      <c r="AF390" s="2"/>
      <c r="AG390" s="2"/>
      <c r="AH390" s="2"/>
      <c r="AI390" s="29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2" customHeight="1" x14ac:dyDescent="0.35">
      <c r="A391" s="2"/>
      <c r="B391" s="2"/>
      <c r="C391" s="2"/>
      <c r="D391" s="2"/>
      <c r="E391" s="2"/>
      <c r="F391" s="2"/>
      <c r="G391" s="27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91"/>
      <c r="AC391" s="2"/>
      <c r="AD391" s="2"/>
      <c r="AE391" s="291"/>
      <c r="AF391" s="2"/>
      <c r="AG391" s="2"/>
      <c r="AH391" s="2"/>
      <c r="AI391" s="29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2" customHeight="1" x14ac:dyDescent="0.35">
      <c r="A392" s="2"/>
      <c r="B392" s="2"/>
      <c r="C392" s="2"/>
      <c r="D392" s="2"/>
      <c r="E392" s="2"/>
      <c r="F392" s="2"/>
      <c r="G392" s="27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91"/>
      <c r="AC392" s="2"/>
      <c r="AD392" s="2"/>
      <c r="AE392" s="291"/>
      <c r="AF392" s="2"/>
      <c r="AG392" s="2"/>
      <c r="AH392" s="2"/>
      <c r="AI392" s="29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2" customHeight="1" x14ac:dyDescent="0.35">
      <c r="A393" s="2"/>
      <c r="B393" s="2"/>
      <c r="C393" s="2"/>
      <c r="D393" s="2"/>
      <c r="E393" s="2"/>
      <c r="F393" s="2"/>
      <c r="G393" s="27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91"/>
      <c r="AC393" s="2"/>
      <c r="AD393" s="2"/>
      <c r="AE393" s="291"/>
      <c r="AF393" s="2"/>
      <c r="AG393" s="2"/>
      <c r="AH393" s="2"/>
      <c r="AI393" s="29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2" customHeight="1" x14ac:dyDescent="0.35">
      <c r="A394" s="2"/>
      <c r="B394" s="2"/>
      <c r="C394" s="2"/>
      <c r="D394" s="2"/>
      <c r="E394" s="2"/>
      <c r="F394" s="2"/>
      <c r="G394" s="27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91"/>
      <c r="AC394" s="2"/>
      <c r="AD394" s="2"/>
      <c r="AE394" s="291"/>
      <c r="AF394" s="2"/>
      <c r="AG394" s="2"/>
      <c r="AH394" s="2"/>
      <c r="AI394" s="29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2" customHeight="1" x14ac:dyDescent="0.35">
      <c r="A395" s="2"/>
      <c r="B395" s="2"/>
      <c r="C395" s="2"/>
      <c r="D395" s="2"/>
      <c r="E395" s="2"/>
      <c r="F395" s="2"/>
      <c r="G395" s="27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91"/>
      <c r="AC395" s="2"/>
      <c r="AD395" s="2"/>
      <c r="AE395" s="291"/>
      <c r="AF395" s="2"/>
      <c r="AG395" s="2"/>
      <c r="AH395" s="2"/>
      <c r="AI395" s="29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2" customHeight="1" x14ac:dyDescent="0.35">
      <c r="A396" s="2"/>
      <c r="B396" s="2"/>
      <c r="C396" s="2"/>
      <c r="D396" s="2"/>
      <c r="E396" s="2"/>
      <c r="F396" s="2"/>
      <c r="G396" s="27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91"/>
      <c r="AC396" s="2"/>
      <c r="AD396" s="2"/>
      <c r="AE396" s="291"/>
      <c r="AF396" s="2"/>
      <c r="AG396" s="2"/>
      <c r="AH396" s="2"/>
      <c r="AI396" s="29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2" customHeight="1" x14ac:dyDescent="0.35">
      <c r="A397" s="2"/>
      <c r="B397" s="2"/>
      <c r="C397" s="2"/>
      <c r="D397" s="2"/>
      <c r="E397" s="2"/>
      <c r="F397" s="2"/>
      <c r="G397" s="27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91"/>
      <c r="AC397" s="2"/>
      <c r="AD397" s="2"/>
      <c r="AE397" s="291"/>
      <c r="AF397" s="2"/>
      <c r="AG397" s="2"/>
      <c r="AH397" s="2"/>
      <c r="AI397" s="29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2" customHeight="1" x14ac:dyDescent="0.35">
      <c r="A398" s="2"/>
      <c r="B398" s="2"/>
      <c r="C398" s="2"/>
      <c r="D398" s="2"/>
      <c r="E398" s="2"/>
      <c r="F398" s="2"/>
      <c r="G398" s="27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91"/>
      <c r="AC398" s="2"/>
      <c r="AD398" s="2"/>
      <c r="AE398" s="291"/>
      <c r="AF398" s="2"/>
      <c r="AG398" s="2"/>
      <c r="AH398" s="2"/>
      <c r="AI398" s="29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2" customHeight="1" x14ac:dyDescent="0.35">
      <c r="A399" s="2"/>
      <c r="B399" s="2"/>
      <c r="C399" s="2"/>
      <c r="D399" s="2"/>
      <c r="E399" s="2"/>
      <c r="F399" s="2"/>
      <c r="G399" s="27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91"/>
      <c r="AC399" s="2"/>
      <c r="AD399" s="2"/>
      <c r="AE399" s="291"/>
      <c r="AF399" s="2"/>
      <c r="AG399" s="2"/>
      <c r="AH399" s="2"/>
      <c r="AI399" s="29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2" customHeight="1" x14ac:dyDescent="0.35">
      <c r="A400" s="2"/>
      <c r="B400" s="2"/>
      <c r="C400" s="2"/>
      <c r="D400" s="2"/>
      <c r="E400" s="2"/>
      <c r="F400" s="2"/>
      <c r="G400" s="27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91"/>
      <c r="AC400" s="2"/>
      <c r="AD400" s="2"/>
      <c r="AE400" s="291"/>
      <c r="AF400" s="2"/>
      <c r="AG400" s="2"/>
      <c r="AH400" s="2"/>
      <c r="AI400" s="29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2" customHeight="1" x14ac:dyDescent="0.35">
      <c r="A401" s="2"/>
      <c r="B401" s="2"/>
      <c r="C401" s="2"/>
      <c r="D401" s="2"/>
      <c r="E401" s="2"/>
      <c r="F401" s="2"/>
      <c r="G401" s="27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91"/>
      <c r="AC401" s="2"/>
      <c r="AD401" s="2"/>
      <c r="AE401" s="291"/>
      <c r="AF401" s="2"/>
      <c r="AG401" s="2"/>
      <c r="AH401" s="2"/>
      <c r="AI401" s="29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2" customHeight="1" x14ac:dyDescent="0.35">
      <c r="A402" s="2"/>
      <c r="B402" s="2"/>
      <c r="C402" s="2"/>
      <c r="D402" s="2"/>
      <c r="E402" s="2"/>
      <c r="F402" s="2"/>
      <c r="G402" s="27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91"/>
      <c r="AC402" s="2"/>
      <c r="AD402" s="2"/>
      <c r="AE402" s="291"/>
      <c r="AF402" s="2"/>
      <c r="AG402" s="2"/>
      <c r="AH402" s="2"/>
      <c r="AI402" s="29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2" customHeight="1" x14ac:dyDescent="0.35">
      <c r="A403" s="2"/>
      <c r="B403" s="2"/>
      <c r="C403" s="2"/>
      <c r="D403" s="2"/>
      <c r="E403" s="2"/>
      <c r="F403" s="2"/>
      <c r="G403" s="27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91"/>
      <c r="AC403" s="2"/>
      <c r="AD403" s="2"/>
      <c r="AE403" s="291"/>
      <c r="AF403" s="2"/>
      <c r="AG403" s="2"/>
      <c r="AH403" s="2"/>
      <c r="AI403" s="29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2" customHeight="1" x14ac:dyDescent="0.35">
      <c r="A404" s="2"/>
      <c r="B404" s="2"/>
      <c r="C404" s="2"/>
      <c r="D404" s="2"/>
      <c r="E404" s="2"/>
      <c r="F404" s="2"/>
      <c r="G404" s="27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91"/>
      <c r="AC404" s="2"/>
      <c r="AD404" s="2"/>
      <c r="AE404" s="291"/>
      <c r="AF404" s="2"/>
      <c r="AG404" s="2"/>
      <c r="AH404" s="2"/>
      <c r="AI404" s="29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2" customHeight="1" x14ac:dyDescent="0.35">
      <c r="A405" s="2"/>
      <c r="B405" s="2"/>
      <c r="C405" s="2"/>
      <c r="D405" s="2"/>
      <c r="E405" s="2"/>
      <c r="F405" s="2"/>
      <c r="G405" s="27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91"/>
      <c r="AC405" s="2"/>
      <c r="AD405" s="2"/>
      <c r="AE405" s="291"/>
      <c r="AF405" s="2"/>
      <c r="AG405" s="2"/>
      <c r="AH405" s="2"/>
      <c r="AI405" s="29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2" customHeight="1" x14ac:dyDescent="0.35">
      <c r="A406" s="2"/>
      <c r="B406" s="2"/>
      <c r="C406" s="2"/>
      <c r="D406" s="2"/>
      <c r="E406" s="2"/>
      <c r="F406" s="2"/>
      <c r="G406" s="27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91"/>
      <c r="AC406" s="2"/>
      <c r="AD406" s="2"/>
      <c r="AE406" s="291"/>
      <c r="AF406" s="2"/>
      <c r="AG406" s="2"/>
      <c r="AH406" s="2"/>
      <c r="AI406" s="29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2" customHeight="1" x14ac:dyDescent="0.35">
      <c r="A407" s="2"/>
      <c r="B407" s="2"/>
      <c r="C407" s="2"/>
      <c r="D407" s="2"/>
      <c r="E407" s="2"/>
      <c r="F407" s="2"/>
      <c r="G407" s="27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91"/>
      <c r="AC407" s="2"/>
      <c r="AD407" s="2"/>
      <c r="AE407" s="291"/>
      <c r="AF407" s="2"/>
      <c r="AG407" s="2"/>
      <c r="AH407" s="2"/>
      <c r="AI407" s="29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2" customHeight="1" x14ac:dyDescent="0.35">
      <c r="A408" s="2"/>
      <c r="B408" s="2"/>
      <c r="C408" s="2"/>
      <c r="D408" s="2"/>
      <c r="E408" s="2"/>
      <c r="F408" s="2"/>
      <c r="G408" s="27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91"/>
      <c r="AC408" s="2"/>
      <c r="AD408" s="2"/>
      <c r="AE408" s="291"/>
      <c r="AF408" s="2"/>
      <c r="AG408" s="2"/>
      <c r="AH408" s="2"/>
      <c r="AI408" s="29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2" customHeight="1" x14ac:dyDescent="0.35">
      <c r="A409" s="2"/>
      <c r="B409" s="2"/>
      <c r="C409" s="2"/>
      <c r="D409" s="2"/>
      <c r="E409" s="2"/>
      <c r="F409" s="2"/>
      <c r="G409" s="27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91"/>
      <c r="AC409" s="2"/>
      <c r="AD409" s="2"/>
      <c r="AE409" s="291"/>
      <c r="AF409" s="2"/>
      <c r="AG409" s="2"/>
      <c r="AH409" s="2"/>
      <c r="AI409" s="29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2" customHeight="1" x14ac:dyDescent="0.35">
      <c r="A410" s="2"/>
      <c r="B410" s="2"/>
      <c r="C410" s="2"/>
      <c r="D410" s="2"/>
      <c r="E410" s="2"/>
      <c r="F410" s="2"/>
      <c r="G410" s="27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91"/>
      <c r="AC410" s="2"/>
      <c r="AD410" s="2"/>
      <c r="AE410" s="291"/>
      <c r="AF410" s="2"/>
      <c r="AG410" s="2"/>
      <c r="AH410" s="2"/>
      <c r="AI410" s="29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2" customHeight="1" x14ac:dyDescent="0.35">
      <c r="A411" s="2"/>
      <c r="B411" s="2"/>
      <c r="C411" s="2"/>
      <c r="D411" s="2"/>
      <c r="E411" s="2"/>
      <c r="F411" s="2"/>
      <c r="G411" s="27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91"/>
      <c r="AC411" s="2"/>
      <c r="AD411" s="2"/>
      <c r="AE411" s="291"/>
      <c r="AF411" s="2"/>
      <c r="AG411" s="2"/>
      <c r="AH411" s="2"/>
      <c r="AI411" s="29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2" customHeight="1" x14ac:dyDescent="0.35">
      <c r="A412" s="2"/>
      <c r="B412" s="2"/>
      <c r="C412" s="2"/>
      <c r="D412" s="2"/>
      <c r="E412" s="2"/>
      <c r="F412" s="2"/>
      <c r="G412" s="27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91"/>
      <c r="AC412" s="2"/>
      <c r="AD412" s="2"/>
      <c r="AE412" s="291"/>
      <c r="AF412" s="2"/>
      <c r="AG412" s="2"/>
      <c r="AH412" s="2"/>
      <c r="AI412" s="29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2" customHeight="1" x14ac:dyDescent="0.35">
      <c r="A413" s="2"/>
      <c r="B413" s="2"/>
      <c r="C413" s="2"/>
      <c r="D413" s="2"/>
      <c r="E413" s="2"/>
      <c r="F413" s="2"/>
      <c r="G413" s="27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91"/>
      <c r="AC413" s="2"/>
      <c r="AD413" s="2"/>
      <c r="AE413" s="291"/>
      <c r="AF413" s="2"/>
      <c r="AG413" s="2"/>
      <c r="AH413" s="2"/>
      <c r="AI413" s="29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2" customHeight="1" x14ac:dyDescent="0.35">
      <c r="A414" s="2"/>
      <c r="B414" s="2"/>
      <c r="C414" s="2"/>
      <c r="D414" s="2"/>
      <c r="E414" s="2"/>
      <c r="F414" s="2"/>
      <c r="G414" s="27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91"/>
      <c r="AC414" s="2"/>
      <c r="AD414" s="2"/>
      <c r="AE414" s="291"/>
      <c r="AF414" s="2"/>
      <c r="AG414" s="2"/>
      <c r="AH414" s="2"/>
      <c r="AI414" s="29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2" customHeight="1" x14ac:dyDescent="0.35">
      <c r="A415" s="2"/>
      <c r="B415" s="2"/>
      <c r="C415" s="2"/>
      <c r="D415" s="2"/>
      <c r="E415" s="2"/>
      <c r="F415" s="2"/>
      <c r="G415" s="27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91"/>
      <c r="AC415" s="2"/>
      <c r="AD415" s="2"/>
      <c r="AE415" s="291"/>
      <c r="AF415" s="2"/>
      <c r="AG415" s="2"/>
      <c r="AH415" s="2"/>
      <c r="AI415" s="29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2" customHeight="1" x14ac:dyDescent="0.35">
      <c r="A416" s="2"/>
      <c r="B416" s="2"/>
      <c r="C416" s="2"/>
      <c r="D416" s="2"/>
      <c r="E416" s="2"/>
      <c r="F416" s="2"/>
      <c r="G416" s="27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91"/>
      <c r="AC416" s="2"/>
      <c r="AD416" s="2"/>
      <c r="AE416" s="291"/>
      <c r="AF416" s="2"/>
      <c r="AG416" s="2"/>
      <c r="AH416" s="2"/>
      <c r="AI416" s="29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2" customHeight="1" x14ac:dyDescent="0.35">
      <c r="A417" s="2"/>
      <c r="B417" s="2"/>
      <c r="C417" s="2"/>
      <c r="D417" s="2"/>
      <c r="E417" s="2"/>
      <c r="F417" s="2"/>
      <c r="G417" s="27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91"/>
      <c r="AC417" s="2"/>
      <c r="AD417" s="2"/>
      <c r="AE417" s="291"/>
      <c r="AF417" s="2"/>
      <c r="AG417" s="2"/>
      <c r="AH417" s="2"/>
      <c r="AI417" s="29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2" customHeight="1" x14ac:dyDescent="0.35">
      <c r="A418" s="2"/>
      <c r="B418" s="2"/>
      <c r="C418" s="2"/>
      <c r="D418" s="2"/>
      <c r="E418" s="2"/>
      <c r="F418" s="2"/>
      <c r="G418" s="27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91"/>
      <c r="AC418" s="2"/>
      <c r="AD418" s="2"/>
      <c r="AE418" s="291"/>
      <c r="AF418" s="2"/>
      <c r="AG418" s="2"/>
      <c r="AH418" s="2"/>
      <c r="AI418" s="29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2" customHeight="1" x14ac:dyDescent="0.35">
      <c r="A419" s="2"/>
      <c r="B419" s="2"/>
      <c r="C419" s="2"/>
      <c r="D419" s="2"/>
      <c r="E419" s="2"/>
      <c r="F419" s="2"/>
      <c r="G419" s="27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91"/>
      <c r="AC419" s="2"/>
      <c r="AD419" s="2"/>
      <c r="AE419" s="291"/>
      <c r="AF419" s="2"/>
      <c r="AG419" s="2"/>
      <c r="AH419" s="2"/>
      <c r="AI419" s="29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2" customHeight="1" x14ac:dyDescent="0.35">
      <c r="A420" s="2"/>
      <c r="B420" s="2"/>
      <c r="C420" s="2"/>
      <c r="D420" s="2"/>
      <c r="E420" s="2"/>
      <c r="F420" s="2"/>
      <c r="G420" s="27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91"/>
      <c r="AC420" s="2"/>
      <c r="AD420" s="2"/>
      <c r="AE420" s="291"/>
      <c r="AF420" s="2"/>
      <c r="AG420" s="2"/>
      <c r="AH420" s="2"/>
      <c r="AI420" s="29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2" customHeight="1" x14ac:dyDescent="0.35">
      <c r="A421" s="2"/>
      <c r="B421" s="2"/>
      <c r="C421" s="2"/>
      <c r="D421" s="2"/>
      <c r="E421" s="2"/>
      <c r="F421" s="2"/>
      <c r="G421" s="27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91"/>
      <c r="AC421" s="2"/>
      <c r="AD421" s="2"/>
      <c r="AE421" s="291"/>
      <c r="AF421" s="2"/>
      <c r="AG421" s="2"/>
      <c r="AH421" s="2"/>
      <c r="AI421" s="29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2" customHeight="1" x14ac:dyDescent="0.35">
      <c r="A422" s="2"/>
      <c r="B422" s="2"/>
      <c r="C422" s="2"/>
      <c r="D422" s="2"/>
      <c r="E422" s="2"/>
      <c r="F422" s="2"/>
      <c r="G422" s="27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91"/>
      <c r="AC422" s="2"/>
      <c r="AD422" s="2"/>
      <c r="AE422" s="291"/>
      <c r="AF422" s="2"/>
      <c r="AG422" s="2"/>
      <c r="AH422" s="2"/>
      <c r="AI422" s="29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2" customHeight="1" x14ac:dyDescent="0.35">
      <c r="A423" s="2"/>
      <c r="B423" s="2"/>
      <c r="C423" s="2"/>
      <c r="D423" s="2"/>
      <c r="E423" s="2"/>
      <c r="F423" s="2"/>
      <c r="G423" s="27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91"/>
      <c r="AC423" s="2"/>
      <c r="AD423" s="2"/>
      <c r="AE423" s="291"/>
      <c r="AF423" s="2"/>
      <c r="AG423" s="2"/>
      <c r="AH423" s="2"/>
      <c r="AI423" s="29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2" customHeight="1" x14ac:dyDescent="0.35">
      <c r="A424" s="2"/>
      <c r="B424" s="2"/>
      <c r="C424" s="2"/>
      <c r="D424" s="2"/>
      <c r="E424" s="2"/>
      <c r="F424" s="2"/>
      <c r="G424" s="27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91"/>
      <c r="AC424" s="2"/>
      <c r="AD424" s="2"/>
      <c r="AE424" s="291"/>
      <c r="AF424" s="2"/>
      <c r="AG424" s="2"/>
      <c r="AH424" s="2"/>
      <c r="AI424" s="29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2" customHeight="1" x14ac:dyDescent="0.35">
      <c r="A425" s="2"/>
      <c r="B425" s="2"/>
      <c r="C425" s="2"/>
      <c r="D425" s="2"/>
      <c r="E425" s="2"/>
      <c r="F425" s="2"/>
      <c r="G425" s="27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91"/>
      <c r="AC425" s="2"/>
      <c r="AD425" s="2"/>
      <c r="AE425" s="291"/>
      <c r="AF425" s="2"/>
      <c r="AG425" s="2"/>
      <c r="AH425" s="2"/>
      <c r="AI425" s="29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2" customHeight="1" x14ac:dyDescent="0.35">
      <c r="A426" s="2"/>
      <c r="B426" s="2"/>
      <c r="C426" s="2"/>
      <c r="D426" s="2"/>
      <c r="E426" s="2"/>
      <c r="F426" s="2"/>
      <c r="G426" s="27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91"/>
      <c r="AC426" s="2"/>
      <c r="AD426" s="2"/>
      <c r="AE426" s="291"/>
      <c r="AF426" s="2"/>
      <c r="AG426" s="2"/>
      <c r="AH426" s="2"/>
      <c r="AI426" s="29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2" customHeight="1" x14ac:dyDescent="0.35">
      <c r="A427" s="2"/>
      <c r="B427" s="2"/>
      <c r="C427" s="2"/>
      <c r="D427" s="2"/>
      <c r="E427" s="2"/>
      <c r="F427" s="2"/>
      <c r="G427" s="27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91"/>
      <c r="AC427" s="2"/>
      <c r="AD427" s="2"/>
      <c r="AE427" s="291"/>
      <c r="AF427" s="2"/>
      <c r="AG427" s="2"/>
      <c r="AH427" s="2"/>
      <c r="AI427" s="29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2" customHeight="1" x14ac:dyDescent="0.35">
      <c r="A428" s="2"/>
      <c r="B428" s="2"/>
      <c r="C428" s="2"/>
      <c r="D428" s="2"/>
      <c r="E428" s="2"/>
      <c r="F428" s="2"/>
      <c r="G428" s="27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91"/>
      <c r="AC428" s="2"/>
      <c r="AD428" s="2"/>
      <c r="AE428" s="291"/>
      <c r="AF428" s="2"/>
      <c r="AG428" s="2"/>
      <c r="AH428" s="2"/>
      <c r="AI428" s="29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2" customHeight="1" x14ac:dyDescent="0.35">
      <c r="A429" s="2"/>
      <c r="B429" s="2"/>
      <c r="C429" s="2"/>
      <c r="D429" s="2"/>
      <c r="E429" s="2"/>
      <c r="F429" s="2"/>
      <c r="G429" s="27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91"/>
      <c r="AC429" s="2"/>
      <c r="AD429" s="2"/>
      <c r="AE429" s="291"/>
      <c r="AF429" s="2"/>
      <c r="AG429" s="2"/>
      <c r="AH429" s="2"/>
      <c r="AI429" s="29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2" customHeight="1" x14ac:dyDescent="0.35">
      <c r="A430" s="2"/>
      <c r="B430" s="2"/>
      <c r="C430" s="2"/>
      <c r="D430" s="2"/>
      <c r="E430" s="2"/>
      <c r="F430" s="2"/>
      <c r="G430" s="27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91"/>
      <c r="AC430" s="2"/>
      <c r="AD430" s="2"/>
      <c r="AE430" s="291"/>
      <c r="AF430" s="2"/>
      <c r="AG430" s="2"/>
      <c r="AH430" s="2"/>
      <c r="AI430" s="29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2" customHeight="1" x14ac:dyDescent="0.35">
      <c r="A431" s="2"/>
      <c r="B431" s="2"/>
      <c r="C431" s="2"/>
      <c r="D431" s="2"/>
      <c r="E431" s="2"/>
      <c r="F431" s="2"/>
      <c r="G431" s="27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91"/>
      <c r="AC431" s="2"/>
      <c r="AD431" s="2"/>
      <c r="AE431" s="291"/>
      <c r="AF431" s="2"/>
      <c r="AG431" s="2"/>
      <c r="AH431" s="2"/>
      <c r="AI431" s="29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2" customHeight="1" x14ac:dyDescent="0.35">
      <c r="A432" s="2"/>
      <c r="B432" s="2"/>
      <c r="C432" s="2"/>
      <c r="D432" s="2"/>
      <c r="E432" s="2"/>
      <c r="F432" s="2"/>
      <c r="G432" s="27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91"/>
      <c r="AC432" s="2"/>
      <c r="AD432" s="2"/>
      <c r="AE432" s="291"/>
      <c r="AF432" s="2"/>
      <c r="AG432" s="2"/>
      <c r="AH432" s="2"/>
      <c r="AI432" s="29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2" customHeight="1" x14ac:dyDescent="0.35">
      <c r="A433" s="2"/>
      <c r="B433" s="2"/>
      <c r="C433" s="2"/>
      <c r="D433" s="2"/>
      <c r="E433" s="2"/>
      <c r="F433" s="2"/>
      <c r="G433" s="27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91"/>
      <c r="AC433" s="2"/>
      <c r="AD433" s="2"/>
      <c r="AE433" s="291"/>
      <c r="AF433" s="2"/>
      <c r="AG433" s="2"/>
      <c r="AH433" s="2"/>
      <c r="AI433" s="29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2" customHeight="1" x14ac:dyDescent="0.35">
      <c r="A434" s="2"/>
      <c r="B434" s="2"/>
      <c r="C434" s="2"/>
      <c r="D434" s="2"/>
      <c r="E434" s="2"/>
      <c r="F434" s="2"/>
      <c r="G434" s="27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91"/>
      <c r="AC434" s="2"/>
      <c r="AD434" s="2"/>
      <c r="AE434" s="291"/>
      <c r="AF434" s="2"/>
      <c r="AG434" s="2"/>
      <c r="AH434" s="2"/>
      <c r="AI434" s="29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2" customHeight="1" x14ac:dyDescent="0.35">
      <c r="A435" s="2"/>
      <c r="B435" s="2"/>
      <c r="C435" s="2"/>
      <c r="D435" s="2"/>
      <c r="E435" s="2"/>
      <c r="F435" s="2"/>
      <c r="G435" s="27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91"/>
      <c r="AC435" s="2"/>
      <c r="AD435" s="2"/>
      <c r="AE435" s="291"/>
      <c r="AF435" s="2"/>
      <c r="AG435" s="2"/>
      <c r="AH435" s="2"/>
      <c r="AI435" s="29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2" customHeight="1" x14ac:dyDescent="0.35">
      <c r="A436" s="2"/>
      <c r="B436" s="2"/>
      <c r="C436" s="2"/>
      <c r="D436" s="2"/>
      <c r="E436" s="2"/>
      <c r="F436" s="2"/>
      <c r="G436" s="27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91"/>
      <c r="AC436" s="2"/>
      <c r="AD436" s="2"/>
      <c r="AE436" s="291"/>
      <c r="AF436" s="2"/>
      <c r="AG436" s="2"/>
      <c r="AH436" s="2"/>
      <c r="AI436" s="29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2" customHeight="1" x14ac:dyDescent="0.35">
      <c r="A437" s="2"/>
      <c r="B437" s="2"/>
      <c r="C437" s="2"/>
      <c r="D437" s="2"/>
      <c r="E437" s="2"/>
      <c r="F437" s="2"/>
      <c r="G437" s="27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91"/>
      <c r="AC437" s="2"/>
      <c r="AD437" s="2"/>
      <c r="AE437" s="291"/>
      <c r="AF437" s="2"/>
      <c r="AG437" s="2"/>
      <c r="AH437" s="2"/>
      <c r="AI437" s="29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2" customHeight="1" x14ac:dyDescent="0.35">
      <c r="A438" s="2"/>
      <c r="B438" s="2"/>
      <c r="C438" s="2"/>
      <c r="D438" s="2"/>
      <c r="E438" s="2"/>
      <c r="F438" s="2"/>
      <c r="G438" s="27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91"/>
      <c r="AC438" s="2"/>
      <c r="AD438" s="2"/>
      <c r="AE438" s="291"/>
      <c r="AF438" s="2"/>
      <c r="AG438" s="2"/>
      <c r="AH438" s="2"/>
      <c r="AI438" s="29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2" customHeight="1" x14ac:dyDescent="0.35">
      <c r="A439" s="2"/>
      <c r="B439" s="2"/>
      <c r="C439" s="2"/>
      <c r="D439" s="2"/>
      <c r="E439" s="2"/>
      <c r="F439" s="2"/>
      <c r="G439" s="27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91"/>
      <c r="AC439" s="2"/>
      <c r="AD439" s="2"/>
      <c r="AE439" s="291"/>
      <c r="AF439" s="2"/>
      <c r="AG439" s="2"/>
      <c r="AH439" s="2"/>
      <c r="AI439" s="29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2" customHeight="1" x14ac:dyDescent="0.35">
      <c r="A440" s="2"/>
      <c r="B440" s="2"/>
      <c r="C440" s="2"/>
      <c r="D440" s="2"/>
      <c r="E440" s="2"/>
      <c r="F440" s="2"/>
      <c r="G440" s="27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91"/>
      <c r="AC440" s="2"/>
      <c r="AD440" s="2"/>
      <c r="AE440" s="291"/>
      <c r="AF440" s="2"/>
      <c r="AG440" s="2"/>
      <c r="AH440" s="2"/>
      <c r="AI440" s="29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2" customHeight="1" x14ac:dyDescent="0.35">
      <c r="A441" s="2"/>
      <c r="B441" s="2"/>
      <c r="C441" s="2"/>
      <c r="D441" s="2"/>
      <c r="E441" s="2"/>
      <c r="F441" s="2"/>
      <c r="G441" s="27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91"/>
      <c r="AC441" s="2"/>
      <c r="AD441" s="2"/>
      <c r="AE441" s="291"/>
      <c r="AF441" s="2"/>
      <c r="AG441" s="2"/>
      <c r="AH441" s="2"/>
      <c r="AI441" s="29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2" customHeight="1" x14ac:dyDescent="0.35">
      <c r="A442" s="2"/>
      <c r="B442" s="2"/>
      <c r="C442" s="2"/>
      <c r="D442" s="2"/>
      <c r="E442" s="2"/>
      <c r="F442" s="2"/>
      <c r="G442" s="27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91"/>
      <c r="AC442" s="2"/>
      <c r="AD442" s="2"/>
      <c r="AE442" s="291"/>
      <c r="AF442" s="2"/>
      <c r="AG442" s="2"/>
      <c r="AH442" s="2"/>
      <c r="AI442" s="29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2" customHeight="1" x14ac:dyDescent="0.35">
      <c r="A443" s="2"/>
      <c r="B443" s="2"/>
      <c r="C443" s="2"/>
      <c r="D443" s="2"/>
      <c r="E443" s="2"/>
      <c r="F443" s="2"/>
      <c r="G443" s="27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91"/>
      <c r="AC443" s="2"/>
      <c r="AD443" s="2"/>
      <c r="AE443" s="291"/>
      <c r="AF443" s="2"/>
      <c r="AG443" s="2"/>
      <c r="AH443" s="2"/>
      <c r="AI443" s="29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2" customHeight="1" x14ac:dyDescent="0.35">
      <c r="A444" s="2"/>
      <c r="B444" s="2"/>
      <c r="C444" s="2"/>
      <c r="D444" s="2"/>
      <c r="E444" s="2"/>
      <c r="F444" s="2"/>
      <c r="G444" s="27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91"/>
      <c r="AC444" s="2"/>
      <c r="AD444" s="2"/>
      <c r="AE444" s="291"/>
      <c r="AF444" s="2"/>
      <c r="AG444" s="2"/>
      <c r="AH444" s="2"/>
      <c r="AI444" s="29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2" customHeight="1" x14ac:dyDescent="0.35">
      <c r="A445" s="2"/>
      <c r="B445" s="2"/>
      <c r="C445" s="2"/>
      <c r="D445" s="2"/>
      <c r="E445" s="2"/>
      <c r="F445" s="2"/>
      <c r="G445" s="27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91"/>
      <c r="AC445" s="2"/>
      <c r="AD445" s="2"/>
      <c r="AE445" s="291"/>
      <c r="AF445" s="2"/>
      <c r="AG445" s="2"/>
      <c r="AH445" s="2"/>
      <c r="AI445" s="29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2" customHeight="1" x14ac:dyDescent="0.35">
      <c r="A446" s="2"/>
      <c r="B446" s="2"/>
      <c r="C446" s="2"/>
      <c r="D446" s="2"/>
      <c r="E446" s="2"/>
      <c r="F446" s="2"/>
      <c r="G446" s="27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91"/>
      <c r="AC446" s="2"/>
      <c r="AD446" s="2"/>
      <c r="AE446" s="291"/>
      <c r="AF446" s="2"/>
      <c r="AG446" s="2"/>
      <c r="AH446" s="2"/>
      <c r="AI446" s="29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2" customHeight="1" x14ac:dyDescent="0.35">
      <c r="A447" s="2"/>
      <c r="B447" s="2"/>
      <c r="C447" s="2"/>
      <c r="D447" s="2"/>
      <c r="E447" s="2"/>
      <c r="F447" s="2"/>
      <c r="G447" s="27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91"/>
      <c r="AC447" s="2"/>
      <c r="AD447" s="2"/>
      <c r="AE447" s="291"/>
      <c r="AF447" s="2"/>
      <c r="AG447" s="2"/>
      <c r="AH447" s="2"/>
      <c r="AI447" s="29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2" customHeight="1" x14ac:dyDescent="0.35">
      <c r="A448" s="2"/>
      <c r="B448" s="2"/>
      <c r="C448" s="2"/>
      <c r="D448" s="2"/>
      <c r="E448" s="2"/>
      <c r="F448" s="2"/>
      <c r="G448" s="27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91"/>
      <c r="AC448" s="2"/>
      <c r="AD448" s="2"/>
      <c r="AE448" s="291"/>
      <c r="AF448" s="2"/>
      <c r="AG448" s="2"/>
      <c r="AH448" s="2"/>
      <c r="AI448" s="29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2" customHeight="1" x14ac:dyDescent="0.35">
      <c r="A449" s="2"/>
      <c r="B449" s="2"/>
      <c r="C449" s="2"/>
      <c r="D449" s="2"/>
      <c r="E449" s="2"/>
      <c r="F449" s="2"/>
      <c r="G449" s="27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91"/>
      <c r="AC449" s="2"/>
      <c r="AD449" s="2"/>
      <c r="AE449" s="291"/>
      <c r="AF449" s="2"/>
      <c r="AG449" s="2"/>
      <c r="AH449" s="2"/>
      <c r="AI449" s="29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2" customHeight="1" x14ac:dyDescent="0.35">
      <c r="A450" s="2"/>
      <c r="B450" s="2"/>
      <c r="C450" s="2"/>
      <c r="D450" s="2"/>
      <c r="E450" s="2"/>
      <c r="F450" s="2"/>
      <c r="G450" s="27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91"/>
      <c r="AC450" s="2"/>
      <c r="AD450" s="2"/>
      <c r="AE450" s="291"/>
      <c r="AF450" s="2"/>
      <c r="AG450" s="2"/>
      <c r="AH450" s="2"/>
      <c r="AI450" s="29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2" customHeight="1" x14ac:dyDescent="0.35">
      <c r="A451" s="2"/>
      <c r="B451" s="2"/>
      <c r="C451" s="2"/>
      <c r="D451" s="2"/>
      <c r="E451" s="2"/>
      <c r="F451" s="2"/>
      <c r="G451" s="27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91"/>
      <c r="AC451" s="2"/>
      <c r="AD451" s="2"/>
      <c r="AE451" s="291"/>
      <c r="AF451" s="2"/>
      <c r="AG451" s="2"/>
      <c r="AH451" s="2"/>
      <c r="AI451" s="29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2" customHeight="1" x14ac:dyDescent="0.35">
      <c r="A452" s="2"/>
      <c r="B452" s="2"/>
      <c r="C452" s="2"/>
      <c r="D452" s="2"/>
      <c r="E452" s="2"/>
      <c r="F452" s="2"/>
      <c r="G452" s="27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91"/>
      <c r="AC452" s="2"/>
      <c r="AD452" s="2"/>
      <c r="AE452" s="291"/>
      <c r="AF452" s="2"/>
      <c r="AG452" s="2"/>
      <c r="AH452" s="2"/>
      <c r="AI452" s="29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2" customHeight="1" x14ac:dyDescent="0.35">
      <c r="A453" s="2"/>
      <c r="B453" s="2"/>
      <c r="C453" s="2"/>
      <c r="D453" s="2"/>
      <c r="E453" s="2"/>
      <c r="F453" s="2"/>
      <c r="G453" s="27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91"/>
      <c r="AC453" s="2"/>
      <c r="AD453" s="2"/>
      <c r="AE453" s="291"/>
      <c r="AF453" s="2"/>
      <c r="AG453" s="2"/>
      <c r="AH453" s="2"/>
      <c r="AI453" s="29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2" customHeight="1" x14ac:dyDescent="0.35">
      <c r="A454" s="2"/>
      <c r="B454" s="2"/>
      <c r="C454" s="2"/>
      <c r="D454" s="2"/>
      <c r="E454" s="2"/>
      <c r="F454" s="2"/>
      <c r="G454" s="27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91"/>
      <c r="AC454" s="2"/>
      <c r="AD454" s="2"/>
      <c r="AE454" s="291"/>
      <c r="AF454" s="2"/>
      <c r="AG454" s="2"/>
      <c r="AH454" s="2"/>
      <c r="AI454" s="29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2" customHeight="1" x14ac:dyDescent="0.35">
      <c r="A455" s="2"/>
      <c r="B455" s="2"/>
      <c r="C455" s="2"/>
      <c r="D455" s="2"/>
      <c r="E455" s="2"/>
      <c r="F455" s="2"/>
      <c r="G455" s="27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91"/>
      <c r="AC455" s="2"/>
      <c r="AD455" s="2"/>
      <c r="AE455" s="291"/>
      <c r="AF455" s="2"/>
      <c r="AG455" s="2"/>
      <c r="AH455" s="2"/>
      <c r="AI455" s="29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2" customHeight="1" x14ac:dyDescent="0.35">
      <c r="A456" s="2"/>
      <c r="B456" s="2"/>
      <c r="C456" s="2"/>
      <c r="D456" s="2"/>
      <c r="E456" s="2"/>
      <c r="F456" s="2"/>
      <c r="G456" s="27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91"/>
      <c r="AC456" s="2"/>
      <c r="AD456" s="2"/>
      <c r="AE456" s="291"/>
      <c r="AF456" s="2"/>
      <c r="AG456" s="2"/>
      <c r="AH456" s="2"/>
      <c r="AI456" s="29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2" customHeight="1" x14ac:dyDescent="0.35">
      <c r="A457" s="2"/>
      <c r="B457" s="2"/>
      <c r="C457" s="2"/>
      <c r="D457" s="2"/>
      <c r="E457" s="2"/>
      <c r="F457" s="2"/>
      <c r="G457" s="27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91"/>
      <c r="AC457" s="2"/>
      <c r="AD457" s="2"/>
      <c r="AE457" s="291"/>
      <c r="AF457" s="2"/>
      <c r="AG457" s="2"/>
      <c r="AH457" s="2"/>
      <c r="AI457" s="29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2" customHeight="1" x14ac:dyDescent="0.35">
      <c r="A458" s="2"/>
      <c r="B458" s="2"/>
      <c r="C458" s="2"/>
      <c r="D458" s="2"/>
      <c r="E458" s="2"/>
      <c r="F458" s="2"/>
      <c r="G458" s="27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91"/>
      <c r="AC458" s="2"/>
      <c r="AD458" s="2"/>
      <c r="AE458" s="291"/>
      <c r="AF458" s="2"/>
      <c r="AG458" s="2"/>
      <c r="AH458" s="2"/>
      <c r="AI458" s="29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2" customHeight="1" x14ac:dyDescent="0.35">
      <c r="A459" s="2"/>
      <c r="B459" s="2"/>
      <c r="C459" s="2"/>
      <c r="D459" s="2"/>
      <c r="E459" s="2"/>
      <c r="F459" s="2"/>
      <c r="G459" s="27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91"/>
      <c r="AC459" s="2"/>
      <c r="AD459" s="2"/>
      <c r="AE459" s="291"/>
      <c r="AF459" s="2"/>
      <c r="AG459" s="2"/>
      <c r="AH459" s="2"/>
      <c r="AI459" s="29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2" customHeight="1" x14ac:dyDescent="0.35">
      <c r="A460" s="2"/>
      <c r="B460" s="2"/>
      <c r="C460" s="2"/>
      <c r="D460" s="2"/>
      <c r="E460" s="2"/>
      <c r="F460" s="2"/>
      <c r="G460" s="27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91"/>
      <c r="AC460" s="2"/>
      <c r="AD460" s="2"/>
      <c r="AE460" s="291"/>
      <c r="AF460" s="2"/>
      <c r="AG460" s="2"/>
      <c r="AH460" s="2"/>
      <c r="AI460" s="29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2" customHeight="1" x14ac:dyDescent="0.35">
      <c r="A461" s="2"/>
      <c r="B461" s="2"/>
      <c r="C461" s="2"/>
      <c r="D461" s="2"/>
      <c r="E461" s="2"/>
      <c r="F461" s="2"/>
      <c r="G461" s="27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91"/>
      <c r="AC461" s="2"/>
      <c r="AD461" s="2"/>
      <c r="AE461" s="291"/>
      <c r="AF461" s="2"/>
      <c r="AG461" s="2"/>
      <c r="AH461" s="2"/>
      <c r="AI461" s="29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2" customHeight="1" x14ac:dyDescent="0.35">
      <c r="A462" s="2"/>
      <c r="B462" s="2"/>
      <c r="C462" s="2"/>
      <c r="D462" s="2"/>
      <c r="E462" s="2"/>
      <c r="F462" s="2"/>
      <c r="G462" s="27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91"/>
      <c r="AC462" s="2"/>
      <c r="AD462" s="2"/>
      <c r="AE462" s="291"/>
      <c r="AF462" s="2"/>
      <c r="AG462" s="2"/>
      <c r="AH462" s="2"/>
      <c r="AI462" s="29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2" customHeight="1" x14ac:dyDescent="0.35">
      <c r="A463" s="2"/>
      <c r="B463" s="2"/>
      <c r="C463" s="2"/>
      <c r="D463" s="2"/>
      <c r="E463" s="2"/>
      <c r="F463" s="2"/>
      <c r="G463" s="27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91"/>
      <c r="AC463" s="2"/>
      <c r="AD463" s="2"/>
      <c r="AE463" s="291"/>
      <c r="AF463" s="2"/>
      <c r="AG463" s="2"/>
      <c r="AH463" s="2"/>
      <c r="AI463" s="29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2" customHeight="1" x14ac:dyDescent="0.35">
      <c r="A464" s="2"/>
      <c r="B464" s="2"/>
      <c r="C464" s="2"/>
      <c r="D464" s="2"/>
      <c r="E464" s="2"/>
      <c r="F464" s="2"/>
      <c r="G464" s="27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91"/>
      <c r="AC464" s="2"/>
      <c r="AD464" s="2"/>
      <c r="AE464" s="291"/>
      <c r="AF464" s="2"/>
      <c r="AG464" s="2"/>
      <c r="AH464" s="2"/>
      <c r="AI464" s="29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2" customHeight="1" x14ac:dyDescent="0.35">
      <c r="A465" s="2"/>
      <c r="B465" s="2"/>
      <c r="C465" s="2"/>
      <c r="D465" s="2"/>
      <c r="E465" s="2"/>
      <c r="F465" s="2"/>
      <c r="G465" s="27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91"/>
      <c r="AC465" s="2"/>
      <c r="AD465" s="2"/>
      <c r="AE465" s="291"/>
      <c r="AF465" s="2"/>
      <c r="AG465" s="2"/>
      <c r="AH465" s="2"/>
      <c r="AI465" s="29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2" customHeight="1" x14ac:dyDescent="0.35">
      <c r="A466" s="2"/>
      <c r="B466" s="2"/>
      <c r="C466" s="2"/>
      <c r="D466" s="2"/>
      <c r="E466" s="2"/>
      <c r="F466" s="2"/>
      <c r="G466" s="27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91"/>
      <c r="AC466" s="2"/>
      <c r="AD466" s="2"/>
      <c r="AE466" s="291"/>
      <c r="AF466" s="2"/>
      <c r="AG466" s="2"/>
      <c r="AH466" s="2"/>
      <c r="AI466" s="29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2" customHeight="1" x14ac:dyDescent="0.35">
      <c r="A467" s="2"/>
      <c r="B467" s="2"/>
      <c r="C467" s="2"/>
      <c r="D467" s="2"/>
      <c r="E467" s="2"/>
      <c r="F467" s="2"/>
      <c r="G467" s="27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91"/>
      <c r="AC467" s="2"/>
      <c r="AD467" s="2"/>
      <c r="AE467" s="291"/>
      <c r="AF467" s="2"/>
      <c r="AG467" s="2"/>
      <c r="AH467" s="2"/>
      <c r="AI467" s="29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2" customHeight="1" x14ac:dyDescent="0.35">
      <c r="A468" s="2"/>
      <c r="B468" s="2"/>
      <c r="C468" s="2"/>
      <c r="D468" s="2"/>
      <c r="E468" s="2"/>
      <c r="F468" s="2"/>
      <c r="G468" s="27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91"/>
      <c r="AC468" s="2"/>
      <c r="AD468" s="2"/>
      <c r="AE468" s="291"/>
      <c r="AF468" s="2"/>
      <c r="AG468" s="2"/>
      <c r="AH468" s="2"/>
      <c r="AI468" s="29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2" customHeight="1" x14ac:dyDescent="0.35">
      <c r="A469" s="2"/>
      <c r="B469" s="2"/>
      <c r="C469" s="2"/>
      <c r="D469" s="2"/>
      <c r="E469" s="2"/>
      <c r="F469" s="2"/>
      <c r="G469" s="27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91"/>
      <c r="AC469" s="2"/>
      <c r="AD469" s="2"/>
      <c r="AE469" s="291"/>
      <c r="AF469" s="2"/>
      <c r="AG469" s="2"/>
      <c r="AH469" s="2"/>
      <c r="AI469" s="29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2" customHeight="1" x14ac:dyDescent="0.35">
      <c r="A470" s="2"/>
      <c r="B470" s="2"/>
      <c r="C470" s="2"/>
      <c r="D470" s="2"/>
      <c r="E470" s="2"/>
      <c r="F470" s="2"/>
      <c r="G470" s="27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91"/>
      <c r="AC470" s="2"/>
      <c r="AD470" s="2"/>
      <c r="AE470" s="291"/>
      <c r="AF470" s="2"/>
      <c r="AG470" s="2"/>
      <c r="AH470" s="2"/>
      <c r="AI470" s="29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2" customHeight="1" x14ac:dyDescent="0.35">
      <c r="A471" s="2"/>
      <c r="B471" s="2"/>
      <c r="C471" s="2"/>
      <c r="D471" s="2"/>
      <c r="E471" s="2"/>
      <c r="F471" s="2"/>
      <c r="G471" s="27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91"/>
      <c r="AC471" s="2"/>
      <c r="AD471" s="2"/>
      <c r="AE471" s="291"/>
      <c r="AF471" s="2"/>
      <c r="AG471" s="2"/>
      <c r="AH471" s="2"/>
      <c r="AI471" s="29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2" customHeight="1" x14ac:dyDescent="0.35">
      <c r="A472" s="2"/>
      <c r="B472" s="2"/>
      <c r="C472" s="2"/>
      <c r="D472" s="2"/>
      <c r="E472" s="2"/>
      <c r="F472" s="2"/>
      <c r="G472" s="27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91"/>
      <c r="AC472" s="2"/>
      <c r="AD472" s="2"/>
      <c r="AE472" s="291"/>
      <c r="AF472" s="2"/>
      <c r="AG472" s="2"/>
      <c r="AH472" s="2"/>
      <c r="AI472" s="29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2" customHeight="1" x14ac:dyDescent="0.35">
      <c r="A473" s="2"/>
      <c r="B473" s="2"/>
      <c r="C473" s="2"/>
      <c r="D473" s="2"/>
      <c r="E473" s="2"/>
      <c r="F473" s="2"/>
      <c r="G473" s="27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91"/>
      <c r="AC473" s="2"/>
      <c r="AD473" s="2"/>
      <c r="AE473" s="291"/>
      <c r="AF473" s="2"/>
      <c r="AG473" s="2"/>
      <c r="AH473" s="2"/>
      <c r="AI473" s="29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2" customHeight="1" x14ac:dyDescent="0.35">
      <c r="A474" s="2"/>
      <c r="B474" s="2"/>
      <c r="C474" s="2"/>
      <c r="D474" s="2"/>
      <c r="E474" s="2"/>
      <c r="F474" s="2"/>
      <c r="G474" s="27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91"/>
      <c r="AC474" s="2"/>
      <c r="AD474" s="2"/>
      <c r="AE474" s="291"/>
      <c r="AF474" s="2"/>
      <c r="AG474" s="2"/>
      <c r="AH474" s="2"/>
      <c r="AI474" s="29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2" customHeight="1" x14ac:dyDescent="0.35">
      <c r="A475" s="2"/>
      <c r="B475" s="2"/>
      <c r="C475" s="2"/>
      <c r="D475" s="2"/>
      <c r="E475" s="2"/>
      <c r="F475" s="2"/>
      <c r="G475" s="27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91"/>
      <c r="AC475" s="2"/>
      <c r="AD475" s="2"/>
      <c r="AE475" s="291"/>
      <c r="AF475" s="2"/>
      <c r="AG475" s="2"/>
      <c r="AH475" s="2"/>
      <c r="AI475" s="29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2" customHeight="1" x14ac:dyDescent="0.35">
      <c r="A476" s="2"/>
      <c r="B476" s="2"/>
      <c r="C476" s="2"/>
      <c r="D476" s="2"/>
      <c r="E476" s="2"/>
      <c r="F476" s="2"/>
      <c r="G476" s="27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91"/>
      <c r="AC476" s="2"/>
      <c r="AD476" s="2"/>
      <c r="AE476" s="291"/>
      <c r="AF476" s="2"/>
      <c r="AG476" s="2"/>
      <c r="AH476" s="2"/>
      <c r="AI476" s="29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2" customHeight="1" x14ac:dyDescent="0.35">
      <c r="A477" s="2"/>
      <c r="B477" s="2"/>
      <c r="C477" s="2"/>
      <c r="D477" s="2"/>
      <c r="E477" s="2"/>
      <c r="F477" s="2"/>
      <c r="G477" s="27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91"/>
      <c r="AC477" s="2"/>
      <c r="AD477" s="2"/>
      <c r="AE477" s="291"/>
      <c r="AF477" s="2"/>
      <c r="AG477" s="2"/>
      <c r="AH477" s="2"/>
      <c r="AI477" s="29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2" customHeight="1" x14ac:dyDescent="0.35">
      <c r="A478" s="2"/>
      <c r="B478" s="2"/>
      <c r="C478" s="2"/>
      <c r="D478" s="2"/>
      <c r="E478" s="2"/>
      <c r="F478" s="2"/>
      <c r="G478" s="27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91"/>
      <c r="AC478" s="2"/>
      <c r="AD478" s="2"/>
      <c r="AE478" s="291"/>
      <c r="AF478" s="2"/>
      <c r="AG478" s="2"/>
      <c r="AH478" s="2"/>
      <c r="AI478" s="29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2" customHeight="1" x14ac:dyDescent="0.35">
      <c r="A479" s="2"/>
      <c r="B479" s="2"/>
      <c r="C479" s="2"/>
      <c r="D479" s="2"/>
      <c r="E479" s="2"/>
      <c r="F479" s="2"/>
      <c r="G479" s="27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91"/>
      <c r="AC479" s="2"/>
      <c r="AD479" s="2"/>
      <c r="AE479" s="291"/>
      <c r="AF479" s="2"/>
      <c r="AG479" s="2"/>
      <c r="AH479" s="2"/>
      <c r="AI479" s="29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2" customHeight="1" x14ac:dyDescent="0.35">
      <c r="A480" s="2"/>
      <c r="B480" s="2"/>
      <c r="C480" s="2"/>
      <c r="D480" s="2"/>
      <c r="E480" s="2"/>
      <c r="F480" s="2"/>
      <c r="G480" s="27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91"/>
      <c r="AC480" s="2"/>
      <c r="AD480" s="2"/>
      <c r="AE480" s="291"/>
      <c r="AF480" s="2"/>
      <c r="AG480" s="2"/>
      <c r="AH480" s="2"/>
      <c r="AI480" s="29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2" customHeight="1" x14ac:dyDescent="0.35">
      <c r="A481" s="2"/>
      <c r="B481" s="2"/>
      <c r="C481" s="2"/>
      <c r="D481" s="2"/>
      <c r="E481" s="2"/>
      <c r="F481" s="2"/>
      <c r="G481" s="27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91"/>
      <c r="AC481" s="2"/>
      <c r="AD481" s="2"/>
      <c r="AE481" s="291"/>
      <c r="AF481" s="2"/>
      <c r="AG481" s="2"/>
      <c r="AH481" s="2"/>
      <c r="AI481" s="29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2" customHeight="1" x14ac:dyDescent="0.35">
      <c r="A482" s="2"/>
      <c r="B482" s="2"/>
      <c r="C482" s="2"/>
      <c r="D482" s="2"/>
      <c r="E482" s="2"/>
      <c r="F482" s="2"/>
      <c r="G482" s="27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91"/>
      <c r="AC482" s="2"/>
      <c r="AD482" s="2"/>
      <c r="AE482" s="291"/>
      <c r="AF482" s="2"/>
      <c r="AG482" s="2"/>
      <c r="AH482" s="2"/>
      <c r="AI482" s="29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2" customHeight="1" x14ac:dyDescent="0.35">
      <c r="A483" s="2"/>
      <c r="B483" s="2"/>
      <c r="C483" s="2"/>
      <c r="D483" s="2"/>
      <c r="E483" s="2"/>
      <c r="F483" s="2"/>
      <c r="G483" s="27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91"/>
      <c r="AC483" s="2"/>
      <c r="AD483" s="2"/>
      <c r="AE483" s="291"/>
      <c r="AF483" s="2"/>
      <c r="AG483" s="2"/>
      <c r="AH483" s="2"/>
      <c r="AI483" s="29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2" customHeight="1" x14ac:dyDescent="0.35">
      <c r="A484" s="2"/>
      <c r="B484" s="2"/>
      <c r="C484" s="2"/>
      <c r="D484" s="2"/>
      <c r="E484" s="2"/>
      <c r="F484" s="2"/>
      <c r="G484" s="27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91"/>
      <c r="AC484" s="2"/>
      <c r="AD484" s="2"/>
      <c r="AE484" s="291"/>
      <c r="AF484" s="2"/>
      <c r="AG484" s="2"/>
      <c r="AH484" s="2"/>
      <c r="AI484" s="29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2" customHeight="1" x14ac:dyDescent="0.35">
      <c r="A485" s="2"/>
      <c r="B485" s="2"/>
      <c r="C485" s="2"/>
      <c r="D485" s="2"/>
      <c r="E485" s="2"/>
      <c r="F485" s="2"/>
      <c r="G485" s="27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91"/>
      <c r="AC485" s="2"/>
      <c r="AD485" s="2"/>
      <c r="AE485" s="291"/>
      <c r="AF485" s="2"/>
      <c r="AG485" s="2"/>
      <c r="AH485" s="2"/>
      <c r="AI485" s="29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2" customHeight="1" x14ac:dyDescent="0.35">
      <c r="A486" s="2"/>
      <c r="B486" s="2"/>
      <c r="C486" s="2"/>
      <c r="D486" s="2"/>
      <c r="E486" s="2"/>
      <c r="F486" s="2"/>
      <c r="G486" s="27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91"/>
      <c r="AC486" s="2"/>
      <c r="AD486" s="2"/>
      <c r="AE486" s="291"/>
      <c r="AF486" s="2"/>
      <c r="AG486" s="2"/>
      <c r="AH486" s="2"/>
      <c r="AI486" s="29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2" customHeight="1" x14ac:dyDescent="0.35">
      <c r="A487" s="2"/>
      <c r="B487" s="2"/>
      <c r="C487" s="2"/>
      <c r="D487" s="2"/>
      <c r="E487" s="2"/>
      <c r="F487" s="2"/>
      <c r="G487" s="27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91"/>
      <c r="AC487" s="2"/>
      <c r="AD487" s="2"/>
      <c r="AE487" s="291"/>
      <c r="AF487" s="2"/>
      <c r="AG487" s="2"/>
      <c r="AH487" s="2"/>
      <c r="AI487" s="29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2" customHeight="1" x14ac:dyDescent="0.35">
      <c r="A488" s="2"/>
      <c r="B488" s="2"/>
      <c r="C488" s="2"/>
      <c r="D488" s="2"/>
      <c r="E488" s="2"/>
      <c r="F488" s="2"/>
      <c r="G488" s="27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91"/>
      <c r="AC488" s="2"/>
      <c r="AD488" s="2"/>
      <c r="AE488" s="291"/>
      <c r="AF488" s="2"/>
      <c r="AG488" s="2"/>
      <c r="AH488" s="2"/>
      <c r="AI488" s="29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2" customHeight="1" x14ac:dyDescent="0.35">
      <c r="A489" s="2"/>
      <c r="B489" s="2"/>
      <c r="C489" s="2"/>
      <c r="D489" s="2"/>
      <c r="E489" s="2"/>
      <c r="F489" s="2"/>
      <c r="G489" s="27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91"/>
      <c r="AC489" s="2"/>
      <c r="AD489" s="2"/>
      <c r="AE489" s="291"/>
      <c r="AF489" s="2"/>
      <c r="AG489" s="2"/>
      <c r="AH489" s="2"/>
      <c r="AI489" s="29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2" customHeight="1" x14ac:dyDescent="0.35">
      <c r="A490" s="2"/>
      <c r="B490" s="2"/>
      <c r="C490" s="2"/>
      <c r="D490" s="2"/>
      <c r="E490" s="2"/>
      <c r="F490" s="2"/>
      <c r="G490" s="27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91"/>
      <c r="AC490" s="2"/>
      <c r="AD490" s="2"/>
      <c r="AE490" s="291"/>
      <c r="AF490" s="2"/>
      <c r="AG490" s="2"/>
      <c r="AH490" s="2"/>
      <c r="AI490" s="29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2" customHeight="1" x14ac:dyDescent="0.35">
      <c r="A491" s="2"/>
      <c r="B491" s="2"/>
      <c r="C491" s="2"/>
      <c r="D491" s="2"/>
      <c r="E491" s="2"/>
      <c r="F491" s="2"/>
      <c r="G491" s="27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91"/>
      <c r="AC491" s="2"/>
      <c r="AD491" s="2"/>
      <c r="AE491" s="291"/>
      <c r="AF491" s="2"/>
      <c r="AG491" s="2"/>
      <c r="AH491" s="2"/>
      <c r="AI491" s="29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2" customHeight="1" x14ac:dyDescent="0.35">
      <c r="A492" s="2"/>
      <c r="B492" s="2"/>
      <c r="C492" s="2"/>
      <c r="D492" s="2"/>
      <c r="E492" s="2"/>
      <c r="F492" s="2"/>
      <c r="G492" s="27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91"/>
      <c r="AC492" s="2"/>
      <c r="AD492" s="2"/>
      <c r="AE492" s="291"/>
      <c r="AF492" s="2"/>
      <c r="AG492" s="2"/>
      <c r="AH492" s="2"/>
      <c r="AI492" s="29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2" customHeight="1" x14ac:dyDescent="0.35">
      <c r="A493" s="2"/>
      <c r="B493" s="2"/>
      <c r="C493" s="2"/>
      <c r="D493" s="2"/>
      <c r="E493" s="2"/>
      <c r="F493" s="2"/>
      <c r="G493" s="27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91"/>
      <c r="AC493" s="2"/>
      <c r="AD493" s="2"/>
      <c r="AE493" s="291"/>
      <c r="AF493" s="2"/>
      <c r="AG493" s="2"/>
      <c r="AH493" s="2"/>
      <c r="AI493" s="29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2" customHeight="1" x14ac:dyDescent="0.35">
      <c r="A494" s="2"/>
      <c r="B494" s="2"/>
      <c r="C494" s="2"/>
      <c r="D494" s="2"/>
      <c r="E494" s="2"/>
      <c r="F494" s="2"/>
      <c r="G494" s="27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91"/>
      <c r="AC494" s="2"/>
      <c r="AD494" s="2"/>
      <c r="AE494" s="291"/>
      <c r="AF494" s="2"/>
      <c r="AG494" s="2"/>
      <c r="AH494" s="2"/>
      <c r="AI494" s="29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2" customHeight="1" x14ac:dyDescent="0.35">
      <c r="A495" s="2"/>
      <c r="B495" s="2"/>
      <c r="C495" s="2"/>
      <c r="D495" s="2"/>
      <c r="E495" s="2"/>
      <c r="F495" s="2"/>
      <c r="G495" s="27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91"/>
      <c r="AC495" s="2"/>
      <c r="AD495" s="2"/>
      <c r="AE495" s="291"/>
      <c r="AF495" s="2"/>
      <c r="AG495" s="2"/>
      <c r="AH495" s="2"/>
      <c r="AI495" s="29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2" customHeight="1" x14ac:dyDescent="0.35">
      <c r="A496" s="2"/>
      <c r="B496" s="2"/>
      <c r="C496" s="2"/>
      <c r="D496" s="2"/>
      <c r="E496" s="2"/>
      <c r="F496" s="2"/>
      <c r="G496" s="27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91"/>
      <c r="AC496" s="2"/>
      <c r="AD496" s="2"/>
      <c r="AE496" s="291"/>
      <c r="AF496" s="2"/>
      <c r="AG496" s="2"/>
      <c r="AH496" s="2"/>
      <c r="AI496" s="29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2" customHeight="1" x14ac:dyDescent="0.35">
      <c r="A497" s="2"/>
      <c r="B497" s="2"/>
      <c r="C497" s="2"/>
      <c r="D497" s="2"/>
      <c r="E497" s="2"/>
      <c r="F497" s="2"/>
      <c r="G497" s="27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91"/>
      <c r="AC497" s="2"/>
      <c r="AD497" s="2"/>
      <c r="AE497" s="291"/>
      <c r="AF497" s="2"/>
      <c r="AG497" s="2"/>
      <c r="AH497" s="2"/>
      <c r="AI497" s="29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2" customHeight="1" x14ac:dyDescent="0.35">
      <c r="A498" s="2"/>
      <c r="B498" s="2"/>
      <c r="C498" s="2"/>
      <c r="D498" s="2"/>
      <c r="E498" s="2"/>
      <c r="F498" s="2"/>
      <c r="G498" s="27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91"/>
      <c r="AC498" s="2"/>
      <c r="AD498" s="2"/>
      <c r="AE498" s="291"/>
      <c r="AF498" s="2"/>
      <c r="AG498" s="2"/>
      <c r="AH498" s="2"/>
      <c r="AI498" s="29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2" customHeight="1" x14ac:dyDescent="0.35">
      <c r="A499" s="2"/>
      <c r="B499" s="2"/>
      <c r="C499" s="2"/>
      <c r="D499" s="2"/>
      <c r="E499" s="2"/>
      <c r="F499" s="2"/>
      <c r="G499" s="27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91"/>
      <c r="AC499" s="2"/>
      <c r="AD499" s="2"/>
      <c r="AE499" s="291"/>
      <c r="AF499" s="2"/>
      <c r="AG499" s="2"/>
      <c r="AH499" s="2"/>
      <c r="AI499" s="29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2" customHeight="1" x14ac:dyDescent="0.35">
      <c r="A500" s="2"/>
      <c r="B500" s="2"/>
      <c r="C500" s="2"/>
      <c r="D500" s="2"/>
      <c r="E500" s="2"/>
      <c r="F500" s="2"/>
      <c r="G500" s="27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91"/>
      <c r="AC500" s="2"/>
      <c r="AD500" s="2"/>
      <c r="AE500" s="291"/>
      <c r="AF500" s="2"/>
      <c r="AG500" s="2"/>
      <c r="AH500" s="2"/>
      <c r="AI500" s="29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2" customHeight="1" x14ac:dyDescent="0.35">
      <c r="A501" s="2"/>
      <c r="B501" s="2"/>
      <c r="C501" s="2"/>
      <c r="D501" s="2"/>
      <c r="E501" s="2"/>
      <c r="F501" s="2"/>
      <c r="G501" s="27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91"/>
      <c r="AC501" s="2"/>
      <c r="AD501" s="2"/>
      <c r="AE501" s="291"/>
      <c r="AF501" s="2"/>
      <c r="AG501" s="2"/>
      <c r="AH501" s="2"/>
      <c r="AI501" s="29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2" customHeight="1" x14ac:dyDescent="0.35">
      <c r="A502" s="2"/>
      <c r="B502" s="2"/>
      <c r="C502" s="2"/>
      <c r="D502" s="2"/>
      <c r="E502" s="2"/>
      <c r="F502" s="2"/>
      <c r="G502" s="27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91"/>
      <c r="AC502" s="2"/>
      <c r="AD502" s="2"/>
      <c r="AE502" s="291"/>
      <c r="AF502" s="2"/>
      <c r="AG502" s="2"/>
      <c r="AH502" s="2"/>
      <c r="AI502" s="29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2" customHeight="1" x14ac:dyDescent="0.35">
      <c r="A503" s="2"/>
      <c r="B503" s="2"/>
      <c r="C503" s="2"/>
      <c r="D503" s="2"/>
      <c r="E503" s="2"/>
      <c r="F503" s="2"/>
      <c r="G503" s="27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91"/>
      <c r="AC503" s="2"/>
      <c r="AD503" s="2"/>
      <c r="AE503" s="291"/>
      <c r="AF503" s="2"/>
      <c r="AG503" s="2"/>
      <c r="AH503" s="2"/>
      <c r="AI503" s="29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2" customHeight="1" x14ac:dyDescent="0.35">
      <c r="A504" s="2"/>
      <c r="B504" s="2"/>
      <c r="C504" s="2"/>
      <c r="D504" s="2"/>
      <c r="E504" s="2"/>
      <c r="F504" s="2"/>
      <c r="G504" s="27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91"/>
      <c r="AC504" s="2"/>
      <c r="AD504" s="2"/>
      <c r="AE504" s="291"/>
      <c r="AF504" s="2"/>
      <c r="AG504" s="2"/>
      <c r="AH504" s="2"/>
      <c r="AI504" s="29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2" customHeight="1" x14ac:dyDescent="0.35">
      <c r="A505" s="2"/>
      <c r="B505" s="2"/>
      <c r="C505" s="2"/>
      <c r="D505" s="2"/>
      <c r="E505" s="2"/>
      <c r="F505" s="2"/>
      <c r="G505" s="27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91"/>
      <c r="AC505" s="2"/>
      <c r="AD505" s="2"/>
      <c r="AE505" s="291"/>
      <c r="AF505" s="2"/>
      <c r="AG505" s="2"/>
      <c r="AH505" s="2"/>
      <c r="AI505" s="29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2" customHeight="1" x14ac:dyDescent="0.35">
      <c r="A506" s="2"/>
      <c r="B506" s="2"/>
      <c r="C506" s="2"/>
      <c r="D506" s="2"/>
      <c r="E506" s="2"/>
      <c r="F506" s="2"/>
      <c r="G506" s="27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91"/>
      <c r="AC506" s="2"/>
      <c r="AD506" s="2"/>
      <c r="AE506" s="291"/>
      <c r="AF506" s="2"/>
      <c r="AG506" s="2"/>
      <c r="AH506" s="2"/>
      <c r="AI506" s="29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2" customHeight="1" x14ac:dyDescent="0.35">
      <c r="A507" s="2"/>
      <c r="B507" s="2"/>
      <c r="C507" s="2"/>
      <c r="D507" s="2"/>
      <c r="E507" s="2"/>
      <c r="F507" s="2"/>
      <c r="G507" s="27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91"/>
      <c r="AC507" s="2"/>
      <c r="AD507" s="2"/>
      <c r="AE507" s="291"/>
      <c r="AF507" s="2"/>
      <c r="AG507" s="2"/>
      <c r="AH507" s="2"/>
      <c r="AI507" s="29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2" customHeight="1" x14ac:dyDescent="0.35">
      <c r="A508" s="2"/>
      <c r="B508" s="2"/>
      <c r="C508" s="2"/>
      <c r="D508" s="2"/>
      <c r="E508" s="2"/>
      <c r="F508" s="2"/>
      <c r="G508" s="27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91"/>
      <c r="AC508" s="2"/>
      <c r="AD508" s="2"/>
      <c r="AE508" s="291"/>
      <c r="AF508" s="2"/>
      <c r="AG508" s="2"/>
      <c r="AH508" s="2"/>
      <c r="AI508" s="29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2" customHeight="1" x14ac:dyDescent="0.35">
      <c r="A509" s="2"/>
      <c r="B509" s="2"/>
      <c r="C509" s="2"/>
      <c r="D509" s="2"/>
      <c r="E509" s="2"/>
      <c r="F509" s="2"/>
      <c r="G509" s="27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91"/>
      <c r="AC509" s="2"/>
      <c r="AD509" s="2"/>
      <c r="AE509" s="291"/>
      <c r="AF509" s="2"/>
      <c r="AG509" s="2"/>
      <c r="AH509" s="2"/>
      <c r="AI509" s="29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2" customHeight="1" x14ac:dyDescent="0.35">
      <c r="A510" s="2"/>
      <c r="B510" s="2"/>
      <c r="C510" s="2"/>
      <c r="D510" s="2"/>
      <c r="E510" s="2"/>
      <c r="F510" s="2"/>
      <c r="G510" s="27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91"/>
      <c r="AC510" s="2"/>
      <c r="AD510" s="2"/>
      <c r="AE510" s="291"/>
      <c r="AF510" s="2"/>
      <c r="AG510" s="2"/>
      <c r="AH510" s="2"/>
      <c r="AI510" s="29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2" customHeight="1" x14ac:dyDescent="0.35">
      <c r="A511" s="2"/>
      <c r="B511" s="2"/>
      <c r="C511" s="2"/>
      <c r="D511" s="2"/>
      <c r="E511" s="2"/>
      <c r="F511" s="2"/>
      <c r="G511" s="27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91"/>
      <c r="AC511" s="2"/>
      <c r="AD511" s="2"/>
      <c r="AE511" s="291"/>
      <c r="AF511" s="2"/>
      <c r="AG511" s="2"/>
      <c r="AH511" s="2"/>
      <c r="AI511" s="29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2" customHeight="1" x14ac:dyDescent="0.35">
      <c r="A512" s="2"/>
      <c r="B512" s="2"/>
      <c r="C512" s="2"/>
      <c r="D512" s="2"/>
      <c r="E512" s="2"/>
      <c r="F512" s="2"/>
      <c r="G512" s="27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91"/>
      <c r="AC512" s="2"/>
      <c r="AD512" s="2"/>
      <c r="AE512" s="291"/>
      <c r="AF512" s="2"/>
      <c r="AG512" s="2"/>
      <c r="AH512" s="2"/>
      <c r="AI512" s="29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2" customHeight="1" x14ac:dyDescent="0.35">
      <c r="A513" s="2"/>
      <c r="B513" s="2"/>
      <c r="C513" s="2"/>
      <c r="D513" s="2"/>
      <c r="E513" s="2"/>
      <c r="F513" s="2"/>
      <c r="G513" s="27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91"/>
      <c r="AC513" s="2"/>
      <c r="AD513" s="2"/>
      <c r="AE513" s="291"/>
      <c r="AF513" s="2"/>
      <c r="AG513" s="2"/>
      <c r="AH513" s="2"/>
      <c r="AI513" s="29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2" customHeight="1" x14ac:dyDescent="0.35">
      <c r="A514" s="2"/>
      <c r="B514" s="2"/>
      <c r="C514" s="2"/>
      <c r="D514" s="2"/>
      <c r="E514" s="2"/>
      <c r="F514" s="2"/>
      <c r="G514" s="27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91"/>
      <c r="AC514" s="2"/>
      <c r="AD514" s="2"/>
      <c r="AE514" s="291"/>
      <c r="AF514" s="2"/>
      <c r="AG514" s="2"/>
      <c r="AH514" s="2"/>
      <c r="AI514" s="29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2" customHeight="1" x14ac:dyDescent="0.35">
      <c r="A515" s="2"/>
      <c r="B515" s="2"/>
      <c r="C515" s="2"/>
      <c r="D515" s="2"/>
      <c r="E515" s="2"/>
      <c r="F515" s="2"/>
      <c r="G515" s="27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91"/>
      <c r="AC515" s="2"/>
      <c r="AD515" s="2"/>
      <c r="AE515" s="291"/>
      <c r="AF515" s="2"/>
      <c r="AG515" s="2"/>
      <c r="AH515" s="2"/>
      <c r="AI515" s="29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2" customHeight="1" x14ac:dyDescent="0.35">
      <c r="A516" s="2"/>
      <c r="B516" s="2"/>
      <c r="C516" s="2"/>
      <c r="D516" s="2"/>
      <c r="E516" s="2"/>
      <c r="F516" s="2"/>
      <c r="G516" s="27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91"/>
      <c r="AC516" s="2"/>
      <c r="AD516" s="2"/>
      <c r="AE516" s="291"/>
      <c r="AF516" s="2"/>
      <c r="AG516" s="2"/>
      <c r="AH516" s="2"/>
      <c r="AI516" s="29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2" customHeight="1" x14ac:dyDescent="0.35">
      <c r="A517" s="2"/>
      <c r="B517" s="2"/>
      <c r="C517" s="2"/>
      <c r="D517" s="2"/>
      <c r="E517" s="2"/>
      <c r="F517" s="2"/>
      <c r="G517" s="27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91"/>
      <c r="AC517" s="2"/>
      <c r="AD517" s="2"/>
      <c r="AE517" s="291"/>
      <c r="AF517" s="2"/>
      <c r="AG517" s="2"/>
      <c r="AH517" s="2"/>
      <c r="AI517" s="29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2" customHeight="1" x14ac:dyDescent="0.35">
      <c r="A518" s="2"/>
      <c r="B518" s="2"/>
      <c r="C518" s="2"/>
      <c r="D518" s="2"/>
      <c r="E518" s="2"/>
      <c r="F518" s="2"/>
      <c r="G518" s="27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91"/>
      <c r="AC518" s="2"/>
      <c r="AD518" s="2"/>
      <c r="AE518" s="291"/>
      <c r="AF518" s="2"/>
      <c r="AG518" s="2"/>
      <c r="AH518" s="2"/>
      <c r="AI518" s="29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2" customHeight="1" x14ac:dyDescent="0.35">
      <c r="A519" s="2"/>
      <c r="B519" s="2"/>
      <c r="C519" s="2"/>
      <c r="D519" s="2"/>
      <c r="E519" s="2"/>
      <c r="F519" s="2"/>
      <c r="G519" s="27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91"/>
      <c r="AC519" s="2"/>
      <c r="AD519" s="2"/>
      <c r="AE519" s="291"/>
      <c r="AF519" s="2"/>
      <c r="AG519" s="2"/>
      <c r="AH519" s="2"/>
      <c r="AI519" s="29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2" customHeight="1" x14ac:dyDescent="0.35">
      <c r="A520" s="2"/>
      <c r="B520" s="2"/>
      <c r="C520" s="2"/>
      <c r="D520" s="2"/>
      <c r="E520" s="2"/>
      <c r="F520" s="2"/>
      <c r="G520" s="27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91"/>
      <c r="AC520" s="2"/>
      <c r="AD520" s="2"/>
      <c r="AE520" s="291"/>
      <c r="AF520" s="2"/>
      <c r="AG520" s="2"/>
      <c r="AH520" s="2"/>
      <c r="AI520" s="29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2" customHeight="1" x14ac:dyDescent="0.35">
      <c r="A521" s="2"/>
      <c r="B521" s="2"/>
      <c r="C521" s="2"/>
      <c r="D521" s="2"/>
      <c r="E521" s="2"/>
      <c r="F521" s="2"/>
      <c r="G521" s="27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91"/>
      <c r="AC521" s="2"/>
      <c r="AD521" s="2"/>
      <c r="AE521" s="291"/>
      <c r="AF521" s="2"/>
      <c r="AG521" s="2"/>
      <c r="AH521" s="2"/>
      <c r="AI521" s="29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2" customHeight="1" x14ac:dyDescent="0.35">
      <c r="A522" s="2"/>
      <c r="B522" s="2"/>
      <c r="C522" s="2"/>
      <c r="D522" s="2"/>
      <c r="E522" s="2"/>
      <c r="F522" s="2"/>
      <c r="G522" s="27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91"/>
      <c r="AC522" s="2"/>
      <c r="AD522" s="2"/>
      <c r="AE522" s="291"/>
      <c r="AF522" s="2"/>
      <c r="AG522" s="2"/>
      <c r="AH522" s="2"/>
      <c r="AI522" s="29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2" customHeight="1" x14ac:dyDescent="0.35">
      <c r="A523" s="2"/>
      <c r="B523" s="2"/>
      <c r="C523" s="2"/>
      <c r="D523" s="2"/>
      <c r="E523" s="2"/>
      <c r="F523" s="2"/>
      <c r="G523" s="27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91"/>
      <c r="AC523" s="2"/>
      <c r="AD523" s="2"/>
      <c r="AE523" s="291"/>
      <c r="AF523" s="2"/>
      <c r="AG523" s="2"/>
      <c r="AH523" s="2"/>
      <c r="AI523" s="29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2" customHeight="1" x14ac:dyDescent="0.35">
      <c r="A524" s="2"/>
      <c r="B524" s="2"/>
      <c r="C524" s="2"/>
      <c r="D524" s="2"/>
      <c r="E524" s="2"/>
      <c r="F524" s="2"/>
      <c r="G524" s="27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91"/>
      <c r="AC524" s="2"/>
      <c r="AD524" s="2"/>
      <c r="AE524" s="291"/>
      <c r="AF524" s="2"/>
      <c r="AG524" s="2"/>
      <c r="AH524" s="2"/>
      <c r="AI524" s="29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2" customHeight="1" x14ac:dyDescent="0.35">
      <c r="A525" s="2"/>
      <c r="B525" s="2"/>
      <c r="C525" s="2"/>
      <c r="D525" s="2"/>
      <c r="E525" s="2"/>
      <c r="F525" s="2"/>
      <c r="G525" s="27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91"/>
      <c r="AC525" s="2"/>
      <c r="AD525" s="2"/>
      <c r="AE525" s="291"/>
      <c r="AF525" s="2"/>
      <c r="AG525" s="2"/>
      <c r="AH525" s="2"/>
      <c r="AI525" s="29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2" customHeight="1" x14ac:dyDescent="0.35">
      <c r="A526" s="2"/>
      <c r="B526" s="2"/>
      <c r="C526" s="2"/>
      <c r="D526" s="2"/>
      <c r="E526" s="2"/>
      <c r="F526" s="2"/>
      <c r="G526" s="27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91"/>
      <c r="AC526" s="2"/>
      <c r="AD526" s="2"/>
      <c r="AE526" s="291"/>
      <c r="AF526" s="2"/>
      <c r="AG526" s="2"/>
      <c r="AH526" s="2"/>
      <c r="AI526" s="29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2" customHeight="1" x14ac:dyDescent="0.35">
      <c r="A527" s="2"/>
      <c r="B527" s="2"/>
      <c r="C527" s="2"/>
      <c r="D527" s="2"/>
      <c r="E527" s="2"/>
      <c r="F527" s="2"/>
      <c r="G527" s="27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91"/>
      <c r="AC527" s="2"/>
      <c r="AD527" s="2"/>
      <c r="AE527" s="291"/>
      <c r="AF527" s="2"/>
      <c r="AG527" s="2"/>
      <c r="AH527" s="2"/>
      <c r="AI527" s="29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2" customHeight="1" x14ac:dyDescent="0.35">
      <c r="A528" s="2"/>
      <c r="B528" s="2"/>
      <c r="C528" s="2"/>
      <c r="D528" s="2"/>
      <c r="E528" s="2"/>
      <c r="F528" s="2"/>
      <c r="G528" s="27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91"/>
      <c r="AC528" s="2"/>
      <c r="AD528" s="2"/>
      <c r="AE528" s="291"/>
      <c r="AF528" s="2"/>
      <c r="AG528" s="2"/>
      <c r="AH528" s="2"/>
      <c r="AI528" s="29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2" customHeight="1" x14ac:dyDescent="0.35">
      <c r="A529" s="2"/>
      <c r="B529" s="2"/>
      <c r="C529" s="2"/>
      <c r="D529" s="2"/>
      <c r="E529" s="2"/>
      <c r="F529" s="2"/>
      <c r="G529" s="27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91"/>
      <c r="AC529" s="2"/>
      <c r="AD529" s="2"/>
      <c r="AE529" s="291"/>
      <c r="AF529" s="2"/>
      <c r="AG529" s="2"/>
      <c r="AH529" s="2"/>
      <c r="AI529" s="29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2" customHeight="1" x14ac:dyDescent="0.35">
      <c r="A530" s="2"/>
      <c r="B530" s="2"/>
      <c r="C530" s="2"/>
      <c r="D530" s="2"/>
      <c r="E530" s="2"/>
      <c r="F530" s="2"/>
      <c r="G530" s="27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91"/>
      <c r="AC530" s="2"/>
      <c r="AD530" s="2"/>
      <c r="AE530" s="291"/>
      <c r="AF530" s="2"/>
      <c r="AG530" s="2"/>
      <c r="AH530" s="2"/>
      <c r="AI530" s="29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2" customHeight="1" x14ac:dyDescent="0.35">
      <c r="A531" s="2"/>
      <c r="B531" s="2"/>
      <c r="C531" s="2"/>
      <c r="D531" s="2"/>
      <c r="E531" s="2"/>
      <c r="F531" s="2"/>
      <c r="G531" s="27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91"/>
      <c r="AC531" s="2"/>
      <c r="AD531" s="2"/>
      <c r="AE531" s="291"/>
      <c r="AF531" s="2"/>
      <c r="AG531" s="2"/>
      <c r="AH531" s="2"/>
      <c r="AI531" s="29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2" customHeight="1" x14ac:dyDescent="0.35">
      <c r="A532" s="2"/>
      <c r="B532" s="2"/>
      <c r="C532" s="2"/>
      <c r="D532" s="2"/>
      <c r="E532" s="2"/>
      <c r="F532" s="2"/>
      <c r="G532" s="27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91"/>
      <c r="AC532" s="2"/>
      <c r="AD532" s="2"/>
      <c r="AE532" s="291"/>
      <c r="AF532" s="2"/>
      <c r="AG532" s="2"/>
      <c r="AH532" s="2"/>
      <c r="AI532" s="29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2" customHeight="1" x14ac:dyDescent="0.35">
      <c r="A533" s="2"/>
      <c r="B533" s="2"/>
      <c r="C533" s="2"/>
      <c r="D533" s="2"/>
      <c r="E533" s="2"/>
      <c r="F533" s="2"/>
      <c r="G533" s="27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91"/>
      <c r="AC533" s="2"/>
      <c r="AD533" s="2"/>
      <c r="AE533" s="291"/>
      <c r="AF533" s="2"/>
      <c r="AG533" s="2"/>
      <c r="AH533" s="2"/>
      <c r="AI533" s="29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2" customHeight="1" x14ac:dyDescent="0.35">
      <c r="A534" s="2"/>
      <c r="B534" s="2"/>
      <c r="C534" s="2"/>
      <c r="D534" s="2"/>
      <c r="E534" s="2"/>
      <c r="F534" s="2"/>
      <c r="G534" s="27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91"/>
      <c r="AC534" s="2"/>
      <c r="AD534" s="2"/>
      <c r="AE534" s="291"/>
      <c r="AF534" s="2"/>
      <c r="AG534" s="2"/>
      <c r="AH534" s="2"/>
      <c r="AI534" s="29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2" customHeight="1" x14ac:dyDescent="0.35">
      <c r="A535" s="2"/>
      <c r="B535" s="2"/>
      <c r="C535" s="2"/>
      <c r="D535" s="2"/>
      <c r="E535" s="2"/>
      <c r="F535" s="2"/>
      <c r="G535" s="27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91"/>
      <c r="AC535" s="2"/>
      <c r="AD535" s="2"/>
      <c r="AE535" s="291"/>
      <c r="AF535" s="2"/>
      <c r="AG535" s="2"/>
      <c r="AH535" s="2"/>
      <c r="AI535" s="29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2" customHeight="1" x14ac:dyDescent="0.35">
      <c r="A536" s="2"/>
      <c r="B536" s="2"/>
      <c r="C536" s="2"/>
      <c r="D536" s="2"/>
      <c r="E536" s="2"/>
      <c r="F536" s="2"/>
      <c r="G536" s="27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91"/>
      <c r="AC536" s="2"/>
      <c r="AD536" s="2"/>
      <c r="AE536" s="291"/>
      <c r="AF536" s="2"/>
      <c r="AG536" s="2"/>
      <c r="AH536" s="2"/>
      <c r="AI536" s="29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2" customHeight="1" x14ac:dyDescent="0.35">
      <c r="A537" s="2"/>
      <c r="B537" s="2"/>
      <c r="C537" s="2"/>
      <c r="D537" s="2"/>
      <c r="E537" s="2"/>
      <c r="F537" s="2"/>
      <c r="G537" s="27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91"/>
      <c r="AC537" s="2"/>
      <c r="AD537" s="2"/>
      <c r="AE537" s="291"/>
      <c r="AF537" s="2"/>
      <c r="AG537" s="2"/>
      <c r="AH537" s="2"/>
      <c r="AI537" s="29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2" customHeight="1" x14ac:dyDescent="0.35">
      <c r="A538" s="2"/>
      <c r="B538" s="2"/>
      <c r="C538" s="2"/>
      <c r="D538" s="2"/>
      <c r="E538" s="2"/>
      <c r="F538" s="2"/>
      <c r="G538" s="27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91"/>
      <c r="AC538" s="2"/>
      <c r="AD538" s="2"/>
      <c r="AE538" s="291"/>
      <c r="AF538" s="2"/>
      <c r="AG538" s="2"/>
      <c r="AH538" s="2"/>
      <c r="AI538" s="29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1:52" ht="12" customHeight="1" x14ac:dyDescent="0.35">
      <c r="A539" s="2"/>
      <c r="B539" s="2"/>
      <c r="C539" s="2"/>
      <c r="D539" s="2"/>
      <c r="E539" s="2"/>
      <c r="F539" s="2"/>
      <c r="G539" s="27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91"/>
      <c r="AC539" s="2"/>
      <c r="AD539" s="2"/>
      <c r="AE539" s="291"/>
      <c r="AF539" s="2"/>
      <c r="AG539" s="2"/>
      <c r="AH539" s="2"/>
      <c r="AI539" s="29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1:52" ht="12" customHeight="1" x14ac:dyDescent="0.35">
      <c r="A540" s="2"/>
      <c r="B540" s="2"/>
      <c r="C540" s="2"/>
      <c r="D540" s="2"/>
      <c r="E540" s="2"/>
      <c r="F540" s="2"/>
      <c r="G540" s="27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91"/>
      <c r="AC540" s="2"/>
      <c r="AD540" s="2"/>
      <c r="AE540" s="291"/>
      <c r="AF540" s="2"/>
      <c r="AG540" s="2"/>
      <c r="AH540" s="2"/>
      <c r="AI540" s="29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1:52" ht="12" customHeight="1" x14ac:dyDescent="0.35">
      <c r="A541" s="2"/>
      <c r="B541" s="2"/>
      <c r="C541" s="2"/>
      <c r="D541" s="2"/>
      <c r="E541" s="2"/>
      <c r="F541" s="2"/>
      <c r="G541" s="27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91"/>
      <c r="AC541" s="2"/>
      <c r="AD541" s="2"/>
      <c r="AE541" s="291"/>
      <c r="AF541" s="2"/>
      <c r="AG541" s="2"/>
      <c r="AH541" s="2"/>
      <c r="AI541" s="29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1:52" ht="12" customHeight="1" x14ac:dyDescent="0.35">
      <c r="A542" s="2"/>
      <c r="B542" s="2"/>
      <c r="C542" s="2"/>
      <c r="D542" s="2"/>
      <c r="E542" s="2"/>
      <c r="F542" s="2"/>
      <c r="G542" s="27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91"/>
      <c r="AC542" s="2"/>
      <c r="AD542" s="2"/>
      <c r="AE542" s="291"/>
      <c r="AF542" s="2"/>
      <c r="AG542" s="2"/>
      <c r="AH542" s="2"/>
      <c r="AI542" s="29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1:52" ht="12" customHeight="1" x14ac:dyDescent="0.35">
      <c r="A543" s="2"/>
      <c r="B543" s="2"/>
      <c r="C543" s="2"/>
      <c r="D543" s="2"/>
      <c r="E543" s="2"/>
      <c r="F543" s="2"/>
      <c r="G543" s="27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91"/>
      <c r="AC543" s="2"/>
      <c r="AD543" s="2"/>
      <c r="AE543" s="291"/>
      <c r="AF543" s="2"/>
      <c r="AG543" s="2"/>
      <c r="AH543" s="2"/>
      <c r="AI543" s="29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1:52" ht="12" customHeight="1" x14ac:dyDescent="0.35">
      <c r="A544" s="2"/>
      <c r="B544" s="2"/>
      <c r="C544" s="2"/>
      <c r="D544" s="2"/>
      <c r="E544" s="2"/>
      <c r="F544" s="2"/>
      <c r="G544" s="27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91"/>
      <c r="AC544" s="2"/>
      <c r="AD544" s="2"/>
      <c r="AE544" s="291"/>
      <c r="AF544" s="2"/>
      <c r="AG544" s="2"/>
      <c r="AH544" s="2"/>
      <c r="AI544" s="29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1:52" ht="12" customHeight="1" x14ac:dyDescent="0.35">
      <c r="A545" s="2"/>
      <c r="B545" s="2"/>
      <c r="C545" s="2"/>
      <c r="D545" s="2"/>
      <c r="E545" s="2"/>
      <c r="F545" s="2"/>
      <c r="G545" s="27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91"/>
      <c r="AC545" s="2"/>
      <c r="AD545" s="2"/>
      <c r="AE545" s="291"/>
      <c r="AF545" s="2"/>
      <c r="AG545" s="2"/>
      <c r="AH545" s="2"/>
      <c r="AI545" s="29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1:52" ht="12" customHeight="1" x14ac:dyDescent="0.35">
      <c r="A546" s="2"/>
      <c r="B546" s="2"/>
      <c r="C546" s="2"/>
      <c r="D546" s="2"/>
      <c r="E546" s="2"/>
      <c r="F546" s="2"/>
      <c r="G546" s="27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91"/>
      <c r="AC546" s="2"/>
      <c r="AD546" s="2"/>
      <c r="AE546" s="291"/>
      <c r="AF546" s="2"/>
      <c r="AG546" s="2"/>
      <c r="AH546" s="2"/>
      <c r="AI546" s="29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1:52" ht="12" customHeight="1" x14ac:dyDescent="0.35">
      <c r="A547" s="2"/>
      <c r="B547" s="2"/>
      <c r="C547" s="2"/>
      <c r="D547" s="2"/>
      <c r="E547" s="2"/>
      <c r="F547" s="2"/>
      <c r="G547" s="27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91"/>
      <c r="AC547" s="2"/>
      <c r="AD547" s="2"/>
      <c r="AE547" s="291"/>
      <c r="AF547" s="2"/>
      <c r="AG547" s="2"/>
      <c r="AH547" s="2"/>
      <c r="AI547" s="29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1:52" ht="12" customHeight="1" x14ac:dyDescent="0.35">
      <c r="A548" s="2"/>
      <c r="B548" s="2"/>
      <c r="C548" s="2"/>
      <c r="D548" s="2"/>
      <c r="E548" s="2"/>
      <c r="F548" s="2"/>
      <c r="G548" s="27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91"/>
      <c r="AC548" s="2"/>
      <c r="AD548" s="2"/>
      <c r="AE548" s="291"/>
      <c r="AF548" s="2"/>
      <c r="AG548" s="2"/>
      <c r="AH548" s="2"/>
      <c r="AI548" s="29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1:52" ht="12" customHeight="1" x14ac:dyDescent="0.35">
      <c r="A549" s="2"/>
      <c r="B549" s="2"/>
      <c r="C549" s="2"/>
      <c r="D549" s="2"/>
      <c r="E549" s="2"/>
      <c r="F549" s="2"/>
      <c r="G549" s="27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91"/>
      <c r="AC549" s="2"/>
      <c r="AD549" s="2"/>
      <c r="AE549" s="291"/>
      <c r="AF549" s="2"/>
      <c r="AG549" s="2"/>
      <c r="AH549" s="2"/>
      <c r="AI549" s="29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1:52" ht="12" customHeight="1" x14ac:dyDescent="0.35">
      <c r="A550" s="2"/>
      <c r="B550" s="2"/>
      <c r="C550" s="2"/>
      <c r="D550" s="2"/>
      <c r="E550" s="2"/>
      <c r="F550" s="2"/>
      <c r="G550" s="27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91"/>
      <c r="AC550" s="2"/>
      <c r="AD550" s="2"/>
      <c r="AE550" s="291"/>
      <c r="AF550" s="2"/>
      <c r="AG550" s="2"/>
      <c r="AH550" s="2"/>
      <c r="AI550" s="29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1:52" ht="12" customHeight="1" x14ac:dyDescent="0.35">
      <c r="A551" s="2"/>
      <c r="B551" s="2"/>
      <c r="C551" s="2"/>
      <c r="D551" s="2"/>
      <c r="E551" s="2"/>
      <c r="F551" s="2"/>
      <c r="G551" s="27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91"/>
      <c r="AC551" s="2"/>
      <c r="AD551" s="2"/>
      <c r="AE551" s="291"/>
      <c r="AF551" s="2"/>
      <c r="AG551" s="2"/>
      <c r="AH551" s="2"/>
      <c r="AI551" s="29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1:52" ht="12" customHeight="1" x14ac:dyDescent="0.35">
      <c r="A552" s="2"/>
      <c r="B552" s="2"/>
      <c r="C552" s="2"/>
      <c r="D552" s="2"/>
      <c r="E552" s="2"/>
      <c r="F552" s="2"/>
      <c r="G552" s="27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91"/>
      <c r="AC552" s="2"/>
      <c r="AD552" s="2"/>
      <c r="AE552" s="291"/>
      <c r="AF552" s="2"/>
      <c r="AG552" s="2"/>
      <c r="AH552" s="2"/>
      <c r="AI552" s="29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1:52" ht="12" customHeight="1" x14ac:dyDescent="0.35">
      <c r="A553" s="2"/>
      <c r="B553" s="2"/>
      <c r="C553" s="2"/>
      <c r="D553" s="2"/>
      <c r="E553" s="2"/>
      <c r="F553" s="2"/>
      <c r="G553" s="27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91"/>
      <c r="AC553" s="2"/>
      <c r="AD553" s="2"/>
      <c r="AE553" s="291"/>
      <c r="AF553" s="2"/>
      <c r="AG553" s="2"/>
      <c r="AH553" s="2"/>
      <c r="AI553" s="29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1:52" ht="12" customHeight="1" x14ac:dyDescent="0.35">
      <c r="A554" s="2"/>
      <c r="B554" s="2"/>
      <c r="C554" s="2"/>
      <c r="D554" s="2"/>
      <c r="E554" s="2"/>
      <c r="F554" s="2"/>
      <c r="G554" s="27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91"/>
      <c r="AC554" s="2"/>
      <c r="AD554" s="2"/>
      <c r="AE554" s="291"/>
      <c r="AF554" s="2"/>
      <c r="AG554" s="2"/>
      <c r="AH554" s="2"/>
      <c r="AI554" s="29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1:52" ht="12" customHeight="1" x14ac:dyDescent="0.35">
      <c r="A555" s="2"/>
      <c r="B555" s="2"/>
      <c r="C555" s="2"/>
      <c r="D555" s="2"/>
      <c r="E555" s="2"/>
      <c r="F555" s="2"/>
      <c r="G555" s="27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91"/>
      <c r="AC555" s="2"/>
      <c r="AD555" s="2"/>
      <c r="AE555" s="291"/>
      <c r="AF555" s="2"/>
      <c r="AG555" s="2"/>
      <c r="AH555" s="2"/>
      <c r="AI555" s="29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1:52" ht="12" customHeight="1" x14ac:dyDescent="0.35">
      <c r="A556" s="2"/>
      <c r="B556" s="2"/>
      <c r="C556" s="2"/>
      <c r="D556" s="2"/>
      <c r="E556" s="2"/>
      <c r="F556" s="2"/>
      <c r="G556" s="27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91"/>
      <c r="AC556" s="2"/>
      <c r="AD556" s="2"/>
      <c r="AE556" s="291"/>
      <c r="AF556" s="2"/>
      <c r="AG556" s="2"/>
      <c r="AH556" s="2"/>
      <c r="AI556" s="29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1:52" ht="12" customHeight="1" x14ac:dyDescent="0.35">
      <c r="A557" s="2"/>
      <c r="B557" s="2"/>
      <c r="C557" s="2"/>
      <c r="D557" s="2"/>
      <c r="E557" s="2"/>
      <c r="F557" s="2"/>
      <c r="G557" s="27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91"/>
      <c r="AC557" s="2"/>
      <c r="AD557" s="2"/>
      <c r="AE557" s="291"/>
      <c r="AF557" s="2"/>
      <c r="AG557" s="2"/>
      <c r="AH557" s="2"/>
      <c r="AI557" s="29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1:52" ht="12" customHeight="1" x14ac:dyDescent="0.35">
      <c r="A558" s="2"/>
      <c r="B558" s="2"/>
      <c r="C558" s="2"/>
      <c r="D558" s="2"/>
      <c r="E558" s="2"/>
      <c r="F558" s="2"/>
      <c r="G558" s="27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91"/>
      <c r="AC558" s="2"/>
      <c r="AD558" s="2"/>
      <c r="AE558" s="291"/>
      <c r="AF558" s="2"/>
      <c r="AG558" s="2"/>
      <c r="AH558" s="2"/>
      <c r="AI558" s="29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1:52" ht="12" customHeight="1" x14ac:dyDescent="0.35">
      <c r="A559" s="2"/>
      <c r="B559" s="2"/>
      <c r="C559" s="2"/>
      <c r="D559" s="2"/>
      <c r="E559" s="2"/>
      <c r="F559" s="2"/>
      <c r="G559" s="27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91"/>
      <c r="AC559" s="2"/>
      <c r="AD559" s="2"/>
      <c r="AE559" s="291"/>
      <c r="AF559" s="2"/>
      <c r="AG559" s="2"/>
      <c r="AH559" s="2"/>
      <c r="AI559" s="29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1:52" ht="12" customHeight="1" x14ac:dyDescent="0.35">
      <c r="A560" s="2"/>
      <c r="B560" s="2"/>
      <c r="C560" s="2"/>
      <c r="D560" s="2"/>
      <c r="E560" s="2"/>
      <c r="F560" s="2"/>
      <c r="G560" s="27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91"/>
      <c r="AC560" s="2"/>
      <c r="AD560" s="2"/>
      <c r="AE560" s="291"/>
      <c r="AF560" s="2"/>
      <c r="AG560" s="2"/>
      <c r="AH560" s="2"/>
      <c r="AI560" s="29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1:52" ht="12" customHeight="1" x14ac:dyDescent="0.35">
      <c r="A561" s="2"/>
      <c r="B561" s="2"/>
      <c r="C561" s="2"/>
      <c r="D561" s="2"/>
      <c r="E561" s="2"/>
      <c r="F561" s="2"/>
      <c r="G561" s="27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91"/>
      <c r="AC561" s="2"/>
      <c r="AD561" s="2"/>
      <c r="AE561" s="291"/>
      <c r="AF561" s="2"/>
      <c r="AG561" s="2"/>
      <c r="AH561" s="2"/>
      <c r="AI561" s="29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1:52" ht="12" customHeight="1" x14ac:dyDescent="0.35">
      <c r="A562" s="2"/>
      <c r="B562" s="2"/>
      <c r="C562" s="2"/>
      <c r="D562" s="2"/>
      <c r="E562" s="2"/>
      <c r="F562" s="2"/>
      <c r="G562" s="27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91"/>
      <c r="AC562" s="2"/>
      <c r="AD562" s="2"/>
      <c r="AE562" s="291"/>
      <c r="AF562" s="2"/>
      <c r="AG562" s="2"/>
      <c r="AH562" s="2"/>
      <c r="AI562" s="29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1:52" ht="12" customHeight="1" x14ac:dyDescent="0.35">
      <c r="A563" s="2"/>
      <c r="B563" s="2"/>
      <c r="C563" s="2"/>
      <c r="D563" s="2"/>
      <c r="E563" s="2"/>
      <c r="F563" s="2"/>
      <c r="G563" s="27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91"/>
      <c r="AC563" s="2"/>
      <c r="AD563" s="2"/>
      <c r="AE563" s="291"/>
      <c r="AF563" s="2"/>
      <c r="AG563" s="2"/>
      <c r="AH563" s="2"/>
      <c r="AI563" s="29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1:52" ht="12" customHeight="1" x14ac:dyDescent="0.35">
      <c r="A564" s="2"/>
      <c r="B564" s="2"/>
      <c r="C564" s="2"/>
      <c r="D564" s="2"/>
      <c r="E564" s="2"/>
      <c r="F564" s="2"/>
      <c r="G564" s="27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91"/>
      <c r="AC564" s="2"/>
      <c r="AD564" s="2"/>
      <c r="AE564" s="291"/>
      <c r="AF564" s="2"/>
      <c r="AG564" s="2"/>
      <c r="AH564" s="2"/>
      <c r="AI564" s="29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ht="12" customHeight="1" x14ac:dyDescent="0.35">
      <c r="A565" s="2"/>
      <c r="B565" s="2"/>
      <c r="C565" s="2"/>
      <c r="D565" s="2"/>
      <c r="E565" s="2"/>
      <c r="F565" s="2"/>
      <c r="G565" s="27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91"/>
      <c r="AC565" s="2"/>
      <c r="AD565" s="2"/>
      <c r="AE565" s="291"/>
      <c r="AF565" s="2"/>
      <c r="AG565" s="2"/>
      <c r="AH565" s="2"/>
      <c r="AI565" s="29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ht="12" customHeight="1" x14ac:dyDescent="0.35">
      <c r="A566" s="2"/>
      <c r="B566" s="2"/>
      <c r="C566" s="2"/>
      <c r="D566" s="2"/>
      <c r="E566" s="2"/>
      <c r="F566" s="2"/>
      <c r="G566" s="27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91"/>
      <c r="AC566" s="2"/>
      <c r="AD566" s="2"/>
      <c r="AE566" s="291"/>
      <c r="AF566" s="2"/>
      <c r="AG566" s="2"/>
      <c r="AH566" s="2"/>
      <c r="AI566" s="29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1:52" ht="12" customHeight="1" x14ac:dyDescent="0.35">
      <c r="A567" s="2"/>
      <c r="B567" s="2"/>
      <c r="C567" s="2"/>
      <c r="D567" s="2"/>
      <c r="E567" s="2"/>
      <c r="F567" s="2"/>
      <c r="G567" s="27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91"/>
      <c r="AC567" s="2"/>
      <c r="AD567" s="2"/>
      <c r="AE567" s="291"/>
      <c r="AF567" s="2"/>
      <c r="AG567" s="2"/>
      <c r="AH567" s="2"/>
      <c r="AI567" s="29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1:52" ht="12" customHeight="1" x14ac:dyDescent="0.35">
      <c r="A568" s="2"/>
      <c r="B568" s="2"/>
      <c r="C568" s="2"/>
      <c r="D568" s="2"/>
      <c r="E568" s="2"/>
      <c r="F568" s="2"/>
      <c r="G568" s="27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91"/>
      <c r="AC568" s="2"/>
      <c r="AD568" s="2"/>
      <c r="AE568" s="291"/>
      <c r="AF568" s="2"/>
      <c r="AG568" s="2"/>
      <c r="AH568" s="2"/>
      <c r="AI568" s="29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1:52" ht="12" customHeight="1" x14ac:dyDescent="0.35">
      <c r="A569" s="2"/>
      <c r="B569" s="2"/>
      <c r="C569" s="2"/>
      <c r="D569" s="2"/>
      <c r="E569" s="2"/>
      <c r="F569" s="2"/>
      <c r="G569" s="27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91"/>
      <c r="AC569" s="2"/>
      <c r="AD569" s="2"/>
      <c r="AE569" s="291"/>
      <c r="AF569" s="2"/>
      <c r="AG569" s="2"/>
      <c r="AH569" s="2"/>
      <c r="AI569" s="29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1:52" ht="12" customHeight="1" x14ac:dyDescent="0.35">
      <c r="A570" s="2"/>
      <c r="B570" s="2"/>
      <c r="C570" s="2"/>
      <c r="D570" s="2"/>
      <c r="E570" s="2"/>
      <c r="F570" s="2"/>
      <c r="G570" s="27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91"/>
      <c r="AC570" s="2"/>
      <c r="AD570" s="2"/>
      <c r="AE570" s="291"/>
      <c r="AF570" s="2"/>
      <c r="AG570" s="2"/>
      <c r="AH570" s="2"/>
      <c r="AI570" s="29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1:52" ht="12" customHeight="1" x14ac:dyDescent="0.35">
      <c r="A571" s="2"/>
      <c r="B571" s="2"/>
      <c r="C571" s="2"/>
      <c r="D571" s="2"/>
      <c r="E571" s="2"/>
      <c r="F571" s="2"/>
      <c r="G571" s="27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91"/>
      <c r="AC571" s="2"/>
      <c r="AD571" s="2"/>
      <c r="AE571" s="291"/>
      <c r="AF571" s="2"/>
      <c r="AG571" s="2"/>
      <c r="AH571" s="2"/>
      <c r="AI571" s="29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1:52" ht="12" customHeight="1" x14ac:dyDescent="0.35">
      <c r="A572" s="2"/>
      <c r="B572" s="2"/>
      <c r="C572" s="2"/>
      <c r="D572" s="2"/>
      <c r="E572" s="2"/>
      <c r="F572" s="2"/>
      <c r="G572" s="27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91"/>
      <c r="AC572" s="2"/>
      <c r="AD572" s="2"/>
      <c r="AE572" s="291"/>
      <c r="AF572" s="2"/>
      <c r="AG572" s="2"/>
      <c r="AH572" s="2"/>
      <c r="AI572" s="29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1:52" ht="12" customHeight="1" x14ac:dyDescent="0.35">
      <c r="A573" s="2"/>
      <c r="B573" s="2"/>
      <c r="C573" s="2"/>
      <c r="D573" s="2"/>
      <c r="E573" s="2"/>
      <c r="F573" s="2"/>
      <c r="G573" s="27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91"/>
      <c r="AC573" s="2"/>
      <c r="AD573" s="2"/>
      <c r="AE573" s="291"/>
      <c r="AF573" s="2"/>
      <c r="AG573" s="2"/>
      <c r="AH573" s="2"/>
      <c r="AI573" s="29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1:52" ht="12" customHeight="1" x14ac:dyDescent="0.35">
      <c r="A574" s="2"/>
      <c r="B574" s="2"/>
      <c r="C574" s="2"/>
      <c r="D574" s="2"/>
      <c r="E574" s="2"/>
      <c r="F574" s="2"/>
      <c r="G574" s="27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91"/>
      <c r="AC574" s="2"/>
      <c r="AD574" s="2"/>
      <c r="AE574" s="291"/>
      <c r="AF574" s="2"/>
      <c r="AG574" s="2"/>
      <c r="AH574" s="2"/>
      <c r="AI574" s="29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1:52" ht="12" customHeight="1" x14ac:dyDescent="0.35">
      <c r="A575" s="2"/>
      <c r="B575" s="2"/>
      <c r="C575" s="2"/>
      <c r="D575" s="2"/>
      <c r="E575" s="2"/>
      <c r="F575" s="2"/>
      <c r="G575" s="27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91"/>
      <c r="AC575" s="2"/>
      <c r="AD575" s="2"/>
      <c r="AE575" s="291"/>
      <c r="AF575" s="2"/>
      <c r="AG575" s="2"/>
      <c r="AH575" s="2"/>
      <c r="AI575" s="29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1:52" ht="12" customHeight="1" x14ac:dyDescent="0.35">
      <c r="A576" s="2"/>
      <c r="B576" s="2"/>
      <c r="C576" s="2"/>
      <c r="D576" s="2"/>
      <c r="E576" s="2"/>
      <c r="F576" s="2"/>
      <c r="G576" s="27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91"/>
      <c r="AC576" s="2"/>
      <c r="AD576" s="2"/>
      <c r="AE576" s="291"/>
      <c r="AF576" s="2"/>
      <c r="AG576" s="2"/>
      <c r="AH576" s="2"/>
      <c r="AI576" s="29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1:52" ht="12" customHeight="1" x14ac:dyDescent="0.35">
      <c r="A577" s="2"/>
      <c r="B577" s="2"/>
      <c r="C577" s="2"/>
      <c r="D577" s="2"/>
      <c r="E577" s="2"/>
      <c r="F577" s="2"/>
      <c r="G577" s="27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91"/>
      <c r="AC577" s="2"/>
      <c r="AD577" s="2"/>
      <c r="AE577" s="291"/>
      <c r="AF577" s="2"/>
      <c r="AG577" s="2"/>
      <c r="AH577" s="2"/>
      <c r="AI577" s="29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1:52" ht="12" customHeight="1" x14ac:dyDescent="0.35">
      <c r="A578" s="2"/>
      <c r="B578" s="2"/>
      <c r="C578" s="2"/>
      <c r="D578" s="2"/>
      <c r="E578" s="2"/>
      <c r="F578" s="2"/>
      <c r="G578" s="27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91"/>
      <c r="AC578" s="2"/>
      <c r="AD578" s="2"/>
      <c r="AE578" s="291"/>
      <c r="AF578" s="2"/>
      <c r="AG578" s="2"/>
      <c r="AH578" s="2"/>
      <c r="AI578" s="29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1:52" ht="12" customHeight="1" x14ac:dyDescent="0.35">
      <c r="A579" s="2"/>
      <c r="B579" s="2"/>
      <c r="C579" s="2"/>
      <c r="D579" s="2"/>
      <c r="E579" s="2"/>
      <c r="F579" s="2"/>
      <c r="G579" s="27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91"/>
      <c r="AC579" s="2"/>
      <c r="AD579" s="2"/>
      <c r="AE579" s="291"/>
      <c r="AF579" s="2"/>
      <c r="AG579" s="2"/>
      <c r="AH579" s="2"/>
      <c r="AI579" s="29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1:52" ht="12" customHeight="1" x14ac:dyDescent="0.35">
      <c r="A580" s="2"/>
      <c r="B580" s="2"/>
      <c r="C580" s="2"/>
      <c r="D580" s="2"/>
      <c r="E580" s="2"/>
      <c r="F580" s="2"/>
      <c r="G580" s="27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91"/>
      <c r="AC580" s="2"/>
      <c r="AD580" s="2"/>
      <c r="AE580" s="291"/>
      <c r="AF580" s="2"/>
      <c r="AG580" s="2"/>
      <c r="AH580" s="2"/>
      <c r="AI580" s="29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1:52" ht="12" customHeight="1" x14ac:dyDescent="0.35">
      <c r="A581" s="2"/>
      <c r="B581" s="2"/>
      <c r="C581" s="2"/>
      <c r="D581" s="2"/>
      <c r="E581" s="2"/>
      <c r="F581" s="2"/>
      <c r="G581" s="27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91"/>
      <c r="AC581" s="2"/>
      <c r="AD581" s="2"/>
      <c r="AE581" s="291"/>
      <c r="AF581" s="2"/>
      <c r="AG581" s="2"/>
      <c r="AH581" s="2"/>
      <c r="AI581" s="29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1:52" ht="12" customHeight="1" x14ac:dyDescent="0.35">
      <c r="A582" s="2"/>
      <c r="B582" s="2"/>
      <c r="C582" s="2"/>
      <c r="D582" s="2"/>
      <c r="E582" s="2"/>
      <c r="F582" s="2"/>
      <c r="G582" s="27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91"/>
      <c r="AC582" s="2"/>
      <c r="AD582" s="2"/>
      <c r="AE582" s="291"/>
      <c r="AF582" s="2"/>
      <c r="AG582" s="2"/>
      <c r="AH582" s="2"/>
      <c r="AI582" s="29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1:52" ht="12" customHeight="1" x14ac:dyDescent="0.35">
      <c r="A583" s="2"/>
      <c r="B583" s="2"/>
      <c r="C583" s="2"/>
      <c r="D583" s="2"/>
      <c r="E583" s="2"/>
      <c r="F583" s="2"/>
      <c r="G583" s="27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91"/>
      <c r="AC583" s="2"/>
      <c r="AD583" s="2"/>
      <c r="AE583" s="291"/>
      <c r="AF583" s="2"/>
      <c r="AG583" s="2"/>
      <c r="AH583" s="2"/>
      <c r="AI583" s="29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1:52" ht="12" customHeight="1" x14ac:dyDescent="0.35">
      <c r="A584" s="2"/>
      <c r="B584" s="2"/>
      <c r="C584" s="2"/>
      <c r="D584" s="2"/>
      <c r="E584" s="2"/>
      <c r="F584" s="2"/>
      <c r="G584" s="27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91"/>
      <c r="AC584" s="2"/>
      <c r="AD584" s="2"/>
      <c r="AE584" s="291"/>
      <c r="AF584" s="2"/>
      <c r="AG584" s="2"/>
      <c r="AH584" s="2"/>
      <c r="AI584" s="29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1:52" ht="12" customHeight="1" x14ac:dyDescent="0.35">
      <c r="A585" s="2"/>
      <c r="B585" s="2"/>
      <c r="C585" s="2"/>
      <c r="D585" s="2"/>
      <c r="E585" s="2"/>
      <c r="F585" s="2"/>
      <c r="G585" s="27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91"/>
      <c r="AC585" s="2"/>
      <c r="AD585" s="2"/>
      <c r="AE585" s="291"/>
      <c r="AF585" s="2"/>
      <c r="AG585" s="2"/>
      <c r="AH585" s="2"/>
      <c r="AI585" s="29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1:52" ht="12" customHeight="1" x14ac:dyDescent="0.35">
      <c r="A586" s="2"/>
      <c r="B586" s="2"/>
      <c r="C586" s="2"/>
      <c r="D586" s="2"/>
      <c r="E586" s="2"/>
      <c r="F586" s="2"/>
      <c r="G586" s="27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91"/>
      <c r="AC586" s="2"/>
      <c r="AD586" s="2"/>
      <c r="AE586" s="291"/>
      <c r="AF586" s="2"/>
      <c r="AG586" s="2"/>
      <c r="AH586" s="2"/>
      <c r="AI586" s="29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1:52" ht="12" customHeight="1" x14ac:dyDescent="0.35">
      <c r="A587" s="2"/>
      <c r="B587" s="2"/>
      <c r="C587" s="2"/>
      <c r="D587" s="2"/>
      <c r="E587" s="2"/>
      <c r="F587" s="2"/>
      <c r="G587" s="27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91"/>
      <c r="AC587" s="2"/>
      <c r="AD587" s="2"/>
      <c r="AE587" s="291"/>
      <c r="AF587" s="2"/>
      <c r="AG587" s="2"/>
      <c r="AH587" s="2"/>
      <c r="AI587" s="29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1:52" ht="12" customHeight="1" x14ac:dyDescent="0.35">
      <c r="A588" s="2"/>
      <c r="B588" s="2"/>
      <c r="C588" s="2"/>
      <c r="D588" s="2"/>
      <c r="E588" s="2"/>
      <c r="F588" s="2"/>
      <c r="G588" s="27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91"/>
      <c r="AC588" s="2"/>
      <c r="AD588" s="2"/>
      <c r="AE588" s="291"/>
      <c r="AF588" s="2"/>
      <c r="AG588" s="2"/>
      <c r="AH588" s="2"/>
      <c r="AI588" s="29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1:52" ht="12" customHeight="1" x14ac:dyDescent="0.35">
      <c r="A589" s="2"/>
      <c r="B589" s="2"/>
      <c r="C589" s="2"/>
      <c r="D589" s="2"/>
      <c r="E589" s="2"/>
      <c r="F589" s="2"/>
      <c r="G589" s="27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91"/>
      <c r="AC589" s="2"/>
      <c r="AD589" s="2"/>
      <c r="AE589" s="291"/>
      <c r="AF589" s="2"/>
      <c r="AG589" s="2"/>
      <c r="AH589" s="2"/>
      <c r="AI589" s="29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1:52" ht="12" customHeight="1" x14ac:dyDescent="0.35">
      <c r="A590" s="2"/>
      <c r="B590" s="2"/>
      <c r="C590" s="2"/>
      <c r="D590" s="2"/>
      <c r="E590" s="2"/>
      <c r="F590" s="2"/>
      <c r="G590" s="27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91"/>
      <c r="AC590" s="2"/>
      <c r="AD590" s="2"/>
      <c r="AE590" s="291"/>
      <c r="AF590" s="2"/>
      <c r="AG590" s="2"/>
      <c r="AH590" s="2"/>
      <c r="AI590" s="29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1:52" ht="12" customHeight="1" x14ac:dyDescent="0.35">
      <c r="A591" s="2"/>
      <c r="B591" s="2"/>
      <c r="C591" s="2"/>
      <c r="D591" s="2"/>
      <c r="E591" s="2"/>
      <c r="F591" s="2"/>
      <c r="G591" s="27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91"/>
      <c r="AC591" s="2"/>
      <c r="AD591" s="2"/>
      <c r="AE591" s="291"/>
      <c r="AF591" s="2"/>
      <c r="AG591" s="2"/>
      <c r="AH591" s="2"/>
      <c r="AI591" s="29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1:52" ht="12" customHeight="1" x14ac:dyDescent="0.35">
      <c r="A592" s="2"/>
      <c r="B592" s="2"/>
      <c r="C592" s="2"/>
      <c r="D592" s="2"/>
      <c r="E592" s="2"/>
      <c r="F592" s="2"/>
      <c r="G592" s="27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91"/>
      <c r="AC592" s="2"/>
      <c r="AD592" s="2"/>
      <c r="AE592" s="291"/>
      <c r="AF592" s="2"/>
      <c r="AG592" s="2"/>
      <c r="AH592" s="2"/>
      <c r="AI592" s="29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1:52" ht="12" customHeight="1" x14ac:dyDescent="0.35">
      <c r="A593" s="2"/>
      <c r="B593" s="2"/>
      <c r="C593" s="2"/>
      <c r="D593" s="2"/>
      <c r="E593" s="2"/>
      <c r="F593" s="2"/>
      <c r="G593" s="27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91"/>
      <c r="AC593" s="2"/>
      <c r="AD593" s="2"/>
      <c r="AE593" s="291"/>
      <c r="AF593" s="2"/>
      <c r="AG593" s="2"/>
      <c r="AH593" s="2"/>
      <c r="AI593" s="29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1:52" ht="12" customHeight="1" x14ac:dyDescent="0.35">
      <c r="A594" s="2"/>
      <c r="B594" s="2"/>
      <c r="C594" s="2"/>
      <c r="D594" s="2"/>
      <c r="E594" s="2"/>
      <c r="F594" s="2"/>
      <c r="G594" s="27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91"/>
      <c r="AC594" s="2"/>
      <c r="AD594" s="2"/>
      <c r="AE594" s="291"/>
      <c r="AF594" s="2"/>
      <c r="AG594" s="2"/>
      <c r="AH594" s="2"/>
      <c r="AI594" s="29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1:52" ht="12" customHeight="1" x14ac:dyDescent="0.35">
      <c r="A595" s="2"/>
      <c r="B595" s="2"/>
      <c r="C595" s="2"/>
      <c r="D595" s="2"/>
      <c r="E595" s="2"/>
      <c r="F595" s="2"/>
      <c r="G595" s="27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91"/>
      <c r="AC595" s="2"/>
      <c r="AD595" s="2"/>
      <c r="AE595" s="291"/>
      <c r="AF595" s="2"/>
      <c r="AG595" s="2"/>
      <c r="AH595" s="2"/>
      <c r="AI595" s="29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1:52" ht="12" customHeight="1" x14ac:dyDescent="0.35">
      <c r="A596" s="2"/>
      <c r="B596" s="2"/>
      <c r="C596" s="2"/>
      <c r="D596" s="2"/>
      <c r="E596" s="2"/>
      <c r="F596" s="2"/>
      <c r="G596" s="27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91"/>
      <c r="AC596" s="2"/>
      <c r="AD596" s="2"/>
      <c r="AE596" s="291"/>
      <c r="AF596" s="2"/>
      <c r="AG596" s="2"/>
      <c r="AH596" s="2"/>
      <c r="AI596" s="29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1:52" ht="12" customHeight="1" x14ac:dyDescent="0.35">
      <c r="A597" s="2"/>
      <c r="B597" s="2"/>
      <c r="C597" s="2"/>
      <c r="D597" s="2"/>
      <c r="E597" s="2"/>
      <c r="F597" s="2"/>
      <c r="G597" s="27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91"/>
      <c r="AC597" s="2"/>
      <c r="AD597" s="2"/>
      <c r="AE597" s="291"/>
      <c r="AF597" s="2"/>
      <c r="AG597" s="2"/>
      <c r="AH597" s="2"/>
      <c r="AI597" s="29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1:52" ht="12" customHeight="1" x14ac:dyDescent="0.35">
      <c r="A598" s="2"/>
      <c r="B598" s="2"/>
      <c r="C598" s="2"/>
      <c r="D598" s="2"/>
      <c r="E598" s="2"/>
      <c r="F598" s="2"/>
      <c r="G598" s="27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91"/>
      <c r="AC598" s="2"/>
      <c r="AD598" s="2"/>
      <c r="AE598" s="291"/>
      <c r="AF598" s="2"/>
      <c r="AG598" s="2"/>
      <c r="AH598" s="2"/>
      <c r="AI598" s="29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1:52" ht="12" customHeight="1" x14ac:dyDescent="0.35">
      <c r="A599" s="2"/>
      <c r="B599" s="2"/>
      <c r="C599" s="2"/>
      <c r="D599" s="2"/>
      <c r="E599" s="2"/>
      <c r="F599" s="2"/>
      <c r="G599" s="27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91"/>
      <c r="AC599" s="2"/>
      <c r="AD599" s="2"/>
      <c r="AE599" s="291"/>
      <c r="AF599" s="2"/>
      <c r="AG599" s="2"/>
      <c r="AH599" s="2"/>
      <c r="AI599" s="29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1:52" ht="12" customHeight="1" x14ac:dyDescent="0.35">
      <c r="A600" s="2"/>
      <c r="B600" s="2"/>
      <c r="C600" s="2"/>
      <c r="D600" s="2"/>
      <c r="E600" s="2"/>
      <c r="F600" s="2"/>
      <c r="G600" s="27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91"/>
      <c r="AC600" s="2"/>
      <c r="AD600" s="2"/>
      <c r="AE600" s="291"/>
      <c r="AF600" s="2"/>
      <c r="AG600" s="2"/>
      <c r="AH600" s="2"/>
      <c r="AI600" s="29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1:52" ht="12" customHeight="1" x14ac:dyDescent="0.35">
      <c r="A601" s="2"/>
      <c r="B601" s="2"/>
      <c r="C601" s="2"/>
      <c r="D601" s="2"/>
      <c r="E601" s="2"/>
      <c r="F601" s="2"/>
      <c r="G601" s="27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91"/>
      <c r="AC601" s="2"/>
      <c r="AD601" s="2"/>
      <c r="AE601" s="291"/>
      <c r="AF601" s="2"/>
      <c r="AG601" s="2"/>
      <c r="AH601" s="2"/>
      <c r="AI601" s="29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1:52" ht="12" customHeight="1" x14ac:dyDescent="0.35">
      <c r="A602" s="2"/>
      <c r="B602" s="2"/>
      <c r="C602" s="2"/>
      <c r="D602" s="2"/>
      <c r="E602" s="2"/>
      <c r="F602" s="2"/>
      <c r="G602" s="27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91"/>
      <c r="AC602" s="2"/>
      <c r="AD602" s="2"/>
      <c r="AE602" s="291"/>
      <c r="AF602" s="2"/>
      <c r="AG602" s="2"/>
      <c r="AH602" s="2"/>
      <c r="AI602" s="29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1:52" ht="12" customHeight="1" x14ac:dyDescent="0.35">
      <c r="A603" s="2"/>
      <c r="B603" s="2"/>
      <c r="C603" s="2"/>
      <c r="D603" s="2"/>
      <c r="E603" s="2"/>
      <c r="F603" s="2"/>
      <c r="G603" s="27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91"/>
      <c r="AC603" s="2"/>
      <c r="AD603" s="2"/>
      <c r="AE603" s="291"/>
      <c r="AF603" s="2"/>
      <c r="AG603" s="2"/>
      <c r="AH603" s="2"/>
      <c r="AI603" s="29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1:52" ht="12" customHeight="1" x14ac:dyDescent="0.35">
      <c r="A604" s="2"/>
      <c r="B604" s="2"/>
      <c r="C604" s="2"/>
      <c r="D604" s="2"/>
      <c r="E604" s="2"/>
      <c r="F604" s="2"/>
      <c r="G604" s="27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91"/>
      <c r="AC604" s="2"/>
      <c r="AD604" s="2"/>
      <c r="AE604" s="291"/>
      <c r="AF604" s="2"/>
      <c r="AG604" s="2"/>
      <c r="AH604" s="2"/>
      <c r="AI604" s="29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1:52" ht="12" customHeight="1" x14ac:dyDescent="0.35">
      <c r="A605" s="2"/>
      <c r="B605" s="2"/>
      <c r="C605" s="2"/>
      <c r="D605" s="2"/>
      <c r="E605" s="2"/>
      <c r="F605" s="2"/>
      <c r="G605" s="27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91"/>
      <c r="AC605" s="2"/>
      <c r="AD605" s="2"/>
      <c r="AE605" s="291"/>
      <c r="AF605" s="2"/>
      <c r="AG605" s="2"/>
      <c r="AH605" s="2"/>
      <c r="AI605" s="29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1:52" ht="12" customHeight="1" x14ac:dyDescent="0.35">
      <c r="A606" s="2"/>
      <c r="B606" s="2"/>
      <c r="C606" s="2"/>
      <c r="D606" s="2"/>
      <c r="E606" s="2"/>
      <c r="F606" s="2"/>
      <c r="G606" s="27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91"/>
      <c r="AC606" s="2"/>
      <c r="AD606" s="2"/>
      <c r="AE606" s="291"/>
      <c r="AF606" s="2"/>
      <c r="AG606" s="2"/>
      <c r="AH606" s="2"/>
      <c r="AI606" s="29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1:52" ht="12" customHeight="1" x14ac:dyDescent="0.35">
      <c r="A607" s="2"/>
      <c r="B607" s="2"/>
      <c r="C607" s="2"/>
      <c r="D607" s="2"/>
      <c r="E607" s="2"/>
      <c r="F607" s="2"/>
      <c r="G607" s="27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91"/>
      <c r="AC607" s="2"/>
      <c r="AD607" s="2"/>
      <c r="AE607" s="291"/>
      <c r="AF607" s="2"/>
      <c r="AG607" s="2"/>
      <c r="AH607" s="2"/>
      <c r="AI607" s="29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1:52" ht="12" customHeight="1" x14ac:dyDescent="0.35">
      <c r="A608" s="2"/>
      <c r="B608" s="2"/>
      <c r="C608" s="2"/>
      <c r="D608" s="2"/>
      <c r="E608" s="2"/>
      <c r="F608" s="2"/>
      <c r="G608" s="27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91"/>
      <c r="AC608" s="2"/>
      <c r="AD608" s="2"/>
      <c r="AE608" s="291"/>
      <c r="AF608" s="2"/>
      <c r="AG608" s="2"/>
      <c r="AH608" s="2"/>
      <c r="AI608" s="29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1:52" ht="12" customHeight="1" x14ac:dyDescent="0.35">
      <c r="A609" s="2"/>
      <c r="B609" s="2"/>
      <c r="C609" s="2"/>
      <c r="D609" s="2"/>
      <c r="E609" s="2"/>
      <c r="F609" s="2"/>
      <c r="G609" s="27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91"/>
      <c r="AC609" s="2"/>
      <c r="AD609" s="2"/>
      <c r="AE609" s="291"/>
      <c r="AF609" s="2"/>
      <c r="AG609" s="2"/>
      <c r="AH609" s="2"/>
      <c r="AI609" s="29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1:52" ht="12" customHeight="1" x14ac:dyDescent="0.35">
      <c r="A610" s="2"/>
      <c r="B610" s="2"/>
      <c r="C610" s="2"/>
      <c r="D610" s="2"/>
      <c r="E610" s="2"/>
      <c r="F610" s="2"/>
      <c r="G610" s="27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91"/>
      <c r="AC610" s="2"/>
      <c r="AD610" s="2"/>
      <c r="AE610" s="291"/>
      <c r="AF610" s="2"/>
      <c r="AG610" s="2"/>
      <c r="AH610" s="2"/>
      <c r="AI610" s="29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1:52" ht="12" customHeight="1" x14ac:dyDescent="0.35">
      <c r="A611" s="2"/>
      <c r="B611" s="2"/>
      <c r="C611" s="2"/>
      <c r="D611" s="2"/>
      <c r="E611" s="2"/>
      <c r="F611" s="2"/>
      <c r="G611" s="27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91"/>
      <c r="AC611" s="2"/>
      <c r="AD611" s="2"/>
      <c r="AE611" s="291"/>
      <c r="AF611" s="2"/>
      <c r="AG611" s="2"/>
      <c r="AH611" s="2"/>
      <c r="AI611" s="29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1:52" ht="12" customHeight="1" x14ac:dyDescent="0.35">
      <c r="A612" s="2"/>
      <c r="B612" s="2"/>
      <c r="C612" s="2"/>
      <c r="D612" s="2"/>
      <c r="E612" s="2"/>
      <c r="F612" s="2"/>
      <c r="G612" s="27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91"/>
      <c r="AC612" s="2"/>
      <c r="AD612" s="2"/>
      <c r="AE612" s="291"/>
      <c r="AF612" s="2"/>
      <c r="AG612" s="2"/>
      <c r="AH612" s="2"/>
      <c r="AI612" s="29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1:52" ht="12" customHeight="1" x14ac:dyDescent="0.35">
      <c r="A613" s="2"/>
      <c r="B613" s="2"/>
      <c r="C613" s="2"/>
      <c r="D613" s="2"/>
      <c r="E613" s="2"/>
      <c r="F613" s="2"/>
      <c r="G613" s="27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91"/>
      <c r="AC613" s="2"/>
      <c r="AD613" s="2"/>
      <c r="AE613" s="291"/>
      <c r="AF613" s="2"/>
      <c r="AG613" s="2"/>
      <c r="AH613" s="2"/>
      <c r="AI613" s="29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1:52" ht="12" customHeight="1" x14ac:dyDescent="0.35">
      <c r="A614" s="2"/>
      <c r="B614" s="2"/>
      <c r="C614" s="2"/>
      <c r="D614" s="2"/>
      <c r="E614" s="2"/>
      <c r="F614" s="2"/>
      <c r="G614" s="27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91"/>
      <c r="AC614" s="2"/>
      <c r="AD614" s="2"/>
      <c r="AE614" s="291"/>
      <c r="AF614" s="2"/>
      <c r="AG614" s="2"/>
      <c r="AH614" s="2"/>
      <c r="AI614" s="29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1:52" ht="12" customHeight="1" x14ac:dyDescent="0.35">
      <c r="A615" s="2"/>
      <c r="B615" s="2"/>
      <c r="C615" s="2"/>
      <c r="D615" s="2"/>
      <c r="E615" s="2"/>
      <c r="F615" s="2"/>
      <c r="G615" s="27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91"/>
      <c r="AC615" s="2"/>
      <c r="AD615" s="2"/>
      <c r="AE615" s="291"/>
      <c r="AF615" s="2"/>
      <c r="AG615" s="2"/>
      <c r="AH615" s="2"/>
      <c r="AI615" s="29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1:52" ht="12" customHeight="1" x14ac:dyDescent="0.35">
      <c r="A616" s="2"/>
      <c r="B616" s="2"/>
      <c r="C616" s="2"/>
      <c r="D616" s="2"/>
      <c r="E616" s="2"/>
      <c r="F616" s="2"/>
      <c r="G616" s="27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91"/>
      <c r="AC616" s="2"/>
      <c r="AD616" s="2"/>
      <c r="AE616" s="291"/>
      <c r="AF616" s="2"/>
      <c r="AG616" s="2"/>
      <c r="AH616" s="2"/>
      <c r="AI616" s="29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1:52" ht="12" customHeight="1" x14ac:dyDescent="0.35">
      <c r="A617" s="2"/>
      <c r="B617" s="2"/>
      <c r="C617" s="2"/>
      <c r="D617" s="2"/>
      <c r="E617" s="2"/>
      <c r="F617" s="2"/>
      <c r="G617" s="27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91"/>
      <c r="AC617" s="2"/>
      <c r="AD617" s="2"/>
      <c r="AE617" s="291"/>
      <c r="AF617" s="2"/>
      <c r="AG617" s="2"/>
      <c r="AH617" s="2"/>
      <c r="AI617" s="29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1:52" ht="12" customHeight="1" x14ac:dyDescent="0.35">
      <c r="A618" s="2"/>
      <c r="B618" s="2"/>
      <c r="C618" s="2"/>
      <c r="D618" s="2"/>
      <c r="E618" s="2"/>
      <c r="F618" s="2"/>
      <c r="G618" s="27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91"/>
      <c r="AC618" s="2"/>
      <c r="AD618" s="2"/>
      <c r="AE618" s="291"/>
      <c r="AF618" s="2"/>
      <c r="AG618" s="2"/>
      <c r="AH618" s="2"/>
      <c r="AI618" s="29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1:52" ht="12" customHeight="1" x14ac:dyDescent="0.35">
      <c r="A619" s="2"/>
      <c r="B619" s="2"/>
      <c r="C619" s="2"/>
      <c r="D619" s="2"/>
      <c r="E619" s="2"/>
      <c r="F619" s="2"/>
      <c r="G619" s="27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91"/>
      <c r="AC619" s="2"/>
      <c r="AD619" s="2"/>
      <c r="AE619" s="291"/>
      <c r="AF619" s="2"/>
      <c r="AG619" s="2"/>
      <c r="AH619" s="2"/>
      <c r="AI619" s="29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1:52" ht="12" customHeight="1" x14ac:dyDescent="0.35">
      <c r="A620" s="2"/>
      <c r="B620" s="2"/>
      <c r="C620" s="2"/>
      <c r="D620" s="2"/>
      <c r="E620" s="2"/>
      <c r="F620" s="2"/>
      <c r="G620" s="27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91"/>
      <c r="AC620" s="2"/>
      <c r="AD620" s="2"/>
      <c r="AE620" s="291"/>
      <c r="AF620" s="2"/>
      <c r="AG620" s="2"/>
      <c r="AH620" s="2"/>
      <c r="AI620" s="29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1:52" ht="12" customHeight="1" x14ac:dyDescent="0.35">
      <c r="A621" s="2"/>
      <c r="B621" s="2"/>
      <c r="C621" s="2"/>
      <c r="D621" s="2"/>
      <c r="E621" s="2"/>
      <c r="F621" s="2"/>
      <c r="G621" s="27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91"/>
      <c r="AC621" s="2"/>
      <c r="AD621" s="2"/>
      <c r="AE621" s="291"/>
      <c r="AF621" s="2"/>
      <c r="AG621" s="2"/>
      <c r="AH621" s="2"/>
      <c r="AI621" s="29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1:52" ht="12" customHeight="1" x14ac:dyDescent="0.35">
      <c r="A622" s="2"/>
      <c r="B622" s="2"/>
      <c r="C622" s="2"/>
      <c r="D622" s="2"/>
      <c r="E622" s="2"/>
      <c r="F622" s="2"/>
      <c r="G622" s="27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91"/>
      <c r="AC622" s="2"/>
      <c r="AD622" s="2"/>
      <c r="AE622" s="291"/>
      <c r="AF622" s="2"/>
      <c r="AG622" s="2"/>
      <c r="AH622" s="2"/>
      <c r="AI622" s="29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1:52" ht="12" customHeight="1" x14ac:dyDescent="0.35">
      <c r="A623" s="2"/>
      <c r="B623" s="2"/>
      <c r="C623" s="2"/>
      <c r="D623" s="2"/>
      <c r="E623" s="2"/>
      <c r="F623" s="2"/>
      <c r="G623" s="27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91"/>
      <c r="AC623" s="2"/>
      <c r="AD623" s="2"/>
      <c r="AE623" s="291"/>
      <c r="AF623" s="2"/>
      <c r="AG623" s="2"/>
      <c r="AH623" s="2"/>
      <c r="AI623" s="29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1:52" ht="12" customHeight="1" x14ac:dyDescent="0.35">
      <c r="A624" s="2"/>
      <c r="B624" s="2"/>
      <c r="C624" s="2"/>
      <c r="D624" s="2"/>
      <c r="E624" s="2"/>
      <c r="F624" s="2"/>
      <c r="G624" s="27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91"/>
      <c r="AC624" s="2"/>
      <c r="AD624" s="2"/>
      <c r="AE624" s="291"/>
      <c r="AF624" s="2"/>
      <c r="AG624" s="2"/>
      <c r="AH624" s="2"/>
      <c r="AI624" s="29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1:52" ht="12" customHeight="1" x14ac:dyDescent="0.35">
      <c r="A625" s="2"/>
      <c r="B625" s="2"/>
      <c r="C625" s="2"/>
      <c r="D625" s="2"/>
      <c r="E625" s="2"/>
      <c r="F625" s="2"/>
      <c r="G625" s="27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91"/>
      <c r="AC625" s="2"/>
      <c r="AD625" s="2"/>
      <c r="AE625" s="291"/>
      <c r="AF625" s="2"/>
      <c r="AG625" s="2"/>
      <c r="AH625" s="2"/>
      <c r="AI625" s="29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1:52" ht="12" customHeight="1" x14ac:dyDescent="0.35">
      <c r="A626" s="2"/>
      <c r="B626" s="2"/>
      <c r="C626" s="2"/>
      <c r="D626" s="2"/>
      <c r="E626" s="2"/>
      <c r="F626" s="2"/>
      <c r="G626" s="27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91"/>
      <c r="AC626" s="2"/>
      <c r="AD626" s="2"/>
      <c r="AE626" s="291"/>
      <c r="AF626" s="2"/>
      <c r="AG626" s="2"/>
      <c r="AH626" s="2"/>
      <c r="AI626" s="29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1:52" ht="12" customHeight="1" x14ac:dyDescent="0.35">
      <c r="A627" s="2"/>
      <c r="B627" s="2"/>
      <c r="C627" s="2"/>
      <c r="D627" s="2"/>
      <c r="E627" s="2"/>
      <c r="F627" s="2"/>
      <c r="G627" s="27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91"/>
      <c r="AC627" s="2"/>
      <c r="AD627" s="2"/>
      <c r="AE627" s="291"/>
      <c r="AF627" s="2"/>
      <c r="AG627" s="2"/>
      <c r="AH627" s="2"/>
      <c r="AI627" s="29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1:52" ht="12" customHeight="1" x14ac:dyDescent="0.35">
      <c r="A628" s="2"/>
      <c r="B628" s="2"/>
      <c r="C628" s="2"/>
      <c r="D628" s="2"/>
      <c r="E628" s="2"/>
      <c r="F628" s="2"/>
      <c r="G628" s="27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91"/>
      <c r="AC628" s="2"/>
      <c r="AD628" s="2"/>
      <c r="AE628" s="291"/>
      <c r="AF628" s="2"/>
      <c r="AG628" s="2"/>
      <c r="AH628" s="2"/>
      <c r="AI628" s="29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1:52" ht="12" customHeight="1" x14ac:dyDescent="0.35">
      <c r="A629" s="2"/>
      <c r="B629" s="2"/>
      <c r="C629" s="2"/>
      <c r="D629" s="2"/>
      <c r="E629" s="2"/>
      <c r="F629" s="2"/>
      <c r="G629" s="27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91"/>
      <c r="AC629" s="2"/>
      <c r="AD629" s="2"/>
      <c r="AE629" s="291"/>
      <c r="AF629" s="2"/>
      <c r="AG629" s="2"/>
      <c r="AH629" s="2"/>
      <c r="AI629" s="29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1:52" ht="12" customHeight="1" x14ac:dyDescent="0.35">
      <c r="A630" s="2"/>
      <c r="B630" s="2"/>
      <c r="C630" s="2"/>
      <c r="D630" s="2"/>
      <c r="E630" s="2"/>
      <c r="F630" s="2"/>
      <c r="G630" s="27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91"/>
      <c r="AC630" s="2"/>
      <c r="AD630" s="2"/>
      <c r="AE630" s="291"/>
      <c r="AF630" s="2"/>
      <c r="AG630" s="2"/>
      <c r="AH630" s="2"/>
      <c r="AI630" s="29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1:52" ht="12" customHeight="1" x14ac:dyDescent="0.35">
      <c r="A631" s="2"/>
      <c r="B631" s="2"/>
      <c r="C631" s="2"/>
      <c r="D631" s="2"/>
      <c r="E631" s="2"/>
      <c r="F631" s="2"/>
      <c r="G631" s="27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91"/>
      <c r="AC631" s="2"/>
      <c r="AD631" s="2"/>
      <c r="AE631" s="291"/>
      <c r="AF631" s="2"/>
      <c r="AG631" s="2"/>
      <c r="AH631" s="2"/>
      <c r="AI631" s="29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1:52" ht="12" customHeight="1" x14ac:dyDescent="0.35">
      <c r="A632" s="2"/>
      <c r="B632" s="2"/>
      <c r="C632" s="2"/>
      <c r="D632" s="2"/>
      <c r="E632" s="2"/>
      <c r="F632" s="2"/>
      <c r="G632" s="27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91"/>
      <c r="AC632" s="2"/>
      <c r="AD632" s="2"/>
      <c r="AE632" s="291"/>
      <c r="AF632" s="2"/>
      <c r="AG632" s="2"/>
      <c r="AH632" s="2"/>
      <c r="AI632" s="29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1:52" ht="12" customHeight="1" x14ac:dyDescent="0.35">
      <c r="A633" s="2"/>
      <c r="B633" s="2"/>
      <c r="C633" s="2"/>
      <c r="D633" s="2"/>
      <c r="E633" s="2"/>
      <c r="F633" s="2"/>
      <c r="G633" s="27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91"/>
      <c r="AC633" s="2"/>
      <c r="AD633" s="2"/>
      <c r="AE633" s="291"/>
      <c r="AF633" s="2"/>
      <c r="AG633" s="2"/>
      <c r="AH633" s="2"/>
      <c r="AI633" s="29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1:52" ht="12" customHeight="1" x14ac:dyDescent="0.35">
      <c r="A634" s="2"/>
      <c r="B634" s="2"/>
      <c r="C634" s="2"/>
      <c r="D634" s="2"/>
      <c r="E634" s="2"/>
      <c r="F634" s="2"/>
      <c r="G634" s="27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91"/>
      <c r="AC634" s="2"/>
      <c r="AD634" s="2"/>
      <c r="AE634" s="291"/>
      <c r="AF634" s="2"/>
      <c r="AG634" s="2"/>
      <c r="AH634" s="2"/>
      <c r="AI634" s="29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1:52" ht="12" customHeight="1" x14ac:dyDescent="0.35">
      <c r="A635" s="2"/>
      <c r="B635" s="2"/>
      <c r="C635" s="2"/>
      <c r="D635" s="2"/>
      <c r="E635" s="2"/>
      <c r="F635" s="2"/>
      <c r="G635" s="27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91"/>
      <c r="AC635" s="2"/>
      <c r="AD635" s="2"/>
      <c r="AE635" s="291"/>
      <c r="AF635" s="2"/>
      <c r="AG635" s="2"/>
      <c r="AH635" s="2"/>
      <c r="AI635" s="29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1:52" ht="12" customHeight="1" x14ac:dyDescent="0.35">
      <c r="A636" s="2"/>
      <c r="B636" s="2"/>
      <c r="C636" s="2"/>
      <c r="D636" s="2"/>
      <c r="E636" s="2"/>
      <c r="F636" s="2"/>
      <c r="G636" s="27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91"/>
      <c r="AC636" s="2"/>
      <c r="AD636" s="2"/>
      <c r="AE636" s="291"/>
      <c r="AF636" s="2"/>
      <c r="AG636" s="2"/>
      <c r="AH636" s="2"/>
      <c r="AI636" s="29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1:52" ht="12" customHeight="1" x14ac:dyDescent="0.35">
      <c r="A637" s="2"/>
      <c r="B637" s="2"/>
      <c r="C637" s="2"/>
      <c r="D637" s="2"/>
      <c r="E637" s="2"/>
      <c r="F637" s="2"/>
      <c r="G637" s="27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91"/>
      <c r="AC637" s="2"/>
      <c r="AD637" s="2"/>
      <c r="AE637" s="291"/>
      <c r="AF637" s="2"/>
      <c r="AG637" s="2"/>
      <c r="AH637" s="2"/>
      <c r="AI637" s="29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1:52" ht="12" customHeight="1" x14ac:dyDescent="0.35">
      <c r="A638" s="2"/>
      <c r="B638" s="2"/>
      <c r="C638" s="2"/>
      <c r="D638" s="2"/>
      <c r="E638" s="2"/>
      <c r="F638" s="2"/>
      <c r="G638" s="27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91"/>
      <c r="AC638" s="2"/>
      <c r="AD638" s="2"/>
      <c r="AE638" s="291"/>
      <c r="AF638" s="2"/>
      <c r="AG638" s="2"/>
      <c r="AH638" s="2"/>
      <c r="AI638" s="29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1:52" ht="12" customHeight="1" x14ac:dyDescent="0.35">
      <c r="A639" s="2"/>
      <c r="B639" s="2"/>
      <c r="C639" s="2"/>
      <c r="D639" s="2"/>
      <c r="E639" s="2"/>
      <c r="F639" s="2"/>
      <c r="G639" s="27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91"/>
      <c r="AC639" s="2"/>
      <c r="AD639" s="2"/>
      <c r="AE639" s="291"/>
      <c r="AF639" s="2"/>
      <c r="AG639" s="2"/>
      <c r="AH639" s="2"/>
      <c r="AI639" s="29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1:52" ht="12" customHeight="1" x14ac:dyDescent="0.35">
      <c r="A640" s="2"/>
      <c r="B640" s="2"/>
      <c r="C640" s="2"/>
      <c r="D640" s="2"/>
      <c r="E640" s="2"/>
      <c r="F640" s="2"/>
      <c r="G640" s="27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91"/>
      <c r="AC640" s="2"/>
      <c r="AD640" s="2"/>
      <c r="AE640" s="291"/>
      <c r="AF640" s="2"/>
      <c r="AG640" s="2"/>
      <c r="AH640" s="2"/>
      <c r="AI640" s="29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1:52" ht="12" customHeight="1" x14ac:dyDescent="0.35">
      <c r="A641" s="2"/>
      <c r="B641" s="2"/>
      <c r="C641" s="2"/>
      <c r="D641" s="2"/>
      <c r="E641" s="2"/>
      <c r="F641" s="2"/>
      <c r="G641" s="27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91"/>
      <c r="AC641" s="2"/>
      <c r="AD641" s="2"/>
      <c r="AE641" s="291"/>
      <c r="AF641" s="2"/>
      <c r="AG641" s="2"/>
      <c r="AH641" s="2"/>
      <c r="AI641" s="29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1:52" ht="12" customHeight="1" x14ac:dyDescent="0.35">
      <c r="A642" s="2"/>
      <c r="B642" s="2"/>
      <c r="C642" s="2"/>
      <c r="D642" s="2"/>
      <c r="E642" s="2"/>
      <c r="F642" s="2"/>
      <c r="G642" s="27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91"/>
      <c r="AC642" s="2"/>
      <c r="AD642" s="2"/>
      <c r="AE642" s="291"/>
      <c r="AF642" s="2"/>
      <c r="AG642" s="2"/>
      <c r="AH642" s="2"/>
      <c r="AI642" s="29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1:52" ht="12" customHeight="1" x14ac:dyDescent="0.35">
      <c r="A643" s="2"/>
      <c r="B643" s="2"/>
      <c r="C643" s="2"/>
      <c r="D643" s="2"/>
      <c r="E643" s="2"/>
      <c r="F643" s="2"/>
      <c r="G643" s="27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91"/>
      <c r="AC643" s="2"/>
      <c r="AD643" s="2"/>
      <c r="AE643" s="291"/>
      <c r="AF643" s="2"/>
      <c r="AG643" s="2"/>
      <c r="AH643" s="2"/>
      <c r="AI643" s="29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1:52" ht="12" customHeight="1" x14ac:dyDescent="0.35">
      <c r="A644" s="2"/>
      <c r="B644" s="2"/>
      <c r="C644" s="2"/>
      <c r="D644" s="2"/>
      <c r="E644" s="2"/>
      <c r="F644" s="2"/>
      <c r="G644" s="27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91"/>
      <c r="AC644" s="2"/>
      <c r="AD644" s="2"/>
      <c r="AE644" s="291"/>
      <c r="AF644" s="2"/>
      <c r="AG644" s="2"/>
      <c r="AH644" s="2"/>
      <c r="AI644" s="29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1:52" ht="12" customHeight="1" x14ac:dyDescent="0.35">
      <c r="A645" s="2"/>
      <c r="B645" s="2"/>
      <c r="C645" s="2"/>
      <c r="D645" s="2"/>
      <c r="E645" s="2"/>
      <c r="F645" s="2"/>
      <c r="G645" s="27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91"/>
      <c r="AC645" s="2"/>
      <c r="AD645" s="2"/>
      <c r="AE645" s="291"/>
      <c r="AF645" s="2"/>
      <c r="AG645" s="2"/>
      <c r="AH645" s="2"/>
      <c r="AI645" s="29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1:52" ht="12" customHeight="1" x14ac:dyDescent="0.35">
      <c r="A646" s="2"/>
      <c r="B646" s="2"/>
      <c r="C646" s="2"/>
      <c r="D646" s="2"/>
      <c r="E646" s="2"/>
      <c r="F646" s="2"/>
      <c r="G646" s="27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91"/>
      <c r="AC646" s="2"/>
      <c r="AD646" s="2"/>
      <c r="AE646" s="291"/>
      <c r="AF646" s="2"/>
      <c r="AG646" s="2"/>
      <c r="AH646" s="2"/>
      <c r="AI646" s="29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1:52" ht="12" customHeight="1" x14ac:dyDescent="0.35">
      <c r="A647" s="2"/>
      <c r="B647" s="2"/>
      <c r="C647" s="2"/>
      <c r="D647" s="2"/>
      <c r="E647" s="2"/>
      <c r="F647" s="2"/>
      <c r="G647" s="27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91"/>
      <c r="AC647" s="2"/>
      <c r="AD647" s="2"/>
      <c r="AE647" s="291"/>
      <c r="AF647" s="2"/>
      <c r="AG647" s="2"/>
      <c r="AH647" s="2"/>
      <c r="AI647" s="29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1:52" ht="12" customHeight="1" x14ac:dyDescent="0.35">
      <c r="A648" s="2"/>
      <c r="B648" s="2"/>
      <c r="C648" s="2"/>
      <c r="D648" s="2"/>
      <c r="E648" s="2"/>
      <c r="F648" s="2"/>
      <c r="G648" s="27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91"/>
      <c r="AC648" s="2"/>
      <c r="AD648" s="2"/>
      <c r="AE648" s="291"/>
      <c r="AF648" s="2"/>
      <c r="AG648" s="2"/>
      <c r="AH648" s="2"/>
      <c r="AI648" s="29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1:52" ht="12" customHeight="1" x14ac:dyDescent="0.35">
      <c r="A649" s="2"/>
      <c r="B649" s="2"/>
      <c r="C649" s="2"/>
      <c r="D649" s="2"/>
      <c r="E649" s="2"/>
      <c r="F649" s="2"/>
      <c r="G649" s="27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91"/>
      <c r="AC649" s="2"/>
      <c r="AD649" s="2"/>
      <c r="AE649" s="291"/>
      <c r="AF649" s="2"/>
      <c r="AG649" s="2"/>
      <c r="AH649" s="2"/>
      <c r="AI649" s="29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1:52" ht="12" customHeight="1" x14ac:dyDescent="0.35">
      <c r="A650" s="2"/>
      <c r="B650" s="2"/>
      <c r="C650" s="2"/>
      <c r="D650" s="2"/>
      <c r="E650" s="2"/>
      <c r="F650" s="2"/>
      <c r="G650" s="27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91"/>
      <c r="AC650" s="2"/>
      <c r="AD650" s="2"/>
      <c r="AE650" s="291"/>
      <c r="AF650" s="2"/>
      <c r="AG650" s="2"/>
      <c r="AH650" s="2"/>
      <c r="AI650" s="29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1:52" ht="12" customHeight="1" x14ac:dyDescent="0.35">
      <c r="A651" s="2"/>
      <c r="B651" s="2"/>
      <c r="C651" s="2"/>
      <c r="D651" s="2"/>
      <c r="E651" s="2"/>
      <c r="F651" s="2"/>
      <c r="G651" s="27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91"/>
      <c r="AC651" s="2"/>
      <c r="AD651" s="2"/>
      <c r="AE651" s="291"/>
      <c r="AF651" s="2"/>
      <c r="AG651" s="2"/>
      <c r="AH651" s="2"/>
      <c r="AI651" s="29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1:52" ht="12" customHeight="1" x14ac:dyDescent="0.35">
      <c r="A652" s="2"/>
      <c r="B652" s="2"/>
      <c r="C652" s="2"/>
      <c r="D652" s="2"/>
      <c r="E652" s="2"/>
      <c r="F652" s="2"/>
      <c r="G652" s="27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91"/>
      <c r="AC652" s="2"/>
      <c r="AD652" s="2"/>
      <c r="AE652" s="291"/>
      <c r="AF652" s="2"/>
      <c r="AG652" s="2"/>
      <c r="AH652" s="2"/>
      <c r="AI652" s="29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1:52" ht="12" customHeight="1" x14ac:dyDescent="0.35">
      <c r="A653" s="2"/>
      <c r="B653" s="2"/>
      <c r="C653" s="2"/>
      <c r="D653" s="2"/>
      <c r="E653" s="2"/>
      <c r="F653" s="2"/>
      <c r="G653" s="27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91"/>
      <c r="AC653" s="2"/>
      <c r="AD653" s="2"/>
      <c r="AE653" s="291"/>
      <c r="AF653" s="2"/>
      <c r="AG653" s="2"/>
      <c r="AH653" s="2"/>
      <c r="AI653" s="29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1:52" ht="12" customHeight="1" x14ac:dyDescent="0.35">
      <c r="A654" s="2"/>
      <c r="B654" s="2"/>
      <c r="C654" s="2"/>
      <c r="D654" s="2"/>
      <c r="E654" s="2"/>
      <c r="F654" s="2"/>
      <c r="G654" s="27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91"/>
      <c r="AC654" s="2"/>
      <c r="AD654" s="2"/>
      <c r="AE654" s="291"/>
      <c r="AF654" s="2"/>
      <c r="AG654" s="2"/>
      <c r="AH654" s="2"/>
      <c r="AI654" s="29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1:52" ht="12" customHeight="1" x14ac:dyDescent="0.35">
      <c r="A655" s="2"/>
      <c r="B655" s="2"/>
      <c r="C655" s="2"/>
      <c r="D655" s="2"/>
      <c r="E655" s="2"/>
      <c r="F655" s="2"/>
      <c r="G655" s="27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91"/>
      <c r="AC655" s="2"/>
      <c r="AD655" s="2"/>
      <c r="AE655" s="291"/>
      <c r="AF655" s="2"/>
      <c r="AG655" s="2"/>
      <c r="AH655" s="2"/>
      <c r="AI655" s="29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1:52" ht="12" customHeight="1" x14ac:dyDescent="0.35">
      <c r="A656" s="2"/>
      <c r="B656" s="2"/>
      <c r="C656" s="2"/>
      <c r="D656" s="2"/>
      <c r="E656" s="2"/>
      <c r="F656" s="2"/>
      <c r="G656" s="27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91"/>
      <c r="AC656" s="2"/>
      <c r="AD656" s="2"/>
      <c r="AE656" s="291"/>
      <c r="AF656" s="2"/>
      <c r="AG656" s="2"/>
      <c r="AH656" s="2"/>
      <c r="AI656" s="29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1:52" ht="12" customHeight="1" x14ac:dyDescent="0.35">
      <c r="A657" s="2"/>
      <c r="B657" s="2"/>
      <c r="C657" s="2"/>
      <c r="D657" s="2"/>
      <c r="E657" s="2"/>
      <c r="F657" s="2"/>
      <c r="G657" s="27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91"/>
      <c r="AC657" s="2"/>
      <c r="AD657" s="2"/>
      <c r="AE657" s="291"/>
      <c r="AF657" s="2"/>
      <c r="AG657" s="2"/>
      <c r="AH657" s="2"/>
      <c r="AI657" s="29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1:52" ht="12" customHeight="1" x14ac:dyDescent="0.35">
      <c r="A658" s="2"/>
      <c r="B658" s="2"/>
      <c r="C658" s="2"/>
      <c r="D658" s="2"/>
      <c r="E658" s="2"/>
      <c r="F658" s="2"/>
      <c r="G658" s="27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91"/>
      <c r="AC658" s="2"/>
      <c r="AD658" s="2"/>
      <c r="AE658" s="291"/>
      <c r="AF658" s="2"/>
      <c r="AG658" s="2"/>
      <c r="AH658" s="2"/>
      <c r="AI658" s="29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1:52" ht="12" customHeight="1" x14ac:dyDescent="0.35">
      <c r="A659" s="2"/>
      <c r="B659" s="2"/>
      <c r="C659" s="2"/>
      <c r="D659" s="2"/>
      <c r="E659" s="2"/>
      <c r="F659" s="2"/>
      <c r="G659" s="27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91"/>
      <c r="AC659" s="2"/>
      <c r="AD659" s="2"/>
      <c r="AE659" s="291"/>
      <c r="AF659" s="2"/>
      <c r="AG659" s="2"/>
      <c r="AH659" s="2"/>
      <c r="AI659" s="29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1:52" ht="12" customHeight="1" x14ac:dyDescent="0.35">
      <c r="A660" s="2"/>
      <c r="B660" s="2"/>
      <c r="C660" s="2"/>
      <c r="D660" s="2"/>
      <c r="E660" s="2"/>
      <c r="F660" s="2"/>
      <c r="G660" s="27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91"/>
      <c r="AC660" s="2"/>
      <c r="AD660" s="2"/>
      <c r="AE660" s="291"/>
      <c r="AF660" s="2"/>
      <c r="AG660" s="2"/>
      <c r="AH660" s="2"/>
      <c r="AI660" s="29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1:52" ht="12" customHeight="1" x14ac:dyDescent="0.35">
      <c r="A661" s="2"/>
      <c r="B661" s="2"/>
      <c r="C661" s="2"/>
      <c r="D661" s="2"/>
      <c r="E661" s="2"/>
      <c r="F661" s="2"/>
      <c r="G661" s="27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91"/>
      <c r="AC661" s="2"/>
      <c r="AD661" s="2"/>
      <c r="AE661" s="291"/>
      <c r="AF661" s="2"/>
      <c r="AG661" s="2"/>
      <c r="AH661" s="2"/>
      <c r="AI661" s="29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1:52" ht="12" customHeight="1" x14ac:dyDescent="0.35">
      <c r="A662" s="2"/>
      <c r="B662" s="2"/>
      <c r="C662" s="2"/>
      <c r="D662" s="2"/>
      <c r="E662" s="2"/>
      <c r="F662" s="2"/>
      <c r="G662" s="27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91"/>
      <c r="AC662" s="2"/>
      <c r="AD662" s="2"/>
      <c r="AE662" s="291"/>
      <c r="AF662" s="2"/>
      <c r="AG662" s="2"/>
      <c r="AH662" s="2"/>
      <c r="AI662" s="29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1:52" ht="12" customHeight="1" x14ac:dyDescent="0.35">
      <c r="A663" s="2"/>
      <c r="B663" s="2"/>
      <c r="C663" s="2"/>
      <c r="D663" s="2"/>
      <c r="E663" s="2"/>
      <c r="F663" s="2"/>
      <c r="G663" s="27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91"/>
      <c r="AC663" s="2"/>
      <c r="AD663" s="2"/>
      <c r="AE663" s="291"/>
      <c r="AF663" s="2"/>
      <c r="AG663" s="2"/>
      <c r="AH663" s="2"/>
      <c r="AI663" s="29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1:52" ht="12" customHeight="1" x14ac:dyDescent="0.35">
      <c r="A664" s="2"/>
      <c r="B664" s="2"/>
      <c r="C664" s="2"/>
      <c r="D664" s="2"/>
      <c r="E664" s="2"/>
      <c r="F664" s="2"/>
      <c r="G664" s="27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91"/>
      <c r="AC664" s="2"/>
      <c r="AD664" s="2"/>
      <c r="AE664" s="291"/>
      <c r="AF664" s="2"/>
      <c r="AG664" s="2"/>
      <c r="AH664" s="2"/>
      <c r="AI664" s="29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1:52" ht="12" customHeight="1" x14ac:dyDescent="0.35">
      <c r="A665" s="2"/>
      <c r="B665" s="2"/>
      <c r="C665" s="2"/>
      <c r="D665" s="2"/>
      <c r="E665" s="2"/>
      <c r="F665" s="2"/>
      <c r="G665" s="27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91"/>
      <c r="AC665" s="2"/>
      <c r="AD665" s="2"/>
      <c r="AE665" s="291"/>
      <c r="AF665" s="2"/>
      <c r="AG665" s="2"/>
      <c r="AH665" s="2"/>
      <c r="AI665" s="29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1:52" ht="12" customHeight="1" x14ac:dyDescent="0.35">
      <c r="A666" s="2"/>
      <c r="B666" s="2"/>
      <c r="C666" s="2"/>
      <c r="D666" s="2"/>
      <c r="E666" s="2"/>
      <c r="F666" s="2"/>
      <c r="G666" s="27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91"/>
      <c r="AC666" s="2"/>
      <c r="AD666" s="2"/>
      <c r="AE666" s="291"/>
      <c r="AF666" s="2"/>
      <c r="AG666" s="2"/>
      <c r="AH666" s="2"/>
      <c r="AI666" s="29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1:52" ht="12" customHeight="1" x14ac:dyDescent="0.35">
      <c r="A667" s="2"/>
      <c r="B667" s="2"/>
      <c r="C667" s="2"/>
      <c r="D667" s="2"/>
      <c r="E667" s="2"/>
      <c r="F667" s="2"/>
      <c r="G667" s="27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91"/>
      <c r="AC667" s="2"/>
      <c r="AD667" s="2"/>
      <c r="AE667" s="291"/>
      <c r="AF667" s="2"/>
      <c r="AG667" s="2"/>
      <c r="AH667" s="2"/>
      <c r="AI667" s="29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1:52" ht="12" customHeight="1" x14ac:dyDescent="0.35">
      <c r="A668" s="2"/>
      <c r="B668" s="2"/>
      <c r="C668" s="2"/>
      <c r="D668" s="2"/>
      <c r="E668" s="2"/>
      <c r="F668" s="2"/>
      <c r="G668" s="27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91"/>
      <c r="AC668" s="2"/>
      <c r="AD668" s="2"/>
      <c r="AE668" s="291"/>
      <c r="AF668" s="2"/>
      <c r="AG668" s="2"/>
      <c r="AH668" s="2"/>
      <c r="AI668" s="29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1:52" ht="12" customHeight="1" x14ac:dyDescent="0.35">
      <c r="A669" s="2"/>
      <c r="B669" s="2"/>
      <c r="C669" s="2"/>
      <c r="D669" s="2"/>
      <c r="E669" s="2"/>
      <c r="F669" s="2"/>
      <c r="G669" s="27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91"/>
      <c r="AC669" s="2"/>
      <c r="AD669" s="2"/>
      <c r="AE669" s="291"/>
      <c r="AF669" s="2"/>
      <c r="AG669" s="2"/>
      <c r="AH669" s="2"/>
      <c r="AI669" s="29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1:52" ht="12" customHeight="1" x14ac:dyDescent="0.35">
      <c r="A670" s="2"/>
      <c r="B670" s="2"/>
      <c r="C670" s="2"/>
      <c r="D670" s="2"/>
      <c r="E670" s="2"/>
      <c r="F670" s="2"/>
      <c r="G670" s="27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91"/>
      <c r="AC670" s="2"/>
      <c r="AD670" s="2"/>
      <c r="AE670" s="291"/>
      <c r="AF670" s="2"/>
      <c r="AG670" s="2"/>
      <c r="AH670" s="2"/>
      <c r="AI670" s="29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1:52" ht="12" customHeight="1" x14ac:dyDescent="0.35">
      <c r="A671" s="2"/>
      <c r="B671" s="2"/>
      <c r="C671" s="2"/>
      <c r="D671" s="2"/>
      <c r="E671" s="2"/>
      <c r="F671" s="2"/>
      <c r="G671" s="27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91"/>
      <c r="AC671" s="2"/>
      <c r="AD671" s="2"/>
      <c r="AE671" s="291"/>
      <c r="AF671" s="2"/>
      <c r="AG671" s="2"/>
      <c r="AH671" s="2"/>
      <c r="AI671" s="29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1:52" ht="12" customHeight="1" x14ac:dyDescent="0.35">
      <c r="A672" s="2"/>
      <c r="B672" s="2"/>
      <c r="C672" s="2"/>
      <c r="D672" s="2"/>
      <c r="E672" s="2"/>
      <c r="F672" s="2"/>
      <c r="G672" s="27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91"/>
      <c r="AC672" s="2"/>
      <c r="AD672" s="2"/>
      <c r="AE672" s="291"/>
      <c r="AF672" s="2"/>
      <c r="AG672" s="2"/>
      <c r="AH672" s="2"/>
      <c r="AI672" s="29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1:52" ht="12" customHeight="1" x14ac:dyDescent="0.35">
      <c r="A673" s="2"/>
      <c r="B673" s="2"/>
      <c r="C673" s="2"/>
      <c r="D673" s="2"/>
      <c r="E673" s="2"/>
      <c r="F673" s="2"/>
      <c r="G673" s="27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91"/>
      <c r="AC673" s="2"/>
      <c r="AD673" s="2"/>
      <c r="AE673" s="291"/>
      <c r="AF673" s="2"/>
      <c r="AG673" s="2"/>
      <c r="AH673" s="2"/>
      <c r="AI673" s="29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1:52" ht="12" customHeight="1" x14ac:dyDescent="0.35">
      <c r="A674" s="2"/>
      <c r="B674" s="2"/>
      <c r="C674" s="2"/>
      <c r="D674" s="2"/>
      <c r="E674" s="2"/>
      <c r="F674" s="2"/>
      <c r="G674" s="27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91"/>
      <c r="AC674" s="2"/>
      <c r="AD674" s="2"/>
      <c r="AE674" s="291"/>
      <c r="AF674" s="2"/>
      <c r="AG674" s="2"/>
      <c r="AH674" s="2"/>
      <c r="AI674" s="29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1:52" ht="12" customHeight="1" x14ac:dyDescent="0.35">
      <c r="A675" s="2"/>
      <c r="B675" s="2"/>
      <c r="C675" s="2"/>
      <c r="D675" s="2"/>
      <c r="E675" s="2"/>
      <c r="F675" s="2"/>
      <c r="G675" s="27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91"/>
      <c r="AC675" s="2"/>
      <c r="AD675" s="2"/>
      <c r="AE675" s="291"/>
      <c r="AF675" s="2"/>
      <c r="AG675" s="2"/>
      <c r="AH675" s="2"/>
      <c r="AI675" s="29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1:52" ht="12" customHeight="1" x14ac:dyDescent="0.35">
      <c r="A676" s="2"/>
      <c r="B676" s="2"/>
      <c r="C676" s="2"/>
      <c r="D676" s="2"/>
      <c r="E676" s="2"/>
      <c r="F676" s="2"/>
      <c r="G676" s="27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91"/>
      <c r="AC676" s="2"/>
      <c r="AD676" s="2"/>
      <c r="AE676" s="291"/>
      <c r="AF676" s="2"/>
      <c r="AG676" s="2"/>
      <c r="AH676" s="2"/>
      <c r="AI676" s="29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1:52" ht="12" customHeight="1" x14ac:dyDescent="0.35">
      <c r="A677" s="2"/>
      <c r="B677" s="2"/>
      <c r="C677" s="2"/>
      <c r="D677" s="2"/>
      <c r="E677" s="2"/>
      <c r="F677" s="2"/>
      <c r="G677" s="27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91"/>
      <c r="AC677" s="2"/>
      <c r="AD677" s="2"/>
      <c r="AE677" s="291"/>
      <c r="AF677" s="2"/>
      <c r="AG677" s="2"/>
      <c r="AH677" s="2"/>
      <c r="AI677" s="29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1:52" ht="12" customHeight="1" x14ac:dyDescent="0.35">
      <c r="A678" s="2"/>
      <c r="B678" s="2"/>
      <c r="C678" s="2"/>
      <c r="D678" s="2"/>
      <c r="E678" s="2"/>
      <c r="F678" s="2"/>
      <c r="G678" s="27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91"/>
      <c r="AC678" s="2"/>
      <c r="AD678" s="2"/>
      <c r="AE678" s="291"/>
      <c r="AF678" s="2"/>
      <c r="AG678" s="2"/>
      <c r="AH678" s="2"/>
      <c r="AI678" s="29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1:52" ht="12" customHeight="1" x14ac:dyDescent="0.35">
      <c r="A679" s="2"/>
      <c r="B679" s="2"/>
      <c r="C679" s="2"/>
      <c r="D679" s="2"/>
      <c r="E679" s="2"/>
      <c r="F679" s="2"/>
      <c r="G679" s="27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91"/>
      <c r="AC679" s="2"/>
      <c r="AD679" s="2"/>
      <c r="AE679" s="291"/>
      <c r="AF679" s="2"/>
      <c r="AG679" s="2"/>
      <c r="AH679" s="2"/>
      <c r="AI679" s="29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1:52" ht="12" customHeight="1" x14ac:dyDescent="0.35">
      <c r="A680" s="2"/>
      <c r="B680" s="2"/>
      <c r="C680" s="2"/>
      <c r="D680" s="2"/>
      <c r="E680" s="2"/>
      <c r="F680" s="2"/>
      <c r="G680" s="27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91"/>
      <c r="AC680" s="2"/>
      <c r="AD680" s="2"/>
      <c r="AE680" s="291"/>
      <c r="AF680" s="2"/>
      <c r="AG680" s="2"/>
      <c r="AH680" s="2"/>
      <c r="AI680" s="29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1:52" ht="12" customHeight="1" x14ac:dyDescent="0.35">
      <c r="A681" s="2"/>
      <c r="B681" s="2"/>
      <c r="C681" s="2"/>
      <c r="D681" s="2"/>
      <c r="E681" s="2"/>
      <c r="F681" s="2"/>
      <c r="G681" s="27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91"/>
      <c r="AC681" s="2"/>
      <c r="AD681" s="2"/>
      <c r="AE681" s="291"/>
      <c r="AF681" s="2"/>
      <c r="AG681" s="2"/>
      <c r="AH681" s="2"/>
      <c r="AI681" s="29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1:52" ht="12" customHeight="1" x14ac:dyDescent="0.35">
      <c r="A682" s="2"/>
      <c r="B682" s="2"/>
      <c r="C682" s="2"/>
      <c r="D682" s="2"/>
      <c r="E682" s="2"/>
      <c r="F682" s="2"/>
      <c r="G682" s="27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91"/>
      <c r="AC682" s="2"/>
      <c r="AD682" s="2"/>
      <c r="AE682" s="291"/>
      <c r="AF682" s="2"/>
      <c r="AG682" s="2"/>
      <c r="AH682" s="2"/>
      <c r="AI682" s="29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1:52" ht="12" customHeight="1" x14ac:dyDescent="0.35">
      <c r="A683" s="2"/>
      <c r="B683" s="2"/>
      <c r="C683" s="2"/>
      <c r="D683" s="2"/>
      <c r="E683" s="2"/>
      <c r="F683" s="2"/>
      <c r="G683" s="27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91"/>
      <c r="AC683" s="2"/>
      <c r="AD683" s="2"/>
      <c r="AE683" s="291"/>
      <c r="AF683" s="2"/>
      <c r="AG683" s="2"/>
      <c r="AH683" s="2"/>
      <c r="AI683" s="29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1:52" ht="12" customHeight="1" x14ac:dyDescent="0.35">
      <c r="A684" s="2"/>
      <c r="B684" s="2"/>
      <c r="C684" s="2"/>
      <c r="D684" s="2"/>
      <c r="E684" s="2"/>
      <c r="F684" s="2"/>
      <c r="G684" s="27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91"/>
      <c r="AC684" s="2"/>
      <c r="AD684" s="2"/>
      <c r="AE684" s="291"/>
      <c r="AF684" s="2"/>
      <c r="AG684" s="2"/>
      <c r="AH684" s="2"/>
      <c r="AI684" s="29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1:52" ht="12" customHeight="1" x14ac:dyDescent="0.35">
      <c r="A685" s="2"/>
      <c r="B685" s="2"/>
      <c r="C685" s="2"/>
      <c r="D685" s="2"/>
      <c r="E685" s="2"/>
      <c r="F685" s="2"/>
      <c r="G685" s="27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91"/>
      <c r="AC685" s="2"/>
      <c r="AD685" s="2"/>
      <c r="AE685" s="291"/>
      <c r="AF685" s="2"/>
      <c r="AG685" s="2"/>
      <c r="AH685" s="2"/>
      <c r="AI685" s="29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1:52" ht="12" customHeight="1" x14ac:dyDescent="0.35">
      <c r="A686" s="2"/>
      <c r="B686" s="2"/>
      <c r="C686" s="2"/>
      <c r="D686" s="2"/>
      <c r="E686" s="2"/>
      <c r="F686" s="2"/>
      <c r="G686" s="27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91"/>
      <c r="AC686" s="2"/>
      <c r="AD686" s="2"/>
      <c r="AE686" s="291"/>
      <c r="AF686" s="2"/>
      <c r="AG686" s="2"/>
      <c r="AH686" s="2"/>
      <c r="AI686" s="29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1:52" ht="12" customHeight="1" x14ac:dyDescent="0.35">
      <c r="A687" s="2"/>
      <c r="B687" s="2"/>
      <c r="C687" s="2"/>
      <c r="D687" s="2"/>
      <c r="E687" s="2"/>
      <c r="F687" s="2"/>
      <c r="G687" s="27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91"/>
      <c r="AC687" s="2"/>
      <c r="AD687" s="2"/>
      <c r="AE687" s="291"/>
      <c r="AF687" s="2"/>
      <c r="AG687" s="2"/>
      <c r="AH687" s="2"/>
      <c r="AI687" s="29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1:52" ht="12" customHeight="1" x14ac:dyDescent="0.35">
      <c r="A688" s="2"/>
      <c r="B688" s="2"/>
      <c r="C688" s="2"/>
      <c r="D688" s="2"/>
      <c r="E688" s="2"/>
      <c r="F688" s="2"/>
      <c r="G688" s="27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91"/>
      <c r="AC688" s="2"/>
      <c r="AD688" s="2"/>
      <c r="AE688" s="291"/>
      <c r="AF688" s="2"/>
      <c r="AG688" s="2"/>
      <c r="AH688" s="2"/>
      <c r="AI688" s="29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1:52" ht="12" customHeight="1" x14ac:dyDescent="0.35">
      <c r="A689" s="2"/>
      <c r="B689" s="2"/>
      <c r="C689" s="2"/>
      <c r="D689" s="2"/>
      <c r="E689" s="2"/>
      <c r="F689" s="2"/>
      <c r="G689" s="27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91"/>
      <c r="AC689" s="2"/>
      <c r="AD689" s="2"/>
      <c r="AE689" s="291"/>
      <c r="AF689" s="2"/>
      <c r="AG689" s="2"/>
      <c r="AH689" s="2"/>
      <c r="AI689" s="29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1:52" ht="12" customHeight="1" x14ac:dyDescent="0.35">
      <c r="A690" s="2"/>
      <c r="B690" s="2"/>
      <c r="C690" s="2"/>
      <c r="D690" s="2"/>
      <c r="E690" s="2"/>
      <c r="F690" s="2"/>
      <c r="G690" s="27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91"/>
      <c r="AC690" s="2"/>
      <c r="AD690" s="2"/>
      <c r="AE690" s="291"/>
      <c r="AF690" s="2"/>
      <c r="AG690" s="2"/>
      <c r="AH690" s="2"/>
      <c r="AI690" s="29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1:52" ht="12" customHeight="1" x14ac:dyDescent="0.35">
      <c r="A691" s="2"/>
      <c r="B691" s="2"/>
      <c r="C691" s="2"/>
      <c r="D691" s="2"/>
      <c r="E691" s="2"/>
      <c r="F691" s="2"/>
      <c r="G691" s="27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91"/>
      <c r="AC691" s="2"/>
      <c r="AD691" s="2"/>
      <c r="AE691" s="291"/>
      <c r="AF691" s="2"/>
      <c r="AG691" s="2"/>
      <c r="AH691" s="2"/>
      <c r="AI691" s="29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1:52" ht="12" customHeight="1" x14ac:dyDescent="0.35">
      <c r="A692" s="2"/>
      <c r="B692" s="2"/>
      <c r="C692" s="2"/>
      <c r="D692" s="2"/>
      <c r="E692" s="2"/>
      <c r="F692" s="2"/>
      <c r="G692" s="27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91"/>
      <c r="AC692" s="2"/>
      <c r="AD692" s="2"/>
      <c r="AE692" s="291"/>
      <c r="AF692" s="2"/>
      <c r="AG692" s="2"/>
      <c r="AH692" s="2"/>
      <c r="AI692" s="29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1:52" ht="12" customHeight="1" x14ac:dyDescent="0.35">
      <c r="A693" s="2"/>
      <c r="B693" s="2"/>
      <c r="C693" s="2"/>
      <c r="D693" s="2"/>
      <c r="E693" s="2"/>
      <c r="F693" s="2"/>
      <c r="G693" s="27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91"/>
      <c r="AC693" s="2"/>
      <c r="AD693" s="2"/>
      <c r="AE693" s="291"/>
      <c r="AF693" s="2"/>
      <c r="AG693" s="2"/>
      <c r="AH693" s="2"/>
      <c r="AI693" s="29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1:52" ht="12" customHeight="1" x14ac:dyDescent="0.35">
      <c r="A694" s="2"/>
      <c r="B694" s="2"/>
      <c r="C694" s="2"/>
      <c r="D694" s="2"/>
      <c r="E694" s="2"/>
      <c r="F694" s="2"/>
      <c r="G694" s="27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91"/>
      <c r="AC694" s="2"/>
      <c r="AD694" s="2"/>
      <c r="AE694" s="291"/>
      <c r="AF694" s="2"/>
      <c r="AG694" s="2"/>
      <c r="AH694" s="2"/>
      <c r="AI694" s="29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1:52" ht="12" customHeight="1" x14ac:dyDescent="0.35">
      <c r="A695" s="2"/>
      <c r="B695" s="2"/>
      <c r="C695" s="2"/>
      <c r="D695" s="2"/>
      <c r="E695" s="2"/>
      <c r="F695" s="2"/>
      <c r="G695" s="27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91"/>
      <c r="AC695" s="2"/>
      <c r="AD695" s="2"/>
      <c r="AE695" s="291"/>
      <c r="AF695" s="2"/>
      <c r="AG695" s="2"/>
      <c r="AH695" s="2"/>
      <c r="AI695" s="29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1:52" ht="12" customHeight="1" x14ac:dyDescent="0.35">
      <c r="A696" s="2"/>
      <c r="B696" s="2"/>
      <c r="C696" s="2"/>
      <c r="D696" s="2"/>
      <c r="E696" s="2"/>
      <c r="F696" s="2"/>
      <c r="G696" s="27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91"/>
      <c r="AC696" s="2"/>
      <c r="AD696" s="2"/>
      <c r="AE696" s="291"/>
      <c r="AF696" s="2"/>
      <c r="AG696" s="2"/>
      <c r="AH696" s="2"/>
      <c r="AI696" s="29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1:52" ht="12" customHeight="1" x14ac:dyDescent="0.35">
      <c r="A697" s="2"/>
      <c r="B697" s="2"/>
      <c r="C697" s="2"/>
      <c r="D697" s="2"/>
      <c r="E697" s="2"/>
      <c r="F697" s="2"/>
      <c r="G697" s="27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91"/>
      <c r="AC697" s="2"/>
      <c r="AD697" s="2"/>
      <c r="AE697" s="291"/>
      <c r="AF697" s="2"/>
      <c r="AG697" s="2"/>
      <c r="AH697" s="2"/>
      <c r="AI697" s="29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1:52" ht="12" customHeight="1" x14ac:dyDescent="0.35">
      <c r="A698" s="2"/>
      <c r="B698" s="2"/>
      <c r="C698" s="2"/>
      <c r="D698" s="2"/>
      <c r="E698" s="2"/>
      <c r="F698" s="2"/>
      <c r="G698" s="27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91"/>
      <c r="AC698" s="2"/>
      <c r="AD698" s="2"/>
      <c r="AE698" s="291"/>
      <c r="AF698" s="2"/>
      <c r="AG698" s="2"/>
      <c r="AH698" s="2"/>
      <c r="AI698" s="29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1:52" ht="12" customHeight="1" x14ac:dyDescent="0.35">
      <c r="A699" s="2"/>
      <c r="B699" s="2"/>
      <c r="C699" s="2"/>
      <c r="D699" s="2"/>
      <c r="E699" s="2"/>
      <c r="F699" s="2"/>
      <c r="G699" s="27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91"/>
      <c r="AC699" s="2"/>
      <c r="AD699" s="2"/>
      <c r="AE699" s="291"/>
      <c r="AF699" s="2"/>
      <c r="AG699" s="2"/>
      <c r="AH699" s="2"/>
      <c r="AI699" s="29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1:52" ht="12" customHeight="1" x14ac:dyDescent="0.35">
      <c r="A700" s="2"/>
      <c r="B700" s="2"/>
      <c r="C700" s="2"/>
      <c r="D700" s="2"/>
      <c r="E700" s="2"/>
      <c r="F700" s="2"/>
      <c r="G700" s="27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91"/>
      <c r="AC700" s="2"/>
      <c r="AD700" s="2"/>
      <c r="AE700" s="291"/>
      <c r="AF700" s="2"/>
      <c r="AG700" s="2"/>
      <c r="AH700" s="2"/>
      <c r="AI700" s="29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1:52" ht="12" customHeight="1" x14ac:dyDescent="0.35">
      <c r="A701" s="2"/>
      <c r="B701" s="2"/>
      <c r="C701" s="2"/>
      <c r="D701" s="2"/>
      <c r="E701" s="2"/>
      <c r="F701" s="2"/>
      <c r="G701" s="27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91"/>
      <c r="AC701" s="2"/>
      <c r="AD701" s="2"/>
      <c r="AE701" s="291"/>
      <c r="AF701" s="2"/>
      <c r="AG701" s="2"/>
      <c r="AH701" s="2"/>
      <c r="AI701" s="29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1:52" ht="12" customHeight="1" x14ac:dyDescent="0.35">
      <c r="A702" s="2"/>
      <c r="B702" s="2"/>
      <c r="C702" s="2"/>
      <c r="D702" s="2"/>
      <c r="E702" s="2"/>
      <c r="F702" s="2"/>
      <c r="G702" s="27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91"/>
      <c r="AC702" s="2"/>
      <c r="AD702" s="2"/>
      <c r="AE702" s="291"/>
      <c r="AF702" s="2"/>
      <c r="AG702" s="2"/>
      <c r="AH702" s="2"/>
      <c r="AI702" s="29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1:52" ht="12" customHeight="1" x14ac:dyDescent="0.35">
      <c r="A703" s="2"/>
      <c r="B703" s="2"/>
      <c r="C703" s="2"/>
      <c r="D703" s="2"/>
      <c r="E703" s="2"/>
      <c r="F703" s="2"/>
      <c r="G703" s="27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91"/>
      <c r="AC703" s="2"/>
      <c r="AD703" s="2"/>
      <c r="AE703" s="291"/>
      <c r="AF703" s="2"/>
      <c r="AG703" s="2"/>
      <c r="AH703" s="2"/>
      <c r="AI703" s="29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1:52" ht="12" customHeight="1" x14ac:dyDescent="0.35">
      <c r="A704" s="2"/>
      <c r="B704" s="2"/>
      <c r="C704" s="2"/>
      <c r="D704" s="2"/>
      <c r="E704" s="2"/>
      <c r="F704" s="2"/>
      <c r="G704" s="27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91"/>
      <c r="AC704" s="2"/>
      <c r="AD704" s="2"/>
      <c r="AE704" s="291"/>
      <c r="AF704" s="2"/>
      <c r="AG704" s="2"/>
      <c r="AH704" s="2"/>
      <c r="AI704" s="29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1:52" ht="12" customHeight="1" x14ac:dyDescent="0.35">
      <c r="A705" s="2"/>
      <c r="B705" s="2"/>
      <c r="C705" s="2"/>
      <c r="D705" s="2"/>
      <c r="E705" s="2"/>
      <c r="F705" s="2"/>
      <c r="G705" s="27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91"/>
      <c r="AC705" s="2"/>
      <c r="AD705" s="2"/>
      <c r="AE705" s="291"/>
      <c r="AF705" s="2"/>
      <c r="AG705" s="2"/>
      <c r="AH705" s="2"/>
      <c r="AI705" s="29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1:52" ht="12" customHeight="1" x14ac:dyDescent="0.35">
      <c r="A706" s="2"/>
      <c r="B706" s="2"/>
      <c r="C706" s="2"/>
      <c r="D706" s="2"/>
      <c r="E706" s="2"/>
      <c r="F706" s="2"/>
      <c r="G706" s="27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91"/>
      <c r="AC706" s="2"/>
      <c r="AD706" s="2"/>
      <c r="AE706" s="291"/>
      <c r="AF706" s="2"/>
      <c r="AG706" s="2"/>
      <c r="AH706" s="2"/>
      <c r="AI706" s="29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1:52" ht="12" customHeight="1" x14ac:dyDescent="0.35">
      <c r="A707" s="2"/>
      <c r="B707" s="2"/>
      <c r="C707" s="2"/>
      <c r="D707" s="2"/>
      <c r="E707" s="2"/>
      <c r="F707" s="2"/>
      <c r="G707" s="27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91"/>
      <c r="AC707" s="2"/>
      <c r="AD707" s="2"/>
      <c r="AE707" s="291"/>
      <c r="AF707" s="2"/>
      <c r="AG707" s="2"/>
      <c r="AH707" s="2"/>
      <c r="AI707" s="29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1:52" ht="12" customHeight="1" x14ac:dyDescent="0.35">
      <c r="A708" s="2"/>
      <c r="B708" s="2"/>
      <c r="C708" s="2"/>
      <c r="D708" s="2"/>
      <c r="E708" s="2"/>
      <c r="F708" s="2"/>
      <c r="G708" s="27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91"/>
      <c r="AC708" s="2"/>
      <c r="AD708" s="2"/>
      <c r="AE708" s="291"/>
      <c r="AF708" s="2"/>
      <c r="AG708" s="2"/>
      <c r="AH708" s="2"/>
      <c r="AI708" s="29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1:52" ht="12" customHeight="1" x14ac:dyDescent="0.35">
      <c r="A709" s="2"/>
      <c r="B709" s="2"/>
      <c r="C709" s="2"/>
      <c r="D709" s="2"/>
      <c r="E709" s="2"/>
      <c r="F709" s="2"/>
      <c r="G709" s="27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91"/>
      <c r="AC709" s="2"/>
      <c r="AD709" s="2"/>
      <c r="AE709" s="291"/>
      <c r="AF709" s="2"/>
      <c r="AG709" s="2"/>
      <c r="AH709" s="2"/>
      <c r="AI709" s="29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1:52" ht="12" customHeight="1" x14ac:dyDescent="0.35">
      <c r="A710" s="2"/>
      <c r="B710" s="2"/>
      <c r="C710" s="2"/>
      <c r="D710" s="2"/>
      <c r="E710" s="2"/>
      <c r="F710" s="2"/>
      <c r="G710" s="27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91"/>
      <c r="AC710" s="2"/>
      <c r="AD710" s="2"/>
      <c r="AE710" s="291"/>
      <c r="AF710" s="2"/>
      <c r="AG710" s="2"/>
      <c r="AH710" s="2"/>
      <c r="AI710" s="29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1:52" ht="12" customHeight="1" x14ac:dyDescent="0.35">
      <c r="A711" s="2"/>
      <c r="B711" s="2"/>
      <c r="C711" s="2"/>
      <c r="D711" s="2"/>
      <c r="E711" s="2"/>
      <c r="F711" s="2"/>
      <c r="G711" s="27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91"/>
      <c r="AC711" s="2"/>
      <c r="AD711" s="2"/>
      <c r="AE711" s="291"/>
      <c r="AF711" s="2"/>
      <c r="AG711" s="2"/>
      <c r="AH711" s="2"/>
      <c r="AI711" s="29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1:52" ht="12" customHeight="1" x14ac:dyDescent="0.35">
      <c r="A712" s="2"/>
      <c r="B712" s="2"/>
      <c r="C712" s="2"/>
      <c r="D712" s="2"/>
      <c r="E712" s="2"/>
      <c r="F712" s="2"/>
      <c r="G712" s="27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91"/>
      <c r="AC712" s="2"/>
      <c r="AD712" s="2"/>
      <c r="AE712" s="291"/>
      <c r="AF712" s="2"/>
      <c r="AG712" s="2"/>
      <c r="AH712" s="2"/>
      <c r="AI712" s="29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1:52" ht="12" customHeight="1" x14ac:dyDescent="0.35">
      <c r="A713" s="2"/>
      <c r="B713" s="2"/>
      <c r="C713" s="2"/>
      <c r="D713" s="2"/>
      <c r="E713" s="2"/>
      <c r="F713" s="2"/>
      <c r="G713" s="27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91"/>
      <c r="AC713" s="2"/>
      <c r="AD713" s="2"/>
      <c r="AE713" s="291"/>
      <c r="AF713" s="2"/>
      <c r="AG713" s="2"/>
      <c r="AH713" s="2"/>
      <c r="AI713" s="29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1:52" ht="12" customHeight="1" x14ac:dyDescent="0.35">
      <c r="A714" s="2"/>
      <c r="B714" s="2"/>
      <c r="C714" s="2"/>
      <c r="D714" s="2"/>
      <c r="E714" s="2"/>
      <c r="F714" s="2"/>
      <c r="G714" s="27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91"/>
      <c r="AC714" s="2"/>
      <c r="AD714" s="2"/>
      <c r="AE714" s="291"/>
      <c r="AF714" s="2"/>
      <c r="AG714" s="2"/>
      <c r="AH714" s="2"/>
      <c r="AI714" s="29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1:52" ht="12" customHeight="1" x14ac:dyDescent="0.35">
      <c r="A715" s="2"/>
      <c r="B715" s="2"/>
      <c r="C715" s="2"/>
      <c r="D715" s="2"/>
      <c r="E715" s="2"/>
      <c r="F715" s="2"/>
      <c r="G715" s="27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91"/>
      <c r="AC715" s="2"/>
      <c r="AD715" s="2"/>
      <c r="AE715" s="291"/>
      <c r="AF715" s="2"/>
      <c r="AG715" s="2"/>
      <c r="AH715" s="2"/>
      <c r="AI715" s="29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1:52" ht="12" customHeight="1" x14ac:dyDescent="0.35">
      <c r="A716" s="2"/>
      <c r="B716" s="2"/>
      <c r="C716" s="2"/>
      <c r="D716" s="2"/>
      <c r="E716" s="2"/>
      <c r="F716" s="2"/>
      <c r="G716" s="27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91"/>
      <c r="AC716" s="2"/>
      <c r="AD716" s="2"/>
      <c r="AE716" s="291"/>
      <c r="AF716" s="2"/>
      <c r="AG716" s="2"/>
      <c r="AH716" s="2"/>
      <c r="AI716" s="29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1:52" ht="12" customHeight="1" x14ac:dyDescent="0.35">
      <c r="A717" s="2"/>
      <c r="B717" s="2"/>
      <c r="C717" s="2"/>
      <c r="D717" s="2"/>
      <c r="E717" s="2"/>
      <c r="F717" s="2"/>
      <c r="G717" s="27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91"/>
      <c r="AC717" s="2"/>
      <c r="AD717" s="2"/>
      <c r="AE717" s="291"/>
      <c r="AF717" s="2"/>
      <c r="AG717" s="2"/>
      <c r="AH717" s="2"/>
      <c r="AI717" s="29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1:52" ht="12" customHeight="1" x14ac:dyDescent="0.35">
      <c r="A718" s="2"/>
      <c r="B718" s="2"/>
      <c r="C718" s="2"/>
      <c r="D718" s="2"/>
      <c r="E718" s="2"/>
      <c r="F718" s="2"/>
      <c r="G718" s="27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91"/>
      <c r="AC718" s="2"/>
      <c r="AD718" s="2"/>
      <c r="AE718" s="291"/>
      <c r="AF718" s="2"/>
      <c r="AG718" s="2"/>
      <c r="AH718" s="2"/>
      <c r="AI718" s="29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1:52" ht="12" customHeight="1" x14ac:dyDescent="0.35">
      <c r="A719" s="2"/>
      <c r="B719" s="2"/>
      <c r="C719" s="2"/>
      <c r="D719" s="2"/>
      <c r="E719" s="2"/>
      <c r="F719" s="2"/>
      <c r="G719" s="27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91"/>
      <c r="AC719" s="2"/>
      <c r="AD719" s="2"/>
      <c r="AE719" s="291"/>
      <c r="AF719" s="2"/>
      <c r="AG719" s="2"/>
      <c r="AH719" s="2"/>
      <c r="AI719" s="29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1:52" ht="12" customHeight="1" x14ac:dyDescent="0.35">
      <c r="A720" s="2"/>
      <c r="B720" s="2"/>
      <c r="C720" s="2"/>
      <c r="D720" s="2"/>
      <c r="E720" s="2"/>
      <c r="F720" s="2"/>
      <c r="G720" s="27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91"/>
      <c r="AC720" s="2"/>
      <c r="AD720" s="2"/>
      <c r="AE720" s="291"/>
      <c r="AF720" s="2"/>
      <c r="AG720" s="2"/>
      <c r="AH720" s="2"/>
      <c r="AI720" s="29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1:52" ht="12" customHeight="1" x14ac:dyDescent="0.35">
      <c r="A721" s="2"/>
      <c r="B721" s="2"/>
      <c r="C721" s="2"/>
      <c r="D721" s="2"/>
      <c r="E721" s="2"/>
      <c r="F721" s="2"/>
      <c r="G721" s="27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91"/>
      <c r="AC721" s="2"/>
      <c r="AD721" s="2"/>
      <c r="AE721" s="291"/>
      <c r="AF721" s="2"/>
      <c r="AG721" s="2"/>
      <c r="AH721" s="2"/>
      <c r="AI721" s="29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1:52" ht="12" customHeight="1" x14ac:dyDescent="0.35">
      <c r="A722" s="2"/>
      <c r="B722" s="2"/>
      <c r="C722" s="2"/>
      <c r="D722" s="2"/>
      <c r="E722" s="2"/>
      <c r="F722" s="2"/>
      <c r="G722" s="27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91"/>
      <c r="AC722" s="2"/>
      <c r="AD722" s="2"/>
      <c r="AE722" s="291"/>
      <c r="AF722" s="2"/>
      <c r="AG722" s="2"/>
      <c r="AH722" s="2"/>
      <c r="AI722" s="29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1:52" ht="12" customHeight="1" x14ac:dyDescent="0.35">
      <c r="A723" s="2"/>
      <c r="B723" s="2"/>
      <c r="C723" s="2"/>
      <c r="D723" s="2"/>
      <c r="E723" s="2"/>
      <c r="F723" s="2"/>
      <c r="G723" s="27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91"/>
      <c r="AC723" s="2"/>
      <c r="AD723" s="2"/>
      <c r="AE723" s="291"/>
      <c r="AF723" s="2"/>
      <c r="AG723" s="2"/>
      <c r="AH723" s="2"/>
      <c r="AI723" s="29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1:52" ht="12" customHeight="1" x14ac:dyDescent="0.35">
      <c r="A724" s="2"/>
      <c r="B724" s="2"/>
      <c r="C724" s="2"/>
      <c r="D724" s="2"/>
      <c r="E724" s="2"/>
      <c r="F724" s="2"/>
      <c r="G724" s="27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91"/>
      <c r="AC724" s="2"/>
      <c r="AD724" s="2"/>
      <c r="AE724" s="291"/>
      <c r="AF724" s="2"/>
      <c r="AG724" s="2"/>
      <c r="AH724" s="2"/>
      <c r="AI724" s="29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1:52" ht="12" customHeight="1" x14ac:dyDescent="0.35">
      <c r="A725" s="2"/>
      <c r="B725" s="2"/>
      <c r="C725" s="2"/>
      <c r="D725" s="2"/>
      <c r="E725" s="2"/>
      <c r="F725" s="2"/>
      <c r="G725" s="27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91"/>
      <c r="AC725" s="2"/>
      <c r="AD725" s="2"/>
      <c r="AE725" s="291"/>
      <c r="AF725" s="2"/>
      <c r="AG725" s="2"/>
      <c r="AH725" s="2"/>
      <c r="AI725" s="29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1:52" ht="12" customHeight="1" x14ac:dyDescent="0.35">
      <c r="A726" s="2"/>
      <c r="B726" s="2"/>
      <c r="C726" s="2"/>
      <c r="D726" s="2"/>
      <c r="E726" s="2"/>
      <c r="F726" s="2"/>
      <c r="G726" s="27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91"/>
      <c r="AC726" s="2"/>
      <c r="AD726" s="2"/>
      <c r="AE726" s="291"/>
      <c r="AF726" s="2"/>
      <c r="AG726" s="2"/>
      <c r="AH726" s="2"/>
      <c r="AI726" s="29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1:52" ht="12" customHeight="1" x14ac:dyDescent="0.35">
      <c r="A727" s="2"/>
      <c r="B727" s="2"/>
      <c r="C727" s="2"/>
      <c r="D727" s="2"/>
      <c r="E727" s="2"/>
      <c r="F727" s="2"/>
      <c r="G727" s="27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91"/>
      <c r="AC727" s="2"/>
      <c r="AD727" s="2"/>
      <c r="AE727" s="291"/>
      <c r="AF727" s="2"/>
      <c r="AG727" s="2"/>
      <c r="AH727" s="2"/>
      <c r="AI727" s="29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1:52" ht="12" customHeight="1" x14ac:dyDescent="0.35">
      <c r="A728" s="2"/>
      <c r="B728" s="2"/>
      <c r="C728" s="2"/>
      <c r="D728" s="2"/>
      <c r="E728" s="2"/>
      <c r="F728" s="2"/>
      <c r="G728" s="27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91"/>
      <c r="AC728" s="2"/>
      <c r="AD728" s="2"/>
      <c r="AE728" s="291"/>
      <c r="AF728" s="2"/>
      <c r="AG728" s="2"/>
      <c r="AH728" s="2"/>
      <c r="AI728" s="29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1:52" ht="12" customHeight="1" x14ac:dyDescent="0.35">
      <c r="A729" s="2"/>
      <c r="B729" s="2"/>
      <c r="C729" s="2"/>
      <c r="D729" s="2"/>
      <c r="E729" s="2"/>
      <c r="F729" s="2"/>
      <c r="G729" s="27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91"/>
      <c r="AC729" s="2"/>
      <c r="AD729" s="2"/>
      <c r="AE729" s="291"/>
      <c r="AF729" s="2"/>
      <c r="AG729" s="2"/>
      <c r="AH729" s="2"/>
      <c r="AI729" s="29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1:52" ht="12" customHeight="1" x14ac:dyDescent="0.35">
      <c r="A730" s="2"/>
      <c r="B730" s="2"/>
      <c r="C730" s="2"/>
      <c r="D730" s="2"/>
      <c r="E730" s="2"/>
      <c r="F730" s="2"/>
      <c r="G730" s="27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91"/>
      <c r="AC730" s="2"/>
      <c r="AD730" s="2"/>
      <c r="AE730" s="291"/>
      <c r="AF730" s="2"/>
      <c r="AG730" s="2"/>
      <c r="AH730" s="2"/>
      <c r="AI730" s="29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1:52" ht="12" customHeight="1" x14ac:dyDescent="0.35">
      <c r="A731" s="2"/>
      <c r="B731" s="2"/>
      <c r="C731" s="2"/>
      <c r="D731" s="2"/>
      <c r="E731" s="2"/>
      <c r="F731" s="2"/>
      <c r="G731" s="27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91"/>
      <c r="AC731" s="2"/>
      <c r="AD731" s="2"/>
      <c r="AE731" s="291"/>
      <c r="AF731" s="2"/>
      <c r="AG731" s="2"/>
      <c r="AH731" s="2"/>
      <c r="AI731" s="29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1:52" ht="12" customHeight="1" x14ac:dyDescent="0.35">
      <c r="A732" s="2"/>
      <c r="B732" s="2"/>
      <c r="C732" s="2"/>
      <c r="D732" s="2"/>
      <c r="E732" s="2"/>
      <c r="F732" s="2"/>
      <c r="G732" s="27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91"/>
      <c r="AC732" s="2"/>
      <c r="AD732" s="2"/>
      <c r="AE732" s="291"/>
      <c r="AF732" s="2"/>
      <c r="AG732" s="2"/>
      <c r="AH732" s="2"/>
      <c r="AI732" s="29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1:52" ht="12" customHeight="1" x14ac:dyDescent="0.35">
      <c r="A733" s="2"/>
      <c r="B733" s="2"/>
      <c r="C733" s="2"/>
      <c r="D733" s="2"/>
      <c r="E733" s="2"/>
      <c r="F733" s="2"/>
      <c r="G733" s="27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91"/>
      <c r="AC733" s="2"/>
      <c r="AD733" s="2"/>
      <c r="AE733" s="291"/>
      <c r="AF733" s="2"/>
      <c r="AG733" s="2"/>
      <c r="AH733" s="2"/>
      <c r="AI733" s="29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1:52" ht="12" customHeight="1" x14ac:dyDescent="0.35">
      <c r="A734" s="2"/>
      <c r="B734" s="2"/>
      <c r="C734" s="2"/>
      <c r="D734" s="2"/>
      <c r="E734" s="2"/>
      <c r="F734" s="2"/>
      <c r="G734" s="27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91"/>
      <c r="AC734" s="2"/>
      <c r="AD734" s="2"/>
      <c r="AE734" s="291"/>
      <c r="AF734" s="2"/>
      <c r="AG734" s="2"/>
      <c r="AH734" s="2"/>
      <c r="AI734" s="29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1:52" ht="12" customHeight="1" x14ac:dyDescent="0.35">
      <c r="A735" s="2"/>
      <c r="B735" s="2"/>
      <c r="C735" s="2"/>
      <c r="D735" s="2"/>
      <c r="E735" s="2"/>
      <c r="F735" s="2"/>
      <c r="G735" s="27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91"/>
      <c r="AC735" s="2"/>
      <c r="AD735" s="2"/>
      <c r="AE735" s="291"/>
      <c r="AF735" s="2"/>
      <c r="AG735" s="2"/>
      <c r="AH735" s="2"/>
      <c r="AI735" s="29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1:52" ht="12" customHeight="1" x14ac:dyDescent="0.35">
      <c r="A736" s="2"/>
      <c r="B736" s="2"/>
      <c r="C736" s="2"/>
      <c r="D736" s="2"/>
      <c r="E736" s="2"/>
      <c r="F736" s="2"/>
      <c r="G736" s="27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91"/>
      <c r="AC736" s="2"/>
      <c r="AD736" s="2"/>
      <c r="AE736" s="291"/>
      <c r="AF736" s="2"/>
      <c r="AG736" s="2"/>
      <c r="AH736" s="2"/>
      <c r="AI736" s="29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1:52" ht="12" customHeight="1" x14ac:dyDescent="0.35">
      <c r="A737" s="2"/>
      <c r="B737" s="2"/>
      <c r="C737" s="2"/>
      <c r="D737" s="2"/>
      <c r="E737" s="2"/>
      <c r="F737" s="2"/>
      <c r="G737" s="27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91"/>
      <c r="AC737" s="2"/>
      <c r="AD737" s="2"/>
      <c r="AE737" s="291"/>
      <c r="AF737" s="2"/>
      <c r="AG737" s="2"/>
      <c r="AH737" s="2"/>
      <c r="AI737" s="29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1:52" ht="12" customHeight="1" x14ac:dyDescent="0.35">
      <c r="A738" s="2"/>
      <c r="B738" s="2"/>
      <c r="C738" s="2"/>
      <c r="D738" s="2"/>
      <c r="E738" s="2"/>
      <c r="F738" s="2"/>
      <c r="G738" s="27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91"/>
      <c r="AC738" s="2"/>
      <c r="AD738" s="2"/>
      <c r="AE738" s="291"/>
      <c r="AF738" s="2"/>
      <c r="AG738" s="2"/>
      <c r="AH738" s="2"/>
      <c r="AI738" s="29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1:52" ht="12" customHeight="1" x14ac:dyDescent="0.35">
      <c r="A739" s="2"/>
      <c r="B739" s="2"/>
      <c r="C739" s="2"/>
      <c r="D739" s="2"/>
      <c r="E739" s="2"/>
      <c r="F739" s="2"/>
      <c r="G739" s="27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91"/>
      <c r="AC739" s="2"/>
      <c r="AD739" s="2"/>
      <c r="AE739" s="291"/>
      <c r="AF739" s="2"/>
      <c r="AG739" s="2"/>
      <c r="AH739" s="2"/>
      <c r="AI739" s="29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1:52" ht="12" customHeight="1" x14ac:dyDescent="0.35">
      <c r="A740" s="2"/>
      <c r="B740" s="2"/>
      <c r="C740" s="2"/>
      <c r="D740" s="2"/>
      <c r="E740" s="2"/>
      <c r="F740" s="2"/>
      <c r="G740" s="27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91"/>
      <c r="AC740" s="2"/>
      <c r="AD740" s="2"/>
      <c r="AE740" s="291"/>
      <c r="AF740" s="2"/>
      <c r="AG740" s="2"/>
      <c r="AH740" s="2"/>
      <c r="AI740" s="29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1:52" ht="12" customHeight="1" x14ac:dyDescent="0.35">
      <c r="A741" s="2"/>
      <c r="B741" s="2"/>
      <c r="C741" s="2"/>
      <c r="D741" s="2"/>
      <c r="E741" s="2"/>
      <c r="F741" s="2"/>
      <c r="G741" s="27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91"/>
      <c r="AC741" s="2"/>
      <c r="AD741" s="2"/>
      <c r="AE741" s="291"/>
      <c r="AF741" s="2"/>
      <c r="AG741" s="2"/>
      <c r="AH741" s="2"/>
      <c r="AI741" s="29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1:52" ht="12" customHeight="1" x14ac:dyDescent="0.35">
      <c r="A742" s="2"/>
      <c r="B742" s="2"/>
      <c r="C742" s="2"/>
      <c r="D742" s="2"/>
      <c r="E742" s="2"/>
      <c r="F742" s="2"/>
      <c r="G742" s="27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91"/>
      <c r="AC742" s="2"/>
      <c r="AD742" s="2"/>
      <c r="AE742" s="291"/>
      <c r="AF742" s="2"/>
      <c r="AG742" s="2"/>
      <c r="AH742" s="2"/>
      <c r="AI742" s="29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1:52" ht="12" customHeight="1" x14ac:dyDescent="0.35">
      <c r="A743" s="2"/>
      <c r="B743" s="2"/>
      <c r="C743" s="2"/>
      <c r="D743" s="2"/>
      <c r="E743" s="2"/>
      <c r="F743" s="2"/>
      <c r="G743" s="27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91"/>
      <c r="AC743" s="2"/>
      <c r="AD743" s="2"/>
      <c r="AE743" s="291"/>
      <c r="AF743" s="2"/>
      <c r="AG743" s="2"/>
      <c r="AH743" s="2"/>
      <c r="AI743" s="29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1:52" ht="12" customHeight="1" x14ac:dyDescent="0.35">
      <c r="A744" s="2"/>
      <c r="B744" s="2"/>
      <c r="C744" s="2"/>
      <c r="D744" s="2"/>
      <c r="E744" s="2"/>
      <c r="F744" s="2"/>
      <c r="G744" s="27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91"/>
      <c r="AC744" s="2"/>
      <c r="AD744" s="2"/>
      <c r="AE744" s="291"/>
      <c r="AF744" s="2"/>
      <c r="AG744" s="2"/>
      <c r="AH744" s="2"/>
      <c r="AI744" s="29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1:52" ht="12" customHeight="1" x14ac:dyDescent="0.35">
      <c r="A745" s="2"/>
      <c r="B745" s="2"/>
      <c r="C745" s="2"/>
      <c r="D745" s="2"/>
      <c r="E745" s="2"/>
      <c r="F745" s="2"/>
      <c r="G745" s="27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91"/>
      <c r="AC745" s="2"/>
      <c r="AD745" s="2"/>
      <c r="AE745" s="291"/>
      <c r="AF745" s="2"/>
      <c r="AG745" s="2"/>
      <c r="AH745" s="2"/>
      <c r="AI745" s="29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1:52" ht="12" customHeight="1" x14ac:dyDescent="0.35">
      <c r="A746" s="2"/>
      <c r="B746" s="2"/>
      <c r="C746" s="2"/>
      <c r="D746" s="2"/>
      <c r="E746" s="2"/>
      <c r="F746" s="2"/>
      <c r="G746" s="27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91"/>
      <c r="AC746" s="2"/>
      <c r="AD746" s="2"/>
      <c r="AE746" s="291"/>
      <c r="AF746" s="2"/>
      <c r="AG746" s="2"/>
      <c r="AH746" s="2"/>
      <c r="AI746" s="29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1:52" ht="12" customHeight="1" x14ac:dyDescent="0.35">
      <c r="A747" s="2"/>
      <c r="B747" s="2"/>
      <c r="C747" s="2"/>
      <c r="D747" s="2"/>
      <c r="E747" s="2"/>
      <c r="F747" s="2"/>
      <c r="G747" s="27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91"/>
      <c r="AC747" s="2"/>
      <c r="AD747" s="2"/>
      <c r="AE747" s="291"/>
      <c r="AF747" s="2"/>
      <c r="AG747" s="2"/>
      <c r="AH747" s="2"/>
      <c r="AI747" s="29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1:52" ht="12" customHeight="1" x14ac:dyDescent="0.35">
      <c r="A748" s="2"/>
      <c r="B748" s="2"/>
      <c r="C748" s="2"/>
      <c r="D748" s="2"/>
      <c r="E748" s="2"/>
      <c r="F748" s="2"/>
      <c r="G748" s="27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91"/>
      <c r="AC748" s="2"/>
      <c r="AD748" s="2"/>
      <c r="AE748" s="291"/>
      <c r="AF748" s="2"/>
      <c r="AG748" s="2"/>
      <c r="AH748" s="2"/>
      <c r="AI748" s="29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1:52" ht="12" customHeight="1" x14ac:dyDescent="0.35">
      <c r="A749" s="2"/>
      <c r="B749" s="2"/>
      <c r="C749" s="2"/>
      <c r="D749" s="2"/>
      <c r="E749" s="2"/>
      <c r="F749" s="2"/>
      <c r="G749" s="27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91"/>
      <c r="AC749" s="2"/>
      <c r="AD749" s="2"/>
      <c r="AE749" s="291"/>
      <c r="AF749" s="2"/>
      <c r="AG749" s="2"/>
      <c r="AH749" s="2"/>
      <c r="AI749" s="29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1:52" ht="12" customHeight="1" x14ac:dyDescent="0.35">
      <c r="A750" s="2"/>
      <c r="B750" s="2"/>
      <c r="C750" s="2"/>
      <c r="D750" s="2"/>
      <c r="E750" s="2"/>
      <c r="F750" s="2"/>
      <c r="G750" s="27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91"/>
      <c r="AC750" s="2"/>
      <c r="AD750" s="2"/>
      <c r="AE750" s="291"/>
      <c r="AF750" s="2"/>
      <c r="AG750" s="2"/>
      <c r="AH750" s="2"/>
      <c r="AI750" s="29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1:52" ht="12" customHeight="1" x14ac:dyDescent="0.35">
      <c r="A751" s="2"/>
      <c r="B751" s="2"/>
      <c r="C751" s="2"/>
      <c r="D751" s="2"/>
      <c r="E751" s="2"/>
      <c r="F751" s="2"/>
      <c r="G751" s="27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91"/>
      <c r="AC751" s="2"/>
      <c r="AD751" s="2"/>
      <c r="AE751" s="291"/>
      <c r="AF751" s="2"/>
      <c r="AG751" s="2"/>
      <c r="AH751" s="2"/>
      <c r="AI751" s="29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1:52" ht="12" customHeight="1" x14ac:dyDescent="0.35">
      <c r="A752" s="2"/>
      <c r="B752" s="2"/>
      <c r="C752" s="2"/>
      <c r="D752" s="2"/>
      <c r="E752" s="2"/>
      <c r="F752" s="2"/>
      <c r="G752" s="27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91"/>
      <c r="AC752" s="2"/>
      <c r="AD752" s="2"/>
      <c r="AE752" s="291"/>
      <c r="AF752" s="2"/>
      <c r="AG752" s="2"/>
      <c r="AH752" s="2"/>
      <c r="AI752" s="29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1:52" ht="12" customHeight="1" x14ac:dyDescent="0.35">
      <c r="A753" s="2"/>
      <c r="B753" s="2"/>
      <c r="C753" s="2"/>
      <c r="D753" s="2"/>
      <c r="E753" s="2"/>
      <c r="F753" s="2"/>
      <c r="G753" s="27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91"/>
      <c r="AC753" s="2"/>
      <c r="AD753" s="2"/>
      <c r="AE753" s="291"/>
      <c r="AF753" s="2"/>
      <c r="AG753" s="2"/>
      <c r="AH753" s="2"/>
      <c r="AI753" s="29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1:52" ht="12" customHeight="1" x14ac:dyDescent="0.35">
      <c r="A754" s="2"/>
      <c r="B754" s="2"/>
      <c r="C754" s="2"/>
      <c r="D754" s="2"/>
      <c r="E754" s="2"/>
      <c r="F754" s="2"/>
      <c r="G754" s="27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91"/>
      <c r="AC754" s="2"/>
      <c r="AD754" s="2"/>
      <c r="AE754" s="291"/>
      <c r="AF754" s="2"/>
      <c r="AG754" s="2"/>
      <c r="AH754" s="2"/>
      <c r="AI754" s="29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1:52" ht="12" customHeight="1" x14ac:dyDescent="0.35">
      <c r="A755" s="2"/>
      <c r="B755" s="2"/>
      <c r="C755" s="2"/>
      <c r="D755" s="2"/>
      <c r="E755" s="2"/>
      <c r="F755" s="2"/>
      <c r="G755" s="27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91"/>
      <c r="AC755" s="2"/>
      <c r="AD755" s="2"/>
      <c r="AE755" s="291"/>
      <c r="AF755" s="2"/>
      <c r="AG755" s="2"/>
      <c r="AH755" s="2"/>
      <c r="AI755" s="29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1:52" ht="12" customHeight="1" x14ac:dyDescent="0.35">
      <c r="A756" s="2"/>
      <c r="B756" s="2"/>
      <c r="C756" s="2"/>
      <c r="D756" s="2"/>
      <c r="E756" s="2"/>
      <c r="F756" s="2"/>
      <c r="G756" s="27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91"/>
      <c r="AC756" s="2"/>
      <c r="AD756" s="2"/>
      <c r="AE756" s="291"/>
      <c r="AF756" s="2"/>
      <c r="AG756" s="2"/>
      <c r="AH756" s="2"/>
      <c r="AI756" s="29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1:52" ht="12" customHeight="1" x14ac:dyDescent="0.35">
      <c r="A757" s="2"/>
      <c r="B757" s="2"/>
      <c r="C757" s="2"/>
      <c r="D757" s="2"/>
      <c r="E757" s="2"/>
      <c r="F757" s="2"/>
      <c r="G757" s="27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91"/>
      <c r="AC757" s="2"/>
      <c r="AD757" s="2"/>
      <c r="AE757" s="291"/>
      <c r="AF757" s="2"/>
      <c r="AG757" s="2"/>
      <c r="AH757" s="2"/>
      <c r="AI757" s="29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1:52" ht="12" customHeight="1" x14ac:dyDescent="0.35">
      <c r="A758" s="2"/>
      <c r="B758" s="2"/>
      <c r="C758" s="2"/>
      <c r="D758" s="2"/>
      <c r="E758" s="2"/>
      <c r="F758" s="2"/>
      <c r="G758" s="27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91"/>
      <c r="AC758" s="2"/>
      <c r="AD758" s="2"/>
      <c r="AE758" s="291"/>
      <c r="AF758" s="2"/>
      <c r="AG758" s="2"/>
      <c r="AH758" s="2"/>
      <c r="AI758" s="29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1:52" ht="12" customHeight="1" x14ac:dyDescent="0.35">
      <c r="A759" s="2"/>
      <c r="B759" s="2"/>
      <c r="C759" s="2"/>
      <c r="D759" s="2"/>
      <c r="E759" s="2"/>
      <c r="F759" s="2"/>
      <c r="G759" s="27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91"/>
      <c r="AC759" s="2"/>
      <c r="AD759" s="2"/>
      <c r="AE759" s="291"/>
      <c r="AF759" s="2"/>
      <c r="AG759" s="2"/>
      <c r="AH759" s="2"/>
      <c r="AI759" s="29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1:52" ht="12" customHeight="1" x14ac:dyDescent="0.35">
      <c r="A760" s="2"/>
      <c r="B760" s="2"/>
      <c r="C760" s="2"/>
      <c r="D760" s="2"/>
      <c r="E760" s="2"/>
      <c r="F760" s="2"/>
      <c r="G760" s="27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91"/>
      <c r="AC760" s="2"/>
      <c r="AD760" s="2"/>
      <c r="AE760" s="291"/>
      <c r="AF760" s="2"/>
      <c r="AG760" s="2"/>
      <c r="AH760" s="2"/>
      <c r="AI760" s="29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1:52" ht="12" customHeight="1" x14ac:dyDescent="0.35">
      <c r="A761" s="2"/>
      <c r="B761" s="2"/>
      <c r="C761" s="2"/>
      <c r="D761" s="2"/>
      <c r="E761" s="2"/>
      <c r="F761" s="2"/>
      <c r="G761" s="27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91"/>
      <c r="AC761" s="2"/>
      <c r="AD761" s="2"/>
      <c r="AE761" s="291"/>
      <c r="AF761" s="2"/>
      <c r="AG761" s="2"/>
      <c r="AH761" s="2"/>
      <c r="AI761" s="29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1:52" ht="12" customHeight="1" x14ac:dyDescent="0.35">
      <c r="A762" s="2"/>
      <c r="B762" s="2"/>
      <c r="C762" s="2"/>
      <c r="D762" s="2"/>
      <c r="E762" s="2"/>
      <c r="F762" s="2"/>
      <c r="G762" s="27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91"/>
      <c r="AC762" s="2"/>
      <c r="AD762" s="2"/>
      <c r="AE762" s="291"/>
      <c r="AF762" s="2"/>
      <c r="AG762" s="2"/>
      <c r="AH762" s="2"/>
      <c r="AI762" s="29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1:52" ht="12" customHeight="1" x14ac:dyDescent="0.35">
      <c r="A763" s="2"/>
      <c r="B763" s="2"/>
      <c r="C763" s="2"/>
      <c r="D763" s="2"/>
      <c r="E763" s="2"/>
      <c r="F763" s="2"/>
      <c r="G763" s="27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91"/>
      <c r="AC763" s="2"/>
      <c r="AD763" s="2"/>
      <c r="AE763" s="291"/>
      <c r="AF763" s="2"/>
      <c r="AG763" s="2"/>
      <c r="AH763" s="2"/>
      <c r="AI763" s="29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1:52" ht="12" customHeight="1" x14ac:dyDescent="0.35">
      <c r="A764" s="2"/>
      <c r="B764" s="2"/>
      <c r="C764" s="2"/>
      <c r="D764" s="2"/>
      <c r="E764" s="2"/>
      <c r="F764" s="2"/>
      <c r="G764" s="27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91"/>
      <c r="AC764" s="2"/>
      <c r="AD764" s="2"/>
      <c r="AE764" s="291"/>
      <c r="AF764" s="2"/>
      <c r="AG764" s="2"/>
      <c r="AH764" s="2"/>
      <c r="AI764" s="29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1:52" ht="12" customHeight="1" x14ac:dyDescent="0.35">
      <c r="A765" s="2"/>
      <c r="B765" s="2"/>
      <c r="C765" s="2"/>
      <c r="D765" s="2"/>
      <c r="E765" s="2"/>
      <c r="F765" s="2"/>
      <c r="G765" s="27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91"/>
      <c r="AC765" s="2"/>
      <c r="AD765" s="2"/>
      <c r="AE765" s="291"/>
      <c r="AF765" s="2"/>
      <c r="AG765" s="2"/>
      <c r="AH765" s="2"/>
      <c r="AI765" s="29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1:52" ht="12" customHeight="1" x14ac:dyDescent="0.35">
      <c r="A766" s="2"/>
      <c r="B766" s="2"/>
      <c r="C766" s="2"/>
      <c r="D766" s="2"/>
      <c r="E766" s="2"/>
      <c r="F766" s="2"/>
      <c r="G766" s="27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91"/>
      <c r="AC766" s="2"/>
      <c r="AD766" s="2"/>
      <c r="AE766" s="291"/>
      <c r="AF766" s="2"/>
      <c r="AG766" s="2"/>
      <c r="AH766" s="2"/>
      <c r="AI766" s="29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1:52" ht="12" customHeight="1" x14ac:dyDescent="0.35">
      <c r="A767" s="2"/>
      <c r="B767" s="2"/>
      <c r="C767" s="2"/>
      <c r="D767" s="2"/>
      <c r="E767" s="2"/>
      <c r="F767" s="2"/>
      <c r="G767" s="27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91"/>
      <c r="AC767" s="2"/>
      <c r="AD767" s="2"/>
      <c r="AE767" s="291"/>
      <c r="AF767" s="2"/>
      <c r="AG767" s="2"/>
      <c r="AH767" s="2"/>
      <c r="AI767" s="29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1:52" ht="12" customHeight="1" x14ac:dyDescent="0.35">
      <c r="A768" s="2"/>
      <c r="B768" s="2"/>
      <c r="C768" s="2"/>
      <c r="D768" s="2"/>
      <c r="E768" s="2"/>
      <c r="F768" s="2"/>
      <c r="G768" s="27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91"/>
      <c r="AC768" s="2"/>
      <c r="AD768" s="2"/>
      <c r="AE768" s="291"/>
      <c r="AF768" s="2"/>
      <c r="AG768" s="2"/>
      <c r="AH768" s="2"/>
      <c r="AI768" s="29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1:52" ht="12" customHeight="1" x14ac:dyDescent="0.35">
      <c r="A769" s="2"/>
      <c r="B769" s="2"/>
      <c r="C769" s="2"/>
      <c r="D769" s="2"/>
      <c r="E769" s="2"/>
      <c r="F769" s="2"/>
      <c r="G769" s="27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91"/>
      <c r="AC769" s="2"/>
      <c r="AD769" s="2"/>
      <c r="AE769" s="291"/>
      <c r="AF769" s="2"/>
      <c r="AG769" s="2"/>
      <c r="AH769" s="2"/>
      <c r="AI769" s="29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1:52" ht="12" customHeight="1" x14ac:dyDescent="0.35">
      <c r="A770" s="2"/>
      <c r="B770" s="2"/>
      <c r="C770" s="2"/>
      <c r="D770" s="2"/>
      <c r="E770" s="2"/>
      <c r="F770" s="2"/>
      <c r="G770" s="27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91"/>
      <c r="AC770" s="2"/>
      <c r="AD770" s="2"/>
      <c r="AE770" s="291"/>
      <c r="AF770" s="2"/>
      <c r="AG770" s="2"/>
      <c r="AH770" s="2"/>
      <c r="AI770" s="29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1:52" ht="12" customHeight="1" x14ac:dyDescent="0.35">
      <c r="A771" s="2"/>
      <c r="B771" s="2"/>
      <c r="C771" s="2"/>
      <c r="D771" s="2"/>
      <c r="E771" s="2"/>
      <c r="F771" s="2"/>
      <c r="G771" s="27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91"/>
      <c r="AC771" s="2"/>
      <c r="AD771" s="2"/>
      <c r="AE771" s="291"/>
      <c r="AF771" s="2"/>
      <c r="AG771" s="2"/>
      <c r="AH771" s="2"/>
      <c r="AI771" s="29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1:52" ht="12" customHeight="1" x14ac:dyDescent="0.35">
      <c r="A772" s="2"/>
      <c r="B772" s="2"/>
      <c r="C772" s="2"/>
      <c r="D772" s="2"/>
      <c r="E772" s="2"/>
      <c r="F772" s="2"/>
      <c r="G772" s="27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91"/>
      <c r="AC772" s="2"/>
      <c r="AD772" s="2"/>
      <c r="AE772" s="291"/>
      <c r="AF772" s="2"/>
      <c r="AG772" s="2"/>
      <c r="AH772" s="2"/>
      <c r="AI772" s="29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1:52" ht="12" customHeight="1" x14ac:dyDescent="0.35">
      <c r="A773" s="2"/>
      <c r="B773" s="2"/>
      <c r="C773" s="2"/>
      <c r="D773" s="2"/>
      <c r="E773" s="2"/>
      <c r="F773" s="2"/>
      <c r="G773" s="27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91"/>
      <c r="AC773" s="2"/>
      <c r="AD773" s="2"/>
      <c r="AE773" s="291"/>
      <c r="AF773" s="2"/>
      <c r="AG773" s="2"/>
      <c r="AH773" s="2"/>
      <c r="AI773" s="29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1:52" ht="12" customHeight="1" x14ac:dyDescent="0.35">
      <c r="A774" s="2"/>
      <c r="B774" s="2"/>
      <c r="C774" s="2"/>
      <c r="D774" s="2"/>
      <c r="E774" s="2"/>
      <c r="F774" s="2"/>
      <c r="G774" s="27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91"/>
      <c r="AC774" s="2"/>
      <c r="AD774" s="2"/>
      <c r="AE774" s="291"/>
      <c r="AF774" s="2"/>
      <c r="AG774" s="2"/>
      <c r="AH774" s="2"/>
      <c r="AI774" s="29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1:52" ht="12" customHeight="1" x14ac:dyDescent="0.35">
      <c r="A775" s="2"/>
      <c r="B775" s="2"/>
      <c r="C775" s="2"/>
      <c r="D775" s="2"/>
      <c r="E775" s="2"/>
      <c r="F775" s="2"/>
      <c r="G775" s="27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91"/>
      <c r="AC775" s="2"/>
      <c r="AD775" s="2"/>
      <c r="AE775" s="291"/>
      <c r="AF775" s="2"/>
      <c r="AG775" s="2"/>
      <c r="AH775" s="2"/>
      <c r="AI775" s="29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1:52" ht="12" customHeight="1" x14ac:dyDescent="0.35">
      <c r="A776" s="2"/>
      <c r="B776" s="2"/>
      <c r="C776" s="2"/>
      <c r="D776" s="2"/>
      <c r="E776" s="2"/>
      <c r="F776" s="2"/>
      <c r="G776" s="27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91"/>
      <c r="AC776" s="2"/>
      <c r="AD776" s="2"/>
      <c r="AE776" s="291"/>
      <c r="AF776" s="2"/>
      <c r="AG776" s="2"/>
      <c r="AH776" s="2"/>
      <c r="AI776" s="29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1:52" ht="12" customHeight="1" x14ac:dyDescent="0.35">
      <c r="A777" s="2"/>
      <c r="B777" s="2"/>
      <c r="C777" s="2"/>
      <c r="D777" s="2"/>
      <c r="E777" s="2"/>
      <c r="F777" s="2"/>
      <c r="G777" s="27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91"/>
      <c r="AC777" s="2"/>
      <c r="AD777" s="2"/>
      <c r="AE777" s="291"/>
      <c r="AF777" s="2"/>
      <c r="AG777" s="2"/>
      <c r="AH777" s="2"/>
      <c r="AI777" s="29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1:52" ht="12" customHeight="1" x14ac:dyDescent="0.35">
      <c r="A778" s="2"/>
      <c r="B778" s="2"/>
      <c r="C778" s="2"/>
      <c r="D778" s="2"/>
      <c r="E778" s="2"/>
      <c r="F778" s="2"/>
      <c r="G778" s="27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91"/>
      <c r="AC778" s="2"/>
      <c r="AD778" s="2"/>
      <c r="AE778" s="291"/>
      <c r="AF778" s="2"/>
      <c r="AG778" s="2"/>
      <c r="AH778" s="2"/>
      <c r="AI778" s="29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1:52" ht="12" customHeight="1" x14ac:dyDescent="0.35">
      <c r="A779" s="2"/>
      <c r="B779" s="2"/>
      <c r="C779" s="2"/>
      <c r="D779" s="2"/>
      <c r="E779" s="2"/>
      <c r="F779" s="2"/>
      <c r="G779" s="27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91"/>
      <c r="AC779" s="2"/>
      <c r="AD779" s="2"/>
      <c r="AE779" s="291"/>
      <c r="AF779" s="2"/>
      <c r="AG779" s="2"/>
      <c r="AH779" s="2"/>
      <c r="AI779" s="29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1:52" ht="12" customHeight="1" x14ac:dyDescent="0.35">
      <c r="A780" s="2"/>
      <c r="B780" s="2"/>
      <c r="C780" s="2"/>
      <c r="D780" s="2"/>
      <c r="E780" s="2"/>
      <c r="F780" s="2"/>
      <c r="G780" s="27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91"/>
      <c r="AC780" s="2"/>
      <c r="AD780" s="2"/>
      <c r="AE780" s="291"/>
      <c r="AF780" s="2"/>
      <c r="AG780" s="2"/>
      <c r="AH780" s="2"/>
      <c r="AI780" s="29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1:52" ht="12" customHeight="1" x14ac:dyDescent="0.35">
      <c r="A781" s="2"/>
      <c r="B781" s="2"/>
      <c r="C781" s="2"/>
      <c r="D781" s="2"/>
      <c r="E781" s="2"/>
      <c r="F781" s="2"/>
      <c r="G781" s="27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91"/>
      <c r="AC781" s="2"/>
      <c r="AD781" s="2"/>
      <c r="AE781" s="291"/>
      <c r="AF781" s="2"/>
      <c r="AG781" s="2"/>
      <c r="AH781" s="2"/>
      <c r="AI781" s="29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1:52" ht="12" customHeight="1" x14ac:dyDescent="0.35">
      <c r="A782" s="2"/>
      <c r="B782" s="2"/>
      <c r="C782" s="2"/>
      <c r="D782" s="2"/>
      <c r="E782" s="2"/>
      <c r="F782" s="2"/>
      <c r="G782" s="27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91"/>
      <c r="AC782" s="2"/>
      <c r="AD782" s="2"/>
      <c r="AE782" s="291"/>
      <c r="AF782" s="2"/>
      <c r="AG782" s="2"/>
      <c r="AH782" s="2"/>
      <c r="AI782" s="29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1:52" ht="12" customHeight="1" x14ac:dyDescent="0.35">
      <c r="A783" s="2"/>
      <c r="B783" s="2"/>
      <c r="C783" s="2"/>
      <c r="D783" s="2"/>
      <c r="E783" s="2"/>
      <c r="F783" s="2"/>
      <c r="G783" s="27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91"/>
      <c r="AC783" s="2"/>
      <c r="AD783" s="2"/>
      <c r="AE783" s="291"/>
      <c r="AF783" s="2"/>
      <c r="AG783" s="2"/>
      <c r="AH783" s="2"/>
      <c r="AI783" s="29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1:52" ht="12" customHeight="1" x14ac:dyDescent="0.35">
      <c r="A784" s="2"/>
      <c r="B784" s="2"/>
      <c r="C784" s="2"/>
      <c r="D784" s="2"/>
      <c r="E784" s="2"/>
      <c r="F784" s="2"/>
      <c r="G784" s="27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91"/>
      <c r="AC784" s="2"/>
      <c r="AD784" s="2"/>
      <c r="AE784" s="291"/>
      <c r="AF784" s="2"/>
      <c r="AG784" s="2"/>
      <c r="AH784" s="2"/>
      <c r="AI784" s="29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1:52" ht="12" customHeight="1" x14ac:dyDescent="0.35">
      <c r="A785" s="2"/>
      <c r="B785" s="2"/>
      <c r="C785" s="2"/>
      <c r="D785" s="2"/>
      <c r="E785" s="2"/>
      <c r="F785" s="2"/>
      <c r="G785" s="27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91"/>
      <c r="AC785" s="2"/>
      <c r="AD785" s="2"/>
      <c r="AE785" s="291"/>
      <c r="AF785" s="2"/>
      <c r="AG785" s="2"/>
      <c r="AH785" s="2"/>
      <c r="AI785" s="29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1:52" ht="12" customHeight="1" x14ac:dyDescent="0.35">
      <c r="A786" s="2"/>
      <c r="B786" s="2"/>
      <c r="C786" s="2"/>
      <c r="D786" s="2"/>
      <c r="E786" s="2"/>
      <c r="F786" s="2"/>
      <c r="G786" s="27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91"/>
      <c r="AC786" s="2"/>
      <c r="AD786" s="2"/>
      <c r="AE786" s="291"/>
      <c r="AF786" s="2"/>
      <c r="AG786" s="2"/>
      <c r="AH786" s="2"/>
      <c r="AI786" s="29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1:52" ht="12" customHeight="1" x14ac:dyDescent="0.35">
      <c r="A787" s="2"/>
      <c r="B787" s="2"/>
      <c r="C787" s="2"/>
      <c r="D787" s="2"/>
      <c r="E787" s="2"/>
      <c r="F787" s="2"/>
      <c r="G787" s="27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91"/>
      <c r="AC787" s="2"/>
      <c r="AD787" s="2"/>
      <c r="AE787" s="291"/>
      <c r="AF787" s="2"/>
      <c r="AG787" s="2"/>
      <c r="AH787" s="2"/>
      <c r="AI787" s="29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1:52" ht="12" customHeight="1" x14ac:dyDescent="0.35">
      <c r="A788" s="2"/>
      <c r="B788" s="2"/>
      <c r="C788" s="2"/>
      <c r="D788" s="2"/>
      <c r="E788" s="2"/>
      <c r="F788" s="2"/>
      <c r="G788" s="27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91"/>
      <c r="AC788" s="2"/>
      <c r="AD788" s="2"/>
      <c r="AE788" s="291"/>
      <c r="AF788" s="2"/>
      <c r="AG788" s="2"/>
      <c r="AH788" s="2"/>
      <c r="AI788" s="29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1:52" ht="12" customHeight="1" x14ac:dyDescent="0.35">
      <c r="A789" s="2"/>
      <c r="B789" s="2"/>
      <c r="C789" s="2"/>
      <c r="D789" s="2"/>
      <c r="E789" s="2"/>
      <c r="F789" s="2"/>
      <c r="G789" s="27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91"/>
      <c r="AC789" s="2"/>
      <c r="AD789" s="2"/>
      <c r="AE789" s="291"/>
      <c r="AF789" s="2"/>
      <c r="AG789" s="2"/>
      <c r="AH789" s="2"/>
      <c r="AI789" s="29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1:52" ht="12" customHeight="1" x14ac:dyDescent="0.35">
      <c r="A790" s="2"/>
      <c r="B790" s="2"/>
      <c r="C790" s="2"/>
      <c r="D790" s="2"/>
      <c r="E790" s="2"/>
      <c r="F790" s="2"/>
      <c r="G790" s="27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91"/>
      <c r="AC790" s="2"/>
      <c r="AD790" s="2"/>
      <c r="AE790" s="291"/>
      <c r="AF790" s="2"/>
      <c r="AG790" s="2"/>
      <c r="AH790" s="2"/>
      <c r="AI790" s="29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1:52" ht="12" customHeight="1" x14ac:dyDescent="0.35">
      <c r="A791" s="2"/>
      <c r="B791" s="2"/>
      <c r="C791" s="2"/>
      <c r="D791" s="2"/>
      <c r="E791" s="2"/>
      <c r="F791" s="2"/>
      <c r="G791" s="27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91"/>
      <c r="AC791" s="2"/>
      <c r="AD791" s="2"/>
      <c r="AE791" s="291"/>
      <c r="AF791" s="2"/>
      <c r="AG791" s="2"/>
      <c r="AH791" s="2"/>
      <c r="AI791" s="29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1:52" ht="12" customHeight="1" x14ac:dyDescent="0.35">
      <c r="A792" s="2"/>
      <c r="B792" s="2"/>
      <c r="C792" s="2"/>
      <c r="D792" s="2"/>
      <c r="E792" s="2"/>
      <c r="F792" s="2"/>
      <c r="G792" s="27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91"/>
      <c r="AC792" s="2"/>
      <c r="AD792" s="2"/>
      <c r="AE792" s="291"/>
      <c r="AF792" s="2"/>
      <c r="AG792" s="2"/>
      <c r="AH792" s="2"/>
      <c r="AI792" s="29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1:52" ht="12" customHeight="1" x14ac:dyDescent="0.35">
      <c r="A793" s="2"/>
      <c r="B793" s="2"/>
      <c r="C793" s="2"/>
      <c r="D793" s="2"/>
      <c r="E793" s="2"/>
      <c r="F793" s="2"/>
      <c r="G793" s="27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91"/>
      <c r="AC793" s="2"/>
      <c r="AD793" s="2"/>
      <c r="AE793" s="291"/>
      <c r="AF793" s="2"/>
      <c r="AG793" s="2"/>
      <c r="AH793" s="2"/>
      <c r="AI793" s="29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1:52" ht="12" customHeight="1" x14ac:dyDescent="0.35">
      <c r="A794" s="2"/>
      <c r="B794" s="2"/>
      <c r="C794" s="2"/>
      <c r="D794" s="2"/>
      <c r="E794" s="2"/>
      <c r="F794" s="2"/>
      <c r="G794" s="27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91"/>
      <c r="AC794" s="2"/>
      <c r="AD794" s="2"/>
      <c r="AE794" s="291"/>
      <c r="AF794" s="2"/>
      <c r="AG794" s="2"/>
      <c r="AH794" s="2"/>
      <c r="AI794" s="29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1:52" ht="12" customHeight="1" x14ac:dyDescent="0.35">
      <c r="A795" s="2"/>
      <c r="B795" s="2"/>
      <c r="C795" s="2"/>
      <c r="D795" s="2"/>
      <c r="E795" s="2"/>
      <c r="F795" s="2"/>
      <c r="G795" s="27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91"/>
      <c r="AC795" s="2"/>
      <c r="AD795" s="2"/>
      <c r="AE795" s="291"/>
      <c r="AF795" s="2"/>
      <c r="AG795" s="2"/>
      <c r="AH795" s="2"/>
      <c r="AI795" s="29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1:52" ht="12" customHeight="1" x14ac:dyDescent="0.35">
      <c r="A796" s="2"/>
      <c r="B796" s="2"/>
      <c r="C796" s="2"/>
      <c r="D796" s="2"/>
      <c r="E796" s="2"/>
      <c r="F796" s="2"/>
      <c r="G796" s="27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91"/>
      <c r="AC796" s="2"/>
      <c r="AD796" s="2"/>
      <c r="AE796" s="291"/>
      <c r="AF796" s="2"/>
      <c r="AG796" s="2"/>
      <c r="AH796" s="2"/>
      <c r="AI796" s="29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1:52" ht="12" customHeight="1" x14ac:dyDescent="0.35">
      <c r="A797" s="2"/>
      <c r="B797" s="2"/>
      <c r="C797" s="2"/>
      <c r="D797" s="2"/>
      <c r="E797" s="2"/>
      <c r="F797" s="2"/>
      <c r="G797" s="27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91"/>
      <c r="AC797" s="2"/>
      <c r="AD797" s="2"/>
      <c r="AE797" s="291"/>
      <c r="AF797" s="2"/>
      <c r="AG797" s="2"/>
      <c r="AH797" s="2"/>
      <c r="AI797" s="29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1:52" ht="12" customHeight="1" x14ac:dyDescent="0.35">
      <c r="A798" s="2"/>
      <c r="B798" s="2"/>
      <c r="C798" s="2"/>
      <c r="D798" s="2"/>
      <c r="E798" s="2"/>
      <c r="F798" s="2"/>
      <c r="G798" s="27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91"/>
      <c r="AC798" s="2"/>
      <c r="AD798" s="2"/>
      <c r="AE798" s="291"/>
      <c r="AF798" s="2"/>
      <c r="AG798" s="2"/>
      <c r="AH798" s="2"/>
      <c r="AI798" s="29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1:52" ht="12" customHeight="1" x14ac:dyDescent="0.35">
      <c r="A799" s="2"/>
      <c r="B799" s="2"/>
      <c r="C799" s="2"/>
      <c r="D799" s="2"/>
      <c r="E799" s="2"/>
      <c r="F799" s="2"/>
      <c r="G799" s="27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91"/>
      <c r="AC799" s="2"/>
      <c r="AD799" s="2"/>
      <c r="AE799" s="291"/>
      <c r="AF799" s="2"/>
      <c r="AG799" s="2"/>
      <c r="AH799" s="2"/>
      <c r="AI799" s="29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1:52" ht="12" customHeight="1" x14ac:dyDescent="0.35">
      <c r="A800" s="2"/>
      <c r="B800" s="2"/>
      <c r="C800" s="2"/>
      <c r="D800" s="2"/>
      <c r="E800" s="2"/>
      <c r="F800" s="2"/>
      <c r="G800" s="27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91"/>
      <c r="AC800" s="2"/>
      <c r="AD800" s="2"/>
      <c r="AE800" s="291"/>
      <c r="AF800" s="2"/>
      <c r="AG800" s="2"/>
      <c r="AH800" s="2"/>
      <c r="AI800" s="29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1:52" ht="12" customHeight="1" x14ac:dyDescent="0.35">
      <c r="A801" s="2"/>
      <c r="B801" s="2"/>
      <c r="C801" s="2"/>
      <c r="D801" s="2"/>
      <c r="E801" s="2"/>
      <c r="F801" s="2"/>
      <c r="G801" s="27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91"/>
      <c r="AC801" s="2"/>
      <c r="AD801" s="2"/>
      <c r="AE801" s="291"/>
      <c r="AF801" s="2"/>
      <c r="AG801" s="2"/>
      <c r="AH801" s="2"/>
      <c r="AI801" s="29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1:52" ht="12" customHeight="1" x14ac:dyDescent="0.35">
      <c r="A802" s="2"/>
      <c r="B802" s="2"/>
      <c r="C802" s="2"/>
      <c r="D802" s="2"/>
      <c r="E802" s="2"/>
      <c r="F802" s="2"/>
      <c r="G802" s="27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91"/>
      <c r="AC802" s="2"/>
      <c r="AD802" s="2"/>
      <c r="AE802" s="291"/>
      <c r="AF802" s="2"/>
      <c r="AG802" s="2"/>
      <c r="AH802" s="2"/>
      <c r="AI802" s="29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1:52" ht="12" customHeight="1" x14ac:dyDescent="0.35">
      <c r="A803" s="2"/>
      <c r="B803" s="2"/>
      <c r="C803" s="2"/>
      <c r="D803" s="2"/>
      <c r="E803" s="2"/>
      <c r="F803" s="2"/>
      <c r="G803" s="27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91"/>
      <c r="AC803" s="2"/>
      <c r="AD803" s="2"/>
      <c r="AE803" s="291"/>
      <c r="AF803" s="2"/>
      <c r="AG803" s="2"/>
      <c r="AH803" s="2"/>
      <c r="AI803" s="29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1:52" ht="12" customHeight="1" x14ac:dyDescent="0.35">
      <c r="A804" s="2"/>
      <c r="B804" s="2"/>
      <c r="C804" s="2"/>
      <c r="D804" s="2"/>
      <c r="E804" s="2"/>
      <c r="F804" s="2"/>
      <c r="G804" s="27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91"/>
      <c r="AC804" s="2"/>
      <c r="AD804" s="2"/>
      <c r="AE804" s="291"/>
      <c r="AF804" s="2"/>
      <c r="AG804" s="2"/>
      <c r="AH804" s="2"/>
      <c r="AI804" s="29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1:52" ht="12" customHeight="1" x14ac:dyDescent="0.35">
      <c r="A805" s="2"/>
      <c r="B805" s="2"/>
      <c r="C805" s="2"/>
      <c r="D805" s="2"/>
      <c r="E805" s="2"/>
      <c r="F805" s="2"/>
      <c r="G805" s="27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91"/>
      <c r="AC805" s="2"/>
      <c r="AD805" s="2"/>
      <c r="AE805" s="291"/>
      <c r="AF805" s="2"/>
      <c r="AG805" s="2"/>
      <c r="AH805" s="2"/>
      <c r="AI805" s="29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1:52" ht="12" customHeight="1" x14ac:dyDescent="0.35">
      <c r="A806" s="2"/>
      <c r="B806" s="2"/>
      <c r="C806" s="2"/>
      <c r="D806" s="2"/>
      <c r="E806" s="2"/>
      <c r="F806" s="2"/>
      <c r="G806" s="27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91"/>
      <c r="AC806" s="2"/>
      <c r="AD806" s="2"/>
      <c r="AE806" s="291"/>
      <c r="AF806" s="2"/>
      <c r="AG806" s="2"/>
      <c r="AH806" s="2"/>
      <c r="AI806" s="29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1:52" ht="12" customHeight="1" x14ac:dyDescent="0.35">
      <c r="A807" s="2"/>
      <c r="B807" s="2"/>
      <c r="C807" s="2"/>
      <c r="D807" s="2"/>
      <c r="E807" s="2"/>
      <c r="F807" s="2"/>
      <c r="G807" s="27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91"/>
      <c r="AC807" s="2"/>
      <c r="AD807" s="2"/>
      <c r="AE807" s="291"/>
      <c r="AF807" s="2"/>
      <c r="AG807" s="2"/>
      <c r="AH807" s="2"/>
      <c r="AI807" s="29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1:52" ht="12" customHeight="1" x14ac:dyDescent="0.35">
      <c r="A808" s="2"/>
      <c r="B808" s="2"/>
      <c r="C808" s="2"/>
      <c r="D808" s="2"/>
      <c r="E808" s="2"/>
      <c r="F808" s="2"/>
      <c r="G808" s="27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91"/>
      <c r="AC808" s="2"/>
      <c r="AD808" s="2"/>
      <c r="AE808" s="291"/>
      <c r="AF808" s="2"/>
      <c r="AG808" s="2"/>
      <c r="AH808" s="2"/>
      <c r="AI808" s="29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1:52" ht="12" customHeight="1" x14ac:dyDescent="0.35">
      <c r="A809" s="2"/>
      <c r="B809" s="2"/>
      <c r="C809" s="2"/>
      <c r="D809" s="2"/>
      <c r="E809" s="2"/>
      <c r="F809" s="2"/>
      <c r="G809" s="27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91"/>
      <c r="AC809" s="2"/>
      <c r="AD809" s="2"/>
      <c r="AE809" s="291"/>
      <c r="AF809" s="2"/>
      <c r="AG809" s="2"/>
      <c r="AH809" s="2"/>
      <c r="AI809" s="29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1:52" ht="12" customHeight="1" x14ac:dyDescent="0.35">
      <c r="A810" s="2"/>
      <c r="B810" s="2"/>
      <c r="C810" s="2"/>
      <c r="D810" s="2"/>
      <c r="E810" s="2"/>
      <c r="F810" s="2"/>
      <c r="G810" s="27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91"/>
      <c r="AC810" s="2"/>
      <c r="AD810" s="2"/>
      <c r="AE810" s="291"/>
      <c r="AF810" s="2"/>
      <c r="AG810" s="2"/>
      <c r="AH810" s="2"/>
      <c r="AI810" s="29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1:52" ht="12" customHeight="1" x14ac:dyDescent="0.35">
      <c r="A811" s="2"/>
      <c r="B811" s="2"/>
      <c r="C811" s="2"/>
      <c r="D811" s="2"/>
      <c r="E811" s="2"/>
      <c r="F811" s="2"/>
      <c r="G811" s="27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91"/>
      <c r="AC811" s="2"/>
      <c r="AD811" s="2"/>
      <c r="AE811" s="291"/>
      <c r="AF811" s="2"/>
      <c r="AG811" s="2"/>
      <c r="AH811" s="2"/>
      <c r="AI811" s="29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1:52" ht="12" customHeight="1" x14ac:dyDescent="0.35">
      <c r="A812" s="2"/>
      <c r="B812" s="2"/>
      <c r="C812" s="2"/>
      <c r="D812" s="2"/>
      <c r="E812" s="2"/>
      <c r="F812" s="2"/>
      <c r="G812" s="27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91"/>
      <c r="AC812" s="2"/>
      <c r="AD812" s="2"/>
      <c r="AE812" s="291"/>
      <c r="AF812" s="2"/>
      <c r="AG812" s="2"/>
      <c r="AH812" s="2"/>
      <c r="AI812" s="29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1:52" ht="12" customHeight="1" x14ac:dyDescent="0.35">
      <c r="A813" s="2"/>
      <c r="B813" s="2"/>
      <c r="C813" s="2"/>
      <c r="D813" s="2"/>
      <c r="E813" s="2"/>
      <c r="F813" s="2"/>
      <c r="G813" s="27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91"/>
      <c r="AC813" s="2"/>
      <c r="AD813" s="2"/>
      <c r="AE813" s="291"/>
      <c r="AF813" s="2"/>
      <c r="AG813" s="2"/>
      <c r="AH813" s="2"/>
      <c r="AI813" s="29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1:52" ht="12" customHeight="1" x14ac:dyDescent="0.35">
      <c r="A814" s="2"/>
      <c r="B814" s="2"/>
      <c r="C814" s="2"/>
      <c r="D814" s="2"/>
      <c r="E814" s="2"/>
      <c r="F814" s="2"/>
      <c r="G814" s="27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91"/>
      <c r="AC814" s="2"/>
      <c r="AD814" s="2"/>
      <c r="AE814" s="291"/>
      <c r="AF814" s="2"/>
      <c r="AG814" s="2"/>
      <c r="AH814" s="2"/>
      <c r="AI814" s="29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1:52" ht="12" customHeight="1" x14ac:dyDescent="0.35">
      <c r="A815" s="2"/>
      <c r="B815" s="2"/>
      <c r="C815" s="2"/>
      <c r="D815" s="2"/>
      <c r="E815" s="2"/>
      <c r="F815" s="2"/>
      <c r="G815" s="27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91"/>
      <c r="AC815" s="2"/>
      <c r="AD815" s="2"/>
      <c r="AE815" s="291"/>
      <c r="AF815" s="2"/>
      <c r="AG815" s="2"/>
      <c r="AH815" s="2"/>
      <c r="AI815" s="29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1:52" ht="12" customHeight="1" x14ac:dyDescent="0.35">
      <c r="A816" s="2"/>
      <c r="B816" s="2"/>
      <c r="C816" s="2"/>
      <c r="D816" s="2"/>
      <c r="E816" s="2"/>
      <c r="F816" s="2"/>
      <c r="G816" s="27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91"/>
      <c r="AC816" s="2"/>
      <c r="AD816" s="2"/>
      <c r="AE816" s="291"/>
      <c r="AF816" s="2"/>
      <c r="AG816" s="2"/>
      <c r="AH816" s="2"/>
      <c r="AI816" s="29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1:52" ht="12" customHeight="1" x14ac:dyDescent="0.35">
      <c r="A817" s="2"/>
      <c r="B817" s="2"/>
      <c r="C817" s="2"/>
      <c r="D817" s="2"/>
      <c r="E817" s="2"/>
      <c r="F817" s="2"/>
      <c r="G817" s="27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91"/>
      <c r="AC817" s="2"/>
      <c r="AD817" s="2"/>
      <c r="AE817" s="291"/>
      <c r="AF817" s="2"/>
      <c r="AG817" s="2"/>
      <c r="AH817" s="2"/>
      <c r="AI817" s="29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1:52" ht="12" customHeight="1" x14ac:dyDescent="0.35">
      <c r="A818" s="2"/>
      <c r="B818" s="2"/>
      <c r="C818" s="2"/>
      <c r="D818" s="2"/>
      <c r="E818" s="2"/>
      <c r="F818" s="2"/>
      <c r="G818" s="27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91"/>
      <c r="AC818" s="2"/>
      <c r="AD818" s="2"/>
      <c r="AE818" s="291"/>
      <c r="AF818" s="2"/>
      <c r="AG818" s="2"/>
      <c r="AH818" s="2"/>
      <c r="AI818" s="29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1:52" ht="12" customHeight="1" x14ac:dyDescent="0.35">
      <c r="A819" s="2"/>
      <c r="B819" s="2"/>
      <c r="C819" s="2"/>
      <c r="D819" s="2"/>
      <c r="E819" s="2"/>
      <c r="F819" s="2"/>
      <c r="G819" s="27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91"/>
      <c r="AC819" s="2"/>
      <c r="AD819" s="2"/>
      <c r="AE819" s="291"/>
      <c r="AF819" s="2"/>
      <c r="AG819" s="2"/>
      <c r="AH819" s="2"/>
      <c r="AI819" s="29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1:52" ht="12" customHeight="1" x14ac:dyDescent="0.35">
      <c r="A820" s="2"/>
      <c r="B820" s="2"/>
      <c r="C820" s="2"/>
      <c r="D820" s="2"/>
      <c r="E820" s="2"/>
      <c r="F820" s="2"/>
      <c r="G820" s="27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91"/>
      <c r="AC820" s="2"/>
      <c r="AD820" s="2"/>
      <c r="AE820" s="291"/>
      <c r="AF820" s="2"/>
      <c r="AG820" s="2"/>
      <c r="AH820" s="2"/>
      <c r="AI820" s="29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1:52" ht="12" customHeight="1" x14ac:dyDescent="0.35">
      <c r="A821" s="2"/>
      <c r="B821" s="2"/>
      <c r="C821" s="2"/>
      <c r="D821" s="2"/>
      <c r="E821" s="2"/>
      <c r="F821" s="2"/>
      <c r="G821" s="27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91"/>
      <c r="AC821" s="2"/>
      <c r="AD821" s="2"/>
      <c r="AE821" s="291"/>
      <c r="AF821" s="2"/>
      <c r="AG821" s="2"/>
      <c r="AH821" s="2"/>
      <c r="AI821" s="29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1:52" ht="12" customHeight="1" x14ac:dyDescent="0.35">
      <c r="A822" s="2"/>
      <c r="B822" s="2"/>
      <c r="C822" s="2"/>
      <c r="D822" s="2"/>
      <c r="E822" s="2"/>
      <c r="F822" s="2"/>
      <c r="G822" s="27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91"/>
      <c r="AC822" s="2"/>
      <c r="AD822" s="2"/>
      <c r="AE822" s="291"/>
      <c r="AF822" s="2"/>
      <c r="AG822" s="2"/>
      <c r="AH822" s="2"/>
      <c r="AI822" s="29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1:52" ht="12" customHeight="1" x14ac:dyDescent="0.35">
      <c r="A823" s="2"/>
      <c r="B823" s="2"/>
      <c r="C823" s="2"/>
      <c r="D823" s="2"/>
      <c r="E823" s="2"/>
      <c r="F823" s="2"/>
      <c r="G823" s="27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91"/>
      <c r="AC823" s="2"/>
      <c r="AD823" s="2"/>
      <c r="AE823" s="291"/>
      <c r="AF823" s="2"/>
      <c r="AG823" s="2"/>
      <c r="AH823" s="2"/>
      <c r="AI823" s="29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1:52" ht="12" customHeight="1" x14ac:dyDescent="0.35">
      <c r="A824" s="2"/>
      <c r="B824" s="2"/>
      <c r="C824" s="2"/>
      <c r="D824" s="2"/>
      <c r="E824" s="2"/>
      <c r="F824" s="2"/>
      <c r="G824" s="27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91"/>
      <c r="AC824" s="2"/>
      <c r="AD824" s="2"/>
      <c r="AE824" s="291"/>
      <c r="AF824" s="2"/>
      <c r="AG824" s="2"/>
      <c r="AH824" s="2"/>
      <c r="AI824" s="29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1:52" ht="12" customHeight="1" x14ac:dyDescent="0.35">
      <c r="A825" s="2"/>
      <c r="B825" s="2"/>
      <c r="C825" s="2"/>
      <c r="D825" s="2"/>
      <c r="E825" s="2"/>
      <c r="F825" s="2"/>
      <c r="G825" s="27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91"/>
      <c r="AC825" s="2"/>
      <c r="AD825" s="2"/>
      <c r="AE825" s="291"/>
      <c r="AF825" s="2"/>
      <c r="AG825" s="2"/>
      <c r="AH825" s="2"/>
      <c r="AI825" s="29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1:52" ht="12" customHeight="1" x14ac:dyDescent="0.35">
      <c r="A826" s="2"/>
      <c r="B826" s="2"/>
      <c r="C826" s="2"/>
      <c r="D826" s="2"/>
      <c r="E826" s="2"/>
      <c r="F826" s="2"/>
      <c r="G826" s="27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91"/>
      <c r="AC826" s="2"/>
      <c r="AD826" s="2"/>
      <c r="AE826" s="291"/>
      <c r="AF826" s="2"/>
      <c r="AG826" s="2"/>
      <c r="AH826" s="2"/>
      <c r="AI826" s="29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1:52" ht="12" customHeight="1" x14ac:dyDescent="0.35">
      <c r="A827" s="2"/>
      <c r="B827" s="2"/>
      <c r="C827" s="2"/>
      <c r="D827" s="2"/>
      <c r="E827" s="2"/>
      <c r="F827" s="2"/>
      <c r="G827" s="27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91"/>
      <c r="AC827" s="2"/>
      <c r="AD827" s="2"/>
      <c r="AE827" s="291"/>
      <c r="AF827" s="2"/>
      <c r="AG827" s="2"/>
      <c r="AH827" s="2"/>
      <c r="AI827" s="29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1:52" ht="12" customHeight="1" x14ac:dyDescent="0.35">
      <c r="A828" s="2"/>
      <c r="B828" s="2"/>
      <c r="C828" s="2"/>
      <c r="D828" s="2"/>
      <c r="E828" s="2"/>
      <c r="F828" s="2"/>
      <c r="G828" s="27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91"/>
      <c r="AC828" s="2"/>
      <c r="AD828" s="2"/>
      <c r="AE828" s="291"/>
      <c r="AF828" s="2"/>
      <c r="AG828" s="2"/>
      <c r="AH828" s="2"/>
      <c r="AI828" s="29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1:52" ht="12" customHeight="1" x14ac:dyDescent="0.35">
      <c r="A829" s="2"/>
      <c r="B829" s="2"/>
      <c r="C829" s="2"/>
      <c r="D829" s="2"/>
      <c r="E829" s="2"/>
      <c r="F829" s="2"/>
      <c r="G829" s="27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91"/>
      <c r="AC829" s="2"/>
      <c r="AD829" s="2"/>
      <c r="AE829" s="291"/>
      <c r="AF829" s="2"/>
      <c r="AG829" s="2"/>
      <c r="AH829" s="2"/>
      <c r="AI829" s="29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1:52" ht="12" customHeight="1" x14ac:dyDescent="0.35">
      <c r="A830" s="2"/>
      <c r="B830" s="2"/>
      <c r="C830" s="2"/>
      <c r="D830" s="2"/>
      <c r="E830" s="2"/>
      <c r="F830" s="2"/>
      <c r="G830" s="27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91"/>
      <c r="AC830" s="2"/>
      <c r="AD830" s="2"/>
      <c r="AE830" s="291"/>
      <c r="AF830" s="2"/>
      <c r="AG830" s="2"/>
      <c r="AH830" s="2"/>
      <c r="AI830" s="29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1:52" ht="12" customHeight="1" x14ac:dyDescent="0.35">
      <c r="A831" s="2"/>
      <c r="B831" s="2"/>
      <c r="C831" s="2"/>
      <c r="D831" s="2"/>
      <c r="E831" s="2"/>
      <c r="F831" s="2"/>
      <c r="G831" s="27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91"/>
      <c r="AC831" s="2"/>
      <c r="AD831" s="2"/>
      <c r="AE831" s="291"/>
      <c r="AF831" s="2"/>
      <c r="AG831" s="2"/>
      <c r="AH831" s="2"/>
      <c r="AI831" s="29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1:52" ht="12" customHeight="1" x14ac:dyDescent="0.35">
      <c r="A832" s="2"/>
      <c r="B832" s="2"/>
      <c r="C832" s="2"/>
      <c r="D832" s="2"/>
      <c r="E832" s="2"/>
      <c r="F832" s="2"/>
      <c r="G832" s="27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91"/>
      <c r="AC832" s="2"/>
      <c r="AD832" s="2"/>
      <c r="AE832" s="291"/>
      <c r="AF832" s="2"/>
      <c r="AG832" s="2"/>
      <c r="AH832" s="2"/>
      <c r="AI832" s="29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1:52" ht="12" customHeight="1" x14ac:dyDescent="0.35">
      <c r="A833" s="2"/>
      <c r="B833" s="2"/>
      <c r="C833" s="2"/>
      <c r="D833" s="2"/>
      <c r="E833" s="2"/>
      <c r="F833" s="2"/>
      <c r="G833" s="27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91"/>
      <c r="AC833" s="2"/>
      <c r="AD833" s="2"/>
      <c r="AE833" s="291"/>
      <c r="AF833" s="2"/>
      <c r="AG833" s="2"/>
      <c r="AH833" s="2"/>
      <c r="AI833" s="29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1:52" ht="12" customHeight="1" x14ac:dyDescent="0.35">
      <c r="A834" s="2"/>
      <c r="B834" s="2"/>
      <c r="C834" s="2"/>
      <c r="D834" s="2"/>
      <c r="E834" s="2"/>
      <c r="F834" s="2"/>
      <c r="G834" s="27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91"/>
      <c r="AC834" s="2"/>
      <c r="AD834" s="2"/>
      <c r="AE834" s="291"/>
      <c r="AF834" s="2"/>
      <c r="AG834" s="2"/>
      <c r="AH834" s="2"/>
      <c r="AI834" s="29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1:52" ht="12" customHeight="1" x14ac:dyDescent="0.35">
      <c r="A835" s="2"/>
      <c r="B835" s="2"/>
      <c r="C835" s="2"/>
      <c r="D835" s="2"/>
      <c r="E835" s="2"/>
      <c r="F835" s="2"/>
      <c r="G835" s="27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91"/>
      <c r="AC835" s="2"/>
      <c r="AD835" s="2"/>
      <c r="AE835" s="291"/>
      <c r="AF835" s="2"/>
      <c r="AG835" s="2"/>
      <c r="AH835" s="2"/>
      <c r="AI835" s="29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1:52" ht="12" customHeight="1" x14ac:dyDescent="0.35">
      <c r="A836" s="2"/>
      <c r="B836" s="2"/>
      <c r="C836" s="2"/>
      <c r="D836" s="2"/>
      <c r="E836" s="2"/>
      <c r="F836" s="2"/>
      <c r="G836" s="27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91"/>
      <c r="AC836" s="2"/>
      <c r="AD836" s="2"/>
      <c r="AE836" s="291"/>
      <c r="AF836" s="2"/>
      <c r="AG836" s="2"/>
      <c r="AH836" s="2"/>
      <c r="AI836" s="29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1:52" ht="12" customHeight="1" x14ac:dyDescent="0.35">
      <c r="A837" s="2"/>
      <c r="B837" s="2"/>
      <c r="C837" s="2"/>
      <c r="D837" s="2"/>
      <c r="E837" s="2"/>
      <c r="F837" s="2"/>
      <c r="G837" s="27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91"/>
      <c r="AC837" s="2"/>
      <c r="AD837" s="2"/>
      <c r="AE837" s="291"/>
      <c r="AF837" s="2"/>
      <c r="AG837" s="2"/>
      <c r="AH837" s="2"/>
      <c r="AI837" s="29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1:52" ht="12" customHeight="1" x14ac:dyDescent="0.35">
      <c r="A838" s="2"/>
      <c r="B838" s="2"/>
      <c r="C838" s="2"/>
      <c r="D838" s="2"/>
      <c r="E838" s="2"/>
      <c r="F838" s="2"/>
      <c r="G838" s="27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91"/>
      <c r="AC838" s="2"/>
      <c r="AD838" s="2"/>
      <c r="AE838" s="291"/>
      <c r="AF838" s="2"/>
      <c r="AG838" s="2"/>
      <c r="AH838" s="2"/>
      <c r="AI838" s="29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1:52" ht="12" customHeight="1" x14ac:dyDescent="0.35">
      <c r="A839" s="2"/>
      <c r="B839" s="2"/>
      <c r="C839" s="2"/>
      <c r="D839" s="2"/>
      <c r="E839" s="2"/>
      <c r="F839" s="2"/>
      <c r="G839" s="27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91"/>
      <c r="AC839" s="2"/>
      <c r="AD839" s="2"/>
      <c r="AE839" s="291"/>
      <c r="AF839" s="2"/>
      <c r="AG839" s="2"/>
      <c r="AH839" s="2"/>
      <c r="AI839" s="29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1:52" ht="12" customHeight="1" x14ac:dyDescent="0.35">
      <c r="A840" s="2"/>
      <c r="B840" s="2"/>
      <c r="C840" s="2"/>
      <c r="D840" s="2"/>
      <c r="E840" s="2"/>
      <c r="F840" s="2"/>
      <c r="G840" s="27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91"/>
      <c r="AC840" s="2"/>
      <c r="AD840" s="2"/>
      <c r="AE840" s="291"/>
      <c r="AF840" s="2"/>
      <c r="AG840" s="2"/>
      <c r="AH840" s="2"/>
      <c r="AI840" s="29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1:52" ht="12" customHeight="1" x14ac:dyDescent="0.35">
      <c r="A841" s="2"/>
      <c r="B841" s="2"/>
      <c r="C841" s="2"/>
      <c r="D841" s="2"/>
      <c r="E841" s="2"/>
      <c r="F841" s="2"/>
      <c r="G841" s="27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91"/>
      <c r="AC841" s="2"/>
      <c r="AD841" s="2"/>
      <c r="AE841" s="291"/>
      <c r="AF841" s="2"/>
      <c r="AG841" s="2"/>
      <c r="AH841" s="2"/>
      <c r="AI841" s="29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1:52" ht="12" customHeight="1" x14ac:dyDescent="0.35">
      <c r="A842" s="2"/>
      <c r="B842" s="2"/>
      <c r="C842" s="2"/>
      <c r="D842" s="2"/>
      <c r="E842" s="2"/>
      <c r="F842" s="2"/>
      <c r="G842" s="27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91"/>
      <c r="AC842" s="2"/>
      <c r="AD842" s="2"/>
      <c r="AE842" s="291"/>
      <c r="AF842" s="2"/>
      <c r="AG842" s="2"/>
      <c r="AH842" s="2"/>
      <c r="AI842" s="29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1:52" ht="12" customHeight="1" x14ac:dyDescent="0.35">
      <c r="A843" s="2"/>
      <c r="B843" s="2"/>
      <c r="C843" s="2"/>
      <c r="D843" s="2"/>
      <c r="E843" s="2"/>
      <c r="F843" s="2"/>
      <c r="G843" s="27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91"/>
      <c r="AC843" s="2"/>
      <c r="AD843" s="2"/>
      <c r="AE843" s="291"/>
      <c r="AF843" s="2"/>
      <c r="AG843" s="2"/>
      <c r="AH843" s="2"/>
      <c r="AI843" s="29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1:52" ht="12" customHeight="1" x14ac:dyDescent="0.35">
      <c r="A844" s="2"/>
      <c r="B844" s="2"/>
      <c r="C844" s="2"/>
      <c r="D844" s="2"/>
      <c r="E844" s="2"/>
      <c r="F844" s="2"/>
      <c r="G844" s="27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91"/>
      <c r="AC844" s="2"/>
      <c r="AD844" s="2"/>
      <c r="AE844" s="291"/>
      <c r="AF844" s="2"/>
      <c r="AG844" s="2"/>
      <c r="AH844" s="2"/>
      <c r="AI844" s="29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1:52" ht="12" customHeight="1" x14ac:dyDescent="0.35">
      <c r="A845" s="2"/>
      <c r="B845" s="2"/>
      <c r="C845" s="2"/>
      <c r="D845" s="2"/>
      <c r="E845" s="2"/>
      <c r="F845" s="2"/>
      <c r="G845" s="27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91"/>
      <c r="AC845" s="2"/>
      <c r="AD845" s="2"/>
      <c r="AE845" s="291"/>
      <c r="AF845" s="2"/>
      <c r="AG845" s="2"/>
      <c r="AH845" s="2"/>
      <c r="AI845" s="29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1:52" ht="12" customHeight="1" x14ac:dyDescent="0.35">
      <c r="A846" s="2"/>
      <c r="B846" s="2"/>
      <c r="C846" s="2"/>
      <c r="D846" s="2"/>
      <c r="E846" s="2"/>
      <c r="F846" s="2"/>
      <c r="G846" s="27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91"/>
      <c r="AC846" s="2"/>
      <c r="AD846" s="2"/>
      <c r="AE846" s="291"/>
      <c r="AF846" s="2"/>
      <c r="AG846" s="2"/>
      <c r="AH846" s="2"/>
      <c r="AI846" s="29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1:52" ht="12" customHeight="1" x14ac:dyDescent="0.35">
      <c r="A847" s="2"/>
      <c r="B847" s="2"/>
      <c r="C847" s="2"/>
      <c r="D847" s="2"/>
      <c r="E847" s="2"/>
      <c r="F847" s="2"/>
      <c r="G847" s="27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91"/>
      <c r="AC847" s="2"/>
      <c r="AD847" s="2"/>
      <c r="AE847" s="291"/>
      <c r="AF847" s="2"/>
      <c r="AG847" s="2"/>
      <c r="AH847" s="2"/>
      <c r="AI847" s="29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1:52" ht="12" customHeight="1" x14ac:dyDescent="0.35">
      <c r="A848" s="2"/>
      <c r="B848" s="2"/>
      <c r="C848" s="2"/>
      <c r="D848" s="2"/>
      <c r="E848" s="2"/>
      <c r="F848" s="2"/>
      <c r="G848" s="27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91"/>
      <c r="AC848" s="2"/>
      <c r="AD848" s="2"/>
      <c r="AE848" s="291"/>
      <c r="AF848" s="2"/>
      <c r="AG848" s="2"/>
      <c r="AH848" s="2"/>
      <c r="AI848" s="29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1:52" ht="12" customHeight="1" x14ac:dyDescent="0.35">
      <c r="A849" s="2"/>
      <c r="B849" s="2"/>
      <c r="C849" s="2"/>
      <c r="D849" s="2"/>
      <c r="E849" s="2"/>
      <c r="F849" s="2"/>
      <c r="G849" s="27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91"/>
      <c r="AC849" s="2"/>
      <c r="AD849" s="2"/>
      <c r="AE849" s="291"/>
      <c r="AF849" s="2"/>
      <c r="AG849" s="2"/>
      <c r="AH849" s="2"/>
      <c r="AI849" s="29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1:52" ht="12" customHeight="1" x14ac:dyDescent="0.35">
      <c r="A850" s="2"/>
      <c r="B850" s="2"/>
      <c r="C850" s="2"/>
      <c r="D850" s="2"/>
      <c r="E850" s="2"/>
      <c r="F850" s="2"/>
      <c r="G850" s="27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91"/>
      <c r="AC850" s="2"/>
      <c r="AD850" s="2"/>
      <c r="AE850" s="291"/>
      <c r="AF850" s="2"/>
      <c r="AG850" s="2"/>
      <c r="AH850" s="2"/>
      <c r="AI850" s="29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1:52" ht="12" customHeight="1" x14ac:dyDescent="0.35">
      <c r="A851" s="2"/>
      <c r="B851" s="2"/>
      <c r="C851" s="2"/>
      <c r="D851" s="2"/>
      <c r="E851" s="2"/>
      <c r="F851" s="2"/>
      <c r="G851" s="27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91"/>
      <c r="AC851" s="2"/>
      <c r="AD851" s="2"/>
      <c r="AE851" s="291"/>
      <c r="AF851" s="2"/>
      <c r="AG851" s="2"/>
      <c r="AH851" s="2"/>
      <c r="AI851" s="29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</row>
    <row r="852" spans="1:52" ht="12" customHeight="1" x14ac:dyDescent="0.35">
      <c r="A852" s="2"/>
      <c r="B852" s="2"/>
      <c r="C852" s="2"/>
      <c r="D852" s="2"/>
      <c r="E852" s="2"/>
      <c r="F852" s="2"/>
      <c r="G852" s="27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91"/>
      <c r="AC852" s="2"/>
      <c r="AD852" s="2"/>
      <c r="AE852" s="291"/>
      <c r="AF852" s="2"/>
      <c r="AG852" s="2"/>
      <c r="AH852" s="2"/>
      <c r="AI852" s="29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</row>
    <row r="853" spans="1:52" ht="12" customHeight="1" x14ac:dyDescent="0.35">
      <c r="A853" s="2"/>
      <c r="B853" s="2"/>
      <c r="C853" s="2"/>
      <c r="D853" s="2"/>
      <c r="E853" s="2"/>
      <c r="F853" s="2"/>
      <c r="G853" s="27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91"/>
      <c r="AC853" s="2"/>
      <c r="AD853" s="2"/>
      <c r="AE853" s="291"/>
      <c r="AF853" s="2"/>
      <c r="AG853" s="2"/>
      <c r="AH853" s="2"/>
      <c r="AI853" s="29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</row>
    <row r="854" spans="1:52" ht="12" customHeight="1" x14ac:dyDescent="0.35">
      <c r="A854" s="2"/>
      <c r="B854" s="2"/>
      <c r="C854" s="2"/>
      <c r="D854" s="2"/>
      <c r="E854" s="2"/>
      <c r="F854" s="2"/>
      <c r="G854" s="27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91"/>
      <c r="AC854" s="2"/>
      <c r="AD854" s="2"/>
      <c r="AE854" s="291"/>
      <c r="AF854" s="2"/>
      <c r="AG854" s="2"/>
      <c r="AH854" s="2"/>
      <c r="AI854" s="29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</row>
    <row r="855" spans="1:52" ht="12" customHeight="1" x14ac:dyDescent="0.35">
      <c r="A855" s="2"/>
      <c r="B855" s="2"/>
      <c r="C855" s="2"/>
      <c r="D855" s="2"/>
      <c r="E855" s="2"/>
      <c r="F855" s="2"/>
      <c r="G855" s="27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91"/>
      <c r="AC855" s="2"/>
      <c r="AD855" s="2"/>
      <c r="AE855" s="291"/>
      <c r="AF855" s="2"/>
      <c r="AG855" s="2"/>
      <c r="AH855" s="2"/>
      <c r="AI855" s="29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</row>
    <row r="856" spans="1:52" ht="12" customHeight="1" x14ac:dyDescent="0.35">
      <c r="A856" s="2"/>
      <c r="B856" s="2"/>
      <c r="C856" s="2"/>
      <c r="D856" s="2"/>
      <c r="E856" s="2"/>
      <c r="F856" s="2"/>
      <c r="G856" s="27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91"/>
      <c r="AC856" s="2"/>
      <c r="AD856" s="2"/>
      <c r="AE856" s="291"/>
      <c r="AF856" s="2"/>
      <c r="AG856" s="2"/>
      <c r="AH856" s="2"/>
      <c r="AI856" s="29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</row>
    <row r="857" spans="1:52" ht="12" customHeight="1" x14ac:dyDescent="0.35">
      <c r="A857" s="2"/>
      <c r="B857" s="2"/>
      <c r="C857" s="2"/>
      <c r="D857" s="2"/>
      <c r="E857" s="2"/>
      <c r="F857" s="2"/>
      <c r="G857" s="27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91"/>
      <c r="AC857" s="2"/>
      <c r="AD857" s="2"/>
      <c r="AE857" s="291"/>
      <c r="AF857" s="2"/>
      <c r="AG857" s="2"/>
      <c r="AH857" s="2"/>
      <c r="AI857" s="29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</row>
    <row r="858" spans="1:52" ht="12" customHeight="1" x14ac:dyDescent="0.35">
      <c r="A858" s="2"/>
      <c r="B858" s="2"/>
      <c r="C858" s="2"/>
      <c r="D858" s="2"/>
      <c r="E858" s="2"/>
      <c r="F858" s="2"/>
      <c r="G858" s="27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91"/>
      <c r="AC858" s="2"/>
      <c r="AD858" s="2"/>
      <c r="AE858" s="291"/>
      <c r="AF858" s="2"/>
      <c r="AG858" s="2"/>
      <c r="AH858" s="2"/>
      <c r="AI858" s="29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</row>
    <row r="859" spans="1:52" ht="12" customHeight="1" x14ac:dyDescent="0.35">
      <c r="A859" s="2"/>
      <c r="B859" s="2"/>
      <c r="C859" s="2"/>
      <c r="D859" s="2"/>
      <c r="E859" s="2"/>
      <c r="F859" s="2"/>
      <c r="G859" s="27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91"/>
      <c r="AC859" s="2"/>
      <c r="AD859" s="2"/>
      <c r="AE859" s="291"/>
      <c r="AF859" s="2"/>
      <c r="AG859" s="2"/>
      <c r="AH859" s="2"/>
      <c r="AI859" s="29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</row>
    <row r="860" spans="1:52" ht="12" customHeight="1" x14ac:dyDescent="0.35">
      <c r="A860" s="2"/>
      <c r="B860" s="2"/>
      <c r="C860" s="2"/>
      <c r="D860" s="2"/>
      <c r="E860" s="2"/>
      <c r="F860" s="2"/>
      <c r="G860" s="27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91"/>
      <c r="AC860" s="2"/>
      <c r="AD860" s="2"/>
      <c r="AE860" s="291"/>
      <c r="AF860" s="2"/>
      <c r="AG860" s="2"/>
      <c r="AH860" s="2"/>
      <c r="AI860" s="29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</row>
    <row r="861" spans="1:52" ht="12" customHeight="1" x14ac:dyDescent="0.35">
      <c r="A861" s="2"/>
      <c r="B861" s="2"/>
      <c r="C861" s="2"/>
      <c r="D861" s="2"/>
      <c r="E861" s="2"/>
      <c r="F861" s="2"/>
      <c r="G861" s="27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91"/>
      <c r="AC861" s="2"/>
      <c r="AD861" s="2"/>
      <c r="AE861" s="291"/>
      <c r="AF861" s="2"/>
      <c r="AG861" s="2"/>
      <c r="AH861" s="2"/>
      <c r="AI861" s="29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</row>
    <row r="862" spans="1:52" ht="12" customHeight="1" x14ac:dyDescent="0.35">
      <c r="A862" s="2"/>
      <c r="B862" s="2"/>
      <c r="C862" s="2"/>
      <c r="D862" s="2"/>
      <c r="E862" s="2"/>
      <c r="F862" s="2"/>
      <c r="G862" s="27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91"/>
      <c r="AC862" s="2"/>
      <c r="AD862" s="2"/>
      <c r="AE862" s="291"/>
      <c r="AF862" s="2"/>
      <c r="AG862" s="2"/>
      <c r="AH862" s="2"/>
      <c r="AI862" s="29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</row>
    <row r="863" spans="1:52" ht="12" customHeight="1" x14ac:dyDescent="0.35">
      <c r="A863" s="2"/>
      <c r="B863" s="2"/>
      <c r="C863" s="2"/>
      <c r="D863" s="2"/>
      <c r="E863" s="2"/>
      <c r="F863" s="2"/>
      <c r="G863" s="27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91"/>
      <c r="AC863" s="2"/>
      <c r="AD863" s="2"/>
      <c r="AE863" s="291"/>
      <c r="AF863" s="2"/>
      <c r="AG863" s="2"/>
      <c r="AH863" s="2"/>
      <c r="AI863" s="29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</row>
    <row r="864" spans="1:52" ht="12" customHeight="1" x14ac:dyDescent="0.35">
      <c r="A864" s="2"/>
      <c r="B864" s="2"/>
      <c r="C864" s="2"/>
      <c r="D864" s="2"/>
      <c r="E864" s="2"/>
      <c r="F864" s="2"/>
      <c r="G864" s="27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91"/>
      <c r="AC864" s="2"/>
      <c r="AD864" s="2"/>
      <c r="AE864" s="291"/>
      <c r="AF864" s="2"/>
      <c r="AG864" s="2"/>
      <c r="AH864" s="2"/>
      <c r="AI864" s="29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</row>
    <row r="865" spans="1:52" ht="12" customHeight="1" x14ac:dyDescent="0.35">
      <c r="A865" s="2"/>
      <c r="B865" s="2"/>
      <c r="C865" s="2"/>
      <c r="D865" s="2"/>
      <c r="E865" s="2"/>
      <c r="F865" s="2"/>
      <c r="G865" s="27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91"/>
      <c r="AC865" s="2"/>
      <c r="AD865" s="2"/>
      <c r="AE865" s="291"/>
      <c r="AF865" s="2"/>
      <c r="AG865" s="2"/>
      <c r="AH865" s="2"/>
      <c r="AI865" s="29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</row>
    <row r="866" spans="1:52" ht="12" customHeight="1" x14ac:dyDescent="0.35">
      <c r="A866" s="2"/>
      <c r="B866" s="2"/>
      <c r="C866" s="2"/>
      <c r="D866" s="2"/>
      <c r="E866" s="2"/>
      <c r="F866" s="2"/>
      <c r="G866" s="27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91"/>
      <c r="AC866" s="2"/>
      <c r="AD866" s="2"/>
      <c r="AE866" s="291"/>
      <c r="AF866" s="2"/>
      <c r="AG866" s="2"/>
      <c r="AH866" s="2"/>
      <c r="AI866" s="29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</row>
    <row r="867" spans="1:52" ht="12" customHeight="1" x14ac:dyDescent="0.35">
      <c r="A867" s="2"/>
      <c r="B867" s="2"/>
      <c r="C867" s="2"/>
      <c r="D867" s="2"/>
      <c r="E867" s="2"/>
      <c r="F867" s="2"/>
      <c r="G867" s="27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91"/>
      <c r="AC867" s="2"/>
      <c r="AD867" s="2"/>
      <c r="AE867" s="291"/>
      <c r="AF867" s="2"/>
      <c r="AG867" s="2"/>
      <c r="AH867" s="2"/>
      <c r="AI867" s="29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</row>
    <row r="868" spans="1:52" ht="12" customHeight="1" x14ac:dyDescent="0.35">
      <c r="A868" s="2"/>
      <c r="B868" s="2"/>
      <c r="C868" s="2"/>
      <c r="D868" s="2"/>
      <c r="E868" s="2"/>
      <c r="F868" s="2"/>
      <c r="G868" s="27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91"/>
      <c r="AC868" s="2"/>
      <c r="AD868" s="2"/>
      <c r="AE868" s="291"/>
      <c r="AF868" s="2"/>
      <c r="AG868" s="2"/>
      <c r="AH868" s="2"/>
      <c r="AI868" s="29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52" ht="12" customHeight="1" x14ac:dyDescent="0.35">
      <c r="A869" s="2"/>
      <c r="B869" s="2"/>
      <c r="C869" s="2"/>
      <c r="D869" s="2"/>
      <c r="E869" s="2"/>
      <c r="F869" s="2"/>
      <c r="G869" s="27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91"/>
      <c r="AC869" s="2"/>
      <c r="AD869" s="2"/>
      <c r="AE869" s="291"/>
      <c r="AF869" s="2"/>
      <c r="AG869" s="2"/>
      <c r="AH869" s="2"/>
      <c r="AI869" s="29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</row>
    <row r="870" spans="1:52" ht="12" customHeight="1" x14ac:dyDescent="0.35">
      <c r="A870" s="2"/>
      <c r="B870" s="2"/>
      <c r="C870" s="2"/>
      <c r="D870" s="2"/>
      <c r="E870" s="2"/>
      <c r="F870" s="2"/>
      <c r="G870" s="27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91"/>
      <c r="AC870" s="2"/>
      <c r="AD870" s="2"/>
      <c r="AE870" s="291"/>
      <c r="AF870" s="2"/>
      <c r="AG870" s="2"/>
      <c r="AH870" s="2"/>
      <c r="AI870" s="29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</row>
    <row r="871" spans="1:52" ht="12" customHeight="1" x14ac:dyDescent="0.35">
      <c r="A871" s="2"/>
      <c r="B871" s="2"/>
      <c r="C871" s="2"/>
      <c r="D871" s="2"/>
      <c r="E871" s="2"/>
      <c r="F871" s="2"/>
      <c r="G871" s="27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91"/>
      <c r="AC871" s="2"/>
      <c r="AD871" s="2"/>
      <c r="AE871" s="291"/>
      <c r="AF871" s="2"/>
      <c r="AG871" s="2"/>
      <c r="AH871" s="2"/>
      <c r="AI871" s="29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52" ht="12" customHeight="1" x14ac:dyDescent="0.35">
      <c r="A872" s="2"/>
      <c r="B872" s="2"/>
      <c r="C872" s="2"/>
      <c r="D872" s="2"/>
      <c r="E872" s="2"/>
      <c r="F872" s="2"/>
      <c r="G872" s="27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91"/>
      <c r="AC872" s="2"/>
      <c r="AD872" s="2"/>
      <c r="AE872" s="291"/>
      <c r="AF872" s="2"/>
      <c r="AG872" s="2"/>
      <c r="AH872" s="2"/>
      <c r="AI872" s="29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52" ht="12" customHeight="1" x14ac:dyDescent="0.35">
      <c r="A873" s="2"/>
      <c r="B873" s="2"/>
      <c r="C873" s="2"/>
      <c r="D873" s="2"/>
      <c r="E873" s="2"/>
      <c r="F873" s="2"/>
      <c r="G873" s="27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91"/>
      <c r="AC873" s="2"/>
      <c r="AD873" s="2"/>
      <c r="AE873" s="291"/>
      <c r="AF873" s="2"/>
      <c r="AG873" s="2"/>
      <c r="AH873" s="2"/>
      <c r="AI873" s="29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52" ht="12" customHeight="1" x14ac:dyDescent="0.35">
      <c r="A874" s="2"/>
      <c r="B874" s="2"/>
      <c r="C874" s="2"/>
      <c r="D874" s="2"/>
      <c r="E874" s="2"/>
      <c r="F874" s="2"/>
      <c r="G874" s="27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91"/>
      <c r="AC874" s="2"/>
      <c r="AD874" s="2"/>
      <c r="AE874" s="291"/>
      <c r="AF874" s="2"/>
      <c r="AG874" s="2"/>
      <c r="AH874" s="2"/>
      <c r="AI874" s="29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52" ht="12" customHeight="1" x14ac:dyDescent="0.35">
      <c r="A875" s="2"/>
      <c r="B875" s="2"/>
      <c r="C875" s="2"/>
      <c r="D875" s="2"/>
      <c r="E875" s="2"/>
      <c r="F875" s="2"/>
      <c r="G875" s="27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91"/>
      <c r="AC875" s="2"/>
      <c r="AD875" s="2"/>
      <c r="AE875" s="291"/>
      <c r="AF875" s="2"/>
      <c r="AG875" s="2"/>
      <c r="AH875" s="2"/>
      <c r="AI875" s="29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52" ht="12" customHeight="1" x14ac:dyDescent="0.35">
      <c r="A876" s="2"/>
      <c r="B876" s="2"/>
      <c r="C876" s="2"/>
      <c r="D876" s="2"/>
      <c r="E876" s="2"/>
      <c r="F876" s="2"/>
      <c r="G876" s="27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91"/>
      <c r="AC876" s="2"/>
      <c r="AD876" s="2"/>
      <c r="AE876" s="291"/>
      <c r="AF876" s="2"/>
      <c r="AG876" s="2"/>
      <c r="AH876" s="2"/>
      <c r="AI876" s="29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52" ht="12" customHeight="1" x14ac:dyDescent="0.35">
      <c r="A877" s="2"/>
      <c r="B877" s="2"/>
      <c r="C877" s="2"/>
      <c r="D877" s="2"/>
      <c r="E877" s="2"/>
      <c r="F877" s="2"/>
      <c r="G877" s="27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91"/>
      <c r="AC877" s="2"/>
      <c r="AD877" s="2"/>
      <c r="AE877" s="291"/>
      <c r="AF877" s="2"/>
      <c r="AG877" s="2"/>
      <c r="AH877" s="2"/>
      <c r="AI877" s="29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52" ht="12" customHeight="1" x14ac:dyDescent="0.35">
      <c r="A878" s="2"/>
      <c r="B878" s="2"/>
      <c r="C878" s="2"/>
      <c r="D878" s="2"/>
      <c r="E878" s="2"/>
      <c r="F878" s="2"/>
      <c r="G878" s="27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91"/>
      <c r="AC878" s="2"/>
      <c r="AD878" s="2"/>
      <c r="AE878" s="291"/>
      <c r="AF878" s="2"/>
      <c r="AG878" s="2"/>
      <c r="AH878" s="2"/>
      <c r="AI878" s="29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52" ht="12" customHeight="1" x14ac:dyDescent="0.35">
      <c r="A879" s="2"/>
      <c r="B879" s="2"/>
      <c r="C879" s="2"/>
      <c r="D879" s="2"/>
      <c r="E879" s="2"/>
      <c r="F879" s="2"/>
      <c r="G879" s="27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91"/>
      <c r="AC879" s="2"/>
      <c r="AD879" s="2"/>
      <c r="AE879" s="291"/>
      <c r="AF879" s="2"/>
      <c r="AG879" s="2"/>
      <c r="AH879" s="2"/>
      <c r="AI879" s="29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52" ht="12" customHeight="1" x14ac:dyDescent="0.35">
      <c r="A880" s="2"/>
      <c r="B880" s="2"/>
      <c r="C880" s="2"/>
      <c r="D880" s="2"/>
      <c r="E880" s="2"/>
      <c r="F880" s="2"/>
      <c r="G880" s="27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91"/>
      <c r="AC880" s="2"/>
      <c r="AD880" s="2"/>
      <c r="AE880" s="291"/>
      <c r="AF880" s="2"/>
      <c r="AG880" s="2"/>
      <c r="AH880" s="2"/>
      <c r="AI880" s="29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 ht="12" customHeight="1" x14ac:dyDescent="0.35">
      <c r="A881" s="2"/>
      <c r="B881" s="2"/>
      <c r="C881" s="2"/>
      <c r="D881" s="2"/>
      <c r="E881" s="2"/>
      <c r="F881" s="2"/>
      <c r="G881" s="27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91"/>
      <c r="AC881" s="2"/>
      <c r="AD881" s="2"/>
      <c r="AE881" s="291"/>
      <c r="AF881" s="2"/>
      <c r="AG881" s="2"/>
      <c r="AH881" s="2"/>
      <c r="AI881" s="29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 ht="12" customHeight="1" x14ac:dyDescent="0.35">
      <c r="A882" s="2"/>
      <c r="B882" s="2"/>
      <c r="C882" s="2"/>
      <c r="D882" s="2"/>
      <c r="E882" s="2"/>
      <c r="F882" s="2"/>
      <c r="G882" s="27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91"/>
      <c r="AC882" s="2"/>
      <c r="AD882" s="2"/>
      <c r="AE882" s="291"/>
      <c r="AF882" s="2"/>
      <c r="AG882" s="2"/>
      <c r="AH882" s="2"/>
      <c r="AI882" s="29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 ht="12" customHeight="1" x14ac:dyDescent="0.35">
      <c r="A883" s="2"/>
      <c r="B883" s="2"/>
      <c r="C883" s="2"/>
      <c r="D883" s="2"/>
      <c r="E883" s="2"/>
      <c r="F883" s="2"/>
      <c r="G883" s="27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91"/>
      <c r="AC883" s="2"/>
      <c r="AD883" s="2"/>
      <c r="AE883" s="291"/>
      <c r="AF883" s="2"/>
      <c r="AG883" s="2"/>
      <c r="AH883" s="2"/>
      <c r="AI883" s="29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 ht="12" customHeight="1" x14ac:dyDescent="0.35">
      <c r="A884" s="2"/>
      <c r="B884" s="2"/>
      <c r="C884" s="2"/>
      <c r="D884" s="2"/>
      <c r="E884" s="2"/>
      <c r="F884" s="2"/>
      <c r="G884" s="27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91"/>
      <c r="AC884" s="2"/>
      <c r="AD884" s="2"/>
      <c r="AE884" s="291"/>
      <c r="AF884" s="2"/>
      <c r="AG884" s="2"/>
      <c r="AH884" s="2"/>
      <c r="AI884" s="29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 ht="12" customHeight="1" x14ac:dyDescent="0.35">
      <c r="A885" s="2"/>
      <c r="B885" s="2"/>
      <c r="C885" s="2"/>
      <c r="D885" s="2"/>
      <c r="E885" s="2"/>
      <c r="F885" s="2"/>
      <c r="G885" s="27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91"/>
      <c r="AC885" s="2"/>
      <c r="AD885" s="2"/>
      <c r="AE885" s="291"/>
      <c r="AF885" s="2"/>
      <c r="AG885" s="2"/>
      <c r="AH885" s="2"/>
      <c r="AI885" s="29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 ht="12" customHeight="1" x14ac:dyDescent="0.35">
      <c r="A886" s="2"/>
      <c r="B886" s="2"/>
      <c r="C886" s="2"/>
      <c r="D886" s="2"/>
      <c r="E886" s="2"/>
      <c r="F886" s="2"/>
      <c r="G886" s="27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91"/>
      <c r="AC886" s="2"/>
      <c r="AD886" s="2"/>
      <c r="AE886" s="291"/>
      <c r="AF886" s="2"/>
      <c r="AG886" s="2"/>
      <c r="AH886" s="2"/>
      <c r="AI886" s="29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 ht="12" customHeight="1" x14ac:dyDescent="0.35">
      <c r="A887" s="2"/>
      <c r="B887" s="2"/>
      <c r="C887" s="2"/>
      <c r="D887" s="2"/>
      <c r="E887" s="2"/>
      <c r="F887" s="2"/>
      <c r="G887" s="27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91"/>
      <c r="AC887" s="2"/>
      <c r="AD887" s="2"/>
      <c r="AE887" s="291"/>
      <c r="AF887" s="2"/>
      <c r="AG887" s="2"/>
      <c r="AH887" s="2"/>
      <c r="AI887" s="29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 ht="12" customHeight="1" x14ac:dyDescent="0.35">
      <c r="A888" s="2"/>
      <c r="B888" s="2"/>
      <c r="C888" s="2"/>
      <c r="D888" s="2"/>
      <c r="E888" s="2"/>
      <c r="F888" s="2"/>
      <c r="G888" s="27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91"/>
      <c r="AC888" s="2"/>
      <c r="AD888" s="2"/>
      <c r="AE888" s="291"/>
      <c r="AF888" s="2"/>
      <c r="AG888" s="2"/>
      <c r="AH888" s="2"/>
      <c r="AI888" s="29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 ht="12" customHeight="1" x14ac:dyDescent="0.35">
      <c r="A889" s="2"/>
      <c r="B889" s="2"/>
      <c r="C889" s="2"/>
      <c r="D889" s="2"/>
      <c r="E889" s="2"/>
      <c r="F889" s="2"/>
      <c r="G889" s="27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91"/>
      <c r="AC889" s="2"/>
      <c r="AD889" s="2"/>
      <c r="AE889" s="291"/>
      <c r="AF889" s="2"/>
      <c r="AG889" s="2"/>
      <c r="AH889" s="2"/>
      <c r="AI889" s="29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 ht="12" customHeight="1" x14ac:dyDescent="0.35">
      <c r="A890" s="2"/>
      <c r="B890" s="2"/>
      <c r="C890" s="2"/>
      <c r="D890" s="2"/>
      <c r="E890" s="2"/>
      <c r="F890" s="2"/>
      <c r="G890" s="27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91"/>
      <c r="AC890" s="2"/>
      <c r="AD890" s="2"/>
      <c r="AE890" s="291"/>
      <c r="AF890" s="2"/>
      <c r="AG890" s="2"/>
      <c r="AH890" s="2"/>
      <c r="AI890" s="29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 ht="12" customHeight="1" x14ac:dyDescent="0.35">
      <c r="A891" s="2"/>
      <c r="B891" s="2"/>
      <c r="C891" s="2"/>
      <c r="D891" s="2"/>
      <c r="E891" s="2"/>
      <c r="F891" s="2"/>
      <c r="G891" s="27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91"/>
      <c r="AC891" s="2"/>
      <c r="AD891" s="2"/>
      <c r="AE891" s="291"/>
      <c r="AF891" s="2"/>
      <c r="AG891" s="2"/>
      <c r="AH891" s="2"/>
      <c r="AI891" s="29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 ht="12" customHeight="1" x14ac:dyDescent="0.35">
      <c r="A892" s="2"/>
      <c r="B892" s="2"/>
      <c r="C892" s="2"/>
      <c r="D892" s="2"/>
      <c r="E892" s="2"/>
      <c r="F892" s="2"/>
      <c r="G892" s="27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91"/>
      <c r="AC892" s="2"/>
      <c r="AD892" s="2"/>
      <c r="AE892" s="291"/>
      <c r="AF892" s="2"/>
      <c r="AG892" s="2"/>
      <c r="AH892" s="2"/>
      <c r="AI892" s="29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 ht="12" customHeight="1" x14ac:dyDescent="0.35">
      <c r="A893" s="2"/>
      <c r="B893" s="2"/>
      <c r="C893" s="2"/>
      <c r="D893" s="2"/>
      <c r="E893" s="2"/>
      <c r="F893" s="2"/>
      <c r="G893" s="27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91"/>
      <c r="AC893" s="2"/>
      <c r="AD893" s="2"/>
      <c r="AE893" s="291"/>
      <c r="AF893" s="2"/>
      <c r="AG893" s="2"/>
      <c r="AH893" s="2"/>
      <c r="AI893" s="29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 ht="12" customHeight="1" x14ac:dyDescent="0.35">
      <c r="A894" s="2"/>
      <c r="B894" s="2"/>
      <c r="C894" s="2"/>
      <c r="D894" s="2"/>
      <c r="E894" s="2"/>
      <c r="F894" s="2"/>
      <c r="G894" s="27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91"/>
      <c r="AC894" s="2"/>
      <c r="AD894" s="2"/>
      <c r="AE894" s="291"/>
      <c r="AF894" s="2"/>
      <c r="AG894" s="2"/>
      <c r="AH894" s="2"/>
      <c r="AI894" s="29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 ht="12" customHeight="1" x14ac:dyDescent="0.35">
      <c r="A895" s="2"/>
      <c r="B895" s="2"/>
      <c r="C895" s="2"/>
      <c r="D895" s="2"/>
      <c r="E895" s="2"/>
      <c r="F895" s="2"/>
      <c r="G895" s="27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91"/>
      <c r="AC895" s="2"/>
      <c r="AD895" s="2"/>
      <c r="AE895" s="291"/>
      <c r="AF895" s="2"/>
      <c r="AG895" s="2"/>
      <c r="AH895" s="2"/>
      <c r="AI895" s="29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 ht="12" customHeight="1" x14ac:dyDescent="0.35">
      <c r="A896" s="2"/>
      <c r="B896" s="2"/>
      <c r="C896" s="2"/>
      <c r="D896" s="2"/>
      <c r="E896" s="2"/>
      <c r="F896" s="2"/>
      <c r="G896" s="27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91"/>
      <c r="AC896" s="2"/>
      <c r="AD896" s="2"/>
      <c r="AE896" s="291"/>
      <c r="AF896" s="2"/>
      <c r="AG896" s="2"/>
      <c r="AH896" s="2"/>
      <c r="AI896" s="29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 ht="12" customHeight="1" x14ac:dyDescent="0.35">
      <c r="A897" s="2"/>
      <c r="B897" s="2"/>
      <c r="C897" s="2"/>
      <c r="D897" s="2"/>
      <c r="E897" s="2"/>
      <c r="F897" s="2"/>
      <c r="G897" s="27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91"/>
      <c r="AC897" s="2"/>
      <c r="AD897" s="2"/>
      <c r="AE897" s="291"/>
      <c r="AF897" s="2"/>
      <c r="AG897" s="2"/>
      <c r="AH897" s="2"/>
      <c r="AI897" s="29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 ht="12" customHeight="1" x14ac:dyDescent="0.35">
      <c r="A898" s="2"/>
      <c r="B898" s="2"/>
      <c r="C898" s="2"/>
      <c r="D898" s="2"/>
      <c r="E898" s="2"/>
      <c r="F898" s="2"/>
      <c r="G898" s="27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91"/>
      <c r="AC898" s="2"/>
      <c r="AD898" s="2"/>
      <c r="AE898" s="291"/>
      <c r="AF898" s="2"/>
      <c r="AG898" s="2"/>
      <c r="AH898" s="2"/>
      <c r="AI898" s="29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 ht="12" customHeight="1" x14ac:dyDescent="0.35">
      <c r="A899" s="2"/>
      <c r="B899" s="2"/>
      <c r="C899" s="2"/>
      <c r="D899" s="2"/>
      <c r="E899" s="2"/>
      <c r="F899" s="2"/>
      <c r="G899" s="27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91"/>
      <c r="AC899" s="2"/>
      <c r="AD899" s="2"/>
      <c r="AE899" s="291"/>
      <c r="AF899" s="2"/>
      <c r="AG899" s="2"/>
      <c r="AH899" s="2"/>
      <c r="AI899" s="29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 ht="12" customHeight="1" x14ac:dyDescent="0.35">
      <c r="A900" s="2"/>
      <c r="B900" s="2"/>
      <c r="C900" s="2"/>
      <c r="D900" s="2"/>
      <c r="E900" s="2"/>
      <c r="F900" s="2"/>
      <c r="G900" s="27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91"/>
      <c r="AC900" s="2"/>
      <c r="AD900" s="2"/>
      <c r="AE900" s="291"/>
      <c r="AF900" s="2"/>
      <c r="AG900" s="2"/>
      <c r="AH900" s="2"/>
      <c r="AI900" s="29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 ht="12" customHeight="1" x14ac:dyDescent="0.35">
      <c r="A901" s="2"/>
      <c r="B901" s="2"/>
      <c r="C901" s="2"/>
      <c r="D901" s="2"/>
      <c r="E901" s="2"/>
      <c r="F901" s="2"/>
      <c r="G901" s="27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91"/>
      <c r="AC901" s="2"/>
      <c r="AD901" s="2"/>
      <c r="AE901" s="291"/>
      <c r="AF901" s="2"/>
      <c r="AG901" s="2"/>
      <c r="AH901" s="2"/>
      <c r="AI901" s="29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 ht="12" customHeight="1" x14ac:dyDescent="0.35">
      <c r="A902" s="2"/>
      <c r="B902" s="2"/>
      <c r="C902" s="2"/>
      <c r="D902" s="2"/>
      <c r="E902" s="2"/>
      <c r="F902" s="2"/>
      <c r="G902" s="27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91"/>
      <c r="AC902" s="2"/>
      <c r="AD902" s="2"/>
      <c r="AE902" s="291"/>
      <c r="AF902" s="2"/>
      <c r="AG902" s="2"/>
      <c r="AH902" s="2"/>
      <c r="AI902" s="29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 ht="12" customHeight="1" x14ac:dyDescent="0.35">
      <c r="A903" s="2"/>
      <c r="B903" s="2"/>
      <c r="C903" s="2"/>
      <c r="D903" s="2"/>
      <c r="E903" s="2"/>
      <c r="F903" s="2"/>
      <c r="G903" s="27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91"/>
      <c r="AC903" s="2"/>
      <c r="AD903" s="2"/>
      <c r="AE903" s="291"/>
      <c r="AF903" s="2"/>
      <c r="AG903" s="2"/>
      <c r="AH903" s="2"/>
      <c r="AI903" s="29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 ht="12" customHeight="1" x14ac:dyDescent="0.35">
      <c r="A904" s="2"/>
      <c r="B904" s="2"/>
      <c r="C904" s="2"/>
      <c r="D904" s="2"/>
      <c r="E904" s="2"/>
      <c r="F904" s="2"/>
      <c r="G904" s="27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91"/>
      <c r="AC904" s="2"/>
      <c r="AD904" s="2"/>
      <c r="AE904" s="291"/>
      <c r="AF904" s="2"/>
      <c r="AG904" s="2"/>
      <c r="AH904" s="2"/>
      <c r="AI904" s="29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 ht="12" customHeight="1" x14ac:dyDescent="0.35">
      <c r="A905" s="2"/>
      <c r="B905" s="2"/>
      <c r="C905" s="2"/>
      <c r="D905" s="2"/>
      <c r="E905" s="2"/>
      <c r="F905" s="2"/>
      <c r="G905" s="27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91"/>
      <c r="AC905" s="2"/>
      <c r="AD905" s="2"/>
      <c r="AE905" s="291"/>
      <c r="AF905" s="2"/>
      <c r="AG905" s="2"/>
      <c r="AH905" s="2"/>
      <c r="AI905" s="29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 ht="12" customHeight="1" x14ac:dyDescent="0.35">
      <c r="A906" s="2"/>
      <c r="B906" s="2"/>
      <c r="C906" s="2"/>
      <c r="D906" s="2"/>
      <c r="E906" s="2"/>
      <c r="F906" s="2"/>
      <c r="G906" s="27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91"/>
      <c r="AC906" s="2"/>
      <c r="AD906" s="2"/>
      <c r="AE906" s="291"/>
      <c r="AF906" s="2"/>
      <c r="AG906" s="2"/>
      <c r="AH906" s="2"/>
      <c r="AI906" s="29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 ht="12" customHeight="1" x14ac:dyDescent="0.35">
      <c r="A907" s="2"/>
      <c r="B907" s="2"/>
      <c r="C907" s="2"/>
      <c r="D907" s="2"/>
      <c r="E907" s="2"/>
      <c r="F907" s="2"/>
      <c r="G907" s="27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91"/>
      <c r="AC907" s="2"/>
      <c r="AD907" s="2"/>
      <c r="AE907" s="291"/>
      <c r="AF907" s="2"/>
      <c r="AG907" s="2"/>
      <c r="AH907" s="2"/>
      <c r="AI907" s="29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 ht="12" customHeight="1" x14ac:dyDescent="0.35">
      <c r="A908" s="2"/>
      <c r="B908" s="2"/>
      <c r="C908" s="2"/>
      <c r="D908" s="2"/>
      <c r="E908" s="2"/>
      <c r="F908" s="2"/>
      <c r="G908" s="27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91"/>
      <c r="AC908" s="2"/>
      <c r="AD908" s="2"/>
      <c r="AE908" s="291"/>
      <c r="AF908" s="2"/>
      <c r="AG908" s="2"/>
      <c r="AH908" s="2"/>
      <c r="AI908" s="29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 ht="12" customHeight="1" x14ac:dyDescent="0.35">
      <c r="A909" s="2"/>
      <c r="B909" s="2"/>
      <c r="C909" s="2"/>
      <c r="D909" s="2"/>
      <c r="E909" s="2"/>
      <c r="F909" s="2"/>
      <c r="G909" s="27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91"/>
      <c r="AC909" s="2"/>
      <c r="AD909" s="2"/>
      <c r="AE909" s="291"/>
      <c r="AF909" s="2"/>
      <c r="AG909" s="2"/>
      <c r="AH909" s="2"/>
      <c r="AI909" s="29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</row>
    <row r="910" spans="1:52" ht="12" customHeight="1" x14ac:dyDescent="0.35">
      <c r="A910" s="2"/>
      <c r="B910" s="2"/>
      <c r="C910" s="2"/>
      <c r="D910" s="2"/>
      <c r="E910" s="2"/>
      <c r="F910" s="2"/>
      <c r="G910" s="27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91"/>
      <c r="AC910" s="2"/>
      <c r="AD910" s="2"/>
      <c r="AE910" s="291"/>
      <c r="AF910" s="2"/>
      <c r="AG910" s="2"/>
      <c r="AH910" s="2"/>
      <c r="AI910" s="29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</row>
    <row r="911" spans="1:52" ht="12" customHeight="1" x14ac:dyDescent="0.35">
      <c r="A911" s="2"/>
      <c r="B911" s="2"/>
      <c r="C911" s="2"/>
      <c r="D911" s="2"/>
      <c r="E911" s="2"/>
      <c r="F911" s="2"/>
      <c r="G911" s="27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91"/>
      <c r="AC911" s="2"/>
      <c r="AD911" s="2"/>
      <c r="AE911" s="291"/>
      <c r="AF911" s="2"/>
      <c r="AG911" s="2"/>
      <c r="AH911" s="2"/>
      <c r="AI911" s="29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</row>
    <row r="912" spans="1:52" ht="12" customHeight="1" x14ac:dyDescent="0.35">
      <c r="A912" s="2"/>
      <c r="B912" s="2"/>
      <c r="C912" s="2"/>
      <c r="D912" s="2"/>
      <c r="E912" s="2"/>
      <c r="F912" s="2"/>
      <c r="G912" s="27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91"/>
      <c r="AC912" s="2"/>
      <c r="AD912" s="2"/>
      <c r="AE912" s="291"/>
      <c r="AF912" s="2"/>
      <c r="AG912" s="2"/>
      <c r="AH912" s="2"/>
      <c r="AI912" s="29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</row>
    <row r="913" spans="1:52" ht="12" customHeight="1" x14ac:dyDescent="0.35">
      <c r="A913" s="2"/>
      <c r="B913" s="2"/>
      <c r="C913" s="2"/>
      <c r="D913" s="2"/>
      <c r="E913" s="2"/>
      <c r="F913" s="2"/>
      <c r="G913" s="27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91"/>
      <c r="AC913" s="2"/>
      <c r="AD913" s="2"/>
      <c r="AE913" s="291"/>
      <c r="AF913" s="2"/>
      <c r="AG913" s="2"/>
      <c r="AH913" s="2"/>
      <c r="AI913" s="29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</row>
    <row r="914" spans="1:52" ht="12" customHeight="1" x14ac:dyDescent="0.35">
      <c r="A914" s="2"/>
      <c r="B914" s="2"/>
      <c r="C914" s="2"/>
      <c r="D914" s="2"/>
      <c r="E914" s="2"/>
      <c r="F914" s="2"/>
      <c r="G914" s="27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91"/>
      <c r="AC914" s="2"/>
      <c r="AD914" s="2"/>
      <c r="AE914" s="291"/>
      <c r="AF914" s="2"/>
      <c r="AG914" s="2"/>
      <c r="AH914" s="2"/>
      <c r="AI914" s="29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</row>
    <row r="915" spans="1:52" ht="12" customHeight="1" x14ac:dyDescent="0.35">
      <c r="A915" s="2"/>
      <c r="B915" s="2"/>
      <c r="C915" s="2"/>
      <c r="D915" s="2"/>
      <c r="E915" s="2"/>
      <c r="F915" s="2"/>
      <c r="G915" s="27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91"/>
      <c r="AC915" s="2"/>
      <c r="AD915" s="2"/>
      <c r="AE915" s="291"/>
      <c r="AF915" s="2"/>
      <c r="AG915" s="2"/>
      <c r="AH915" s="2"/>
      <c r="AI915" s="29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</row>
    <row r="916" spans="1:52" ht="12" customHeight="1" x14ac:dyDescent="0.35">
      <c r="A916" s="2"/>
      <c r="B916" s="2"/>
      <c r="C916" s="2"/>
      <c r="D916" s="2"/>
      <c r="E916" s="2"/>
      <c r="F916" s="2"/>
      <c r="G916" s="27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91"/>
      <c r="AC916" s="2"/>
      <c r="AD916" s="2"/>
      <c r="AE916" s="291"/>
      <c r="AF916" s="2"/>
      <c r="AG916" s="2"/>
      <c r="AH916" s="2"/>
      <c r="AI916" s="29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</row>
    <row r="917" spans="1:52" ht="12" customHeight="1" x14ac:dyDescent="0.35">
      <c r="A917" s="2"/>
      <c r="B917" s="2"/>
      <c r="C917" s="2"/>
      <c r="D917" s="2"/>
      <c r="E917" s="2"/>
      <c r="F917" s="2"/>
      <c r="G917" s="27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91"/>
      <c r="AC917" s="2"/>
      <c r="AD917" s="2"/>
      <c r="AE917" s="291"/>
      <c r="AF917" s="2"/>
      <c r="AG917" s="2"/>
      <c r="AH917" s="2"/>
      <c r="AI917" s="29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</row>
    <row r="918" spans="1:52" ht="12" customHeight="1" x14ac:dyDescent="0.35">
      <c r="A918" s="2"/>
      <c r="B918" s="2"/>
      <c r="C918" s="2"/>
      <c r="D918" s="2"/>
      <c r="E918" s="2"/>
      <c r="F918" s="2"/>
      <c r="G918" s="27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91"/>
      <c r="AC918" s="2"/>
      <c r="AD918" s="2"/>
      <c r="AE918" s="291"/>
      <c r="AF918" s="2"/>
      <c r="AG918" s="2"/>
      <c r="AH918" s="2"/>
      <c r="AI918" s="29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</row>
    <row r="919" spans="1:52" ht="12" customHeight="1" x14ac:dyDescent="0.35">
      <c r="A919" s="2"/>
      <c r="B919" s="2"/>
      <c r="C919" s="2"/>
      <c r="D919" s="2"/>
      <c r="E919" s="2"/>
      <c r="F919" s="2"/>
      <c r="G919" s="27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91"/>
      <c r="AC919" s="2"/>
      <c r="AD919" s="2"/>
      <c r="AE919" s="291"/>
      <c r="AF919" s="2"/>
      <c r="AG919" s="2"/>
      <c r="AH919" s="2"/>
      <c r="AI919" s="29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</row>
    <row r="920" spans="1:52" ht="12" customHeight="1" x14ac:dyDescent="0.35">
      <c r="A920" s="2"/>
      <c r="B920" s="2"/>
      <c r="C920" s="2"/>
      <c r="D920" s="2"/>
      <c r="E920" s="2"/>
      <c r="F920" s="2"/>
      <c r="G920" s="27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91"/>
      <c r="AC920" s="2"/>
      <c r="AD920" s="2"/>
      <c r="AE920" s="291"/>
      <c r="AF920" s="2"/>
      <c r="AG920" s="2"/>
      <c r="AH920" s="2"/>
      <c r="AI920" s="29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</row>
    <row r="921" spans="1:52" ht="12" customHeight="1" x14ac:dyDescent="0.35">
      <c r="A921" s="2"/>
      <c r="B921" s="2"/>
      <c r="C921" s="2"/>
      <c r="D921" s="2"/>
      <c r="E921" s="2"/>
      <c r="F921" s="2"/>
      <c r="G921" s="27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91"/>
      <c r="AC921" s="2"/>
      <c r="AD921" s="2"/>
      <c r="AE921" s="291"/>
      <c r="AF921" s="2"/>
      <c r="AG921" s="2"/>
      <c r="AH921" s="2"/>
      <c r="AI921" s="29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</row>
    <row r="922" spans="1:52" ht="12" customHeight="1" x14ac:dyDescent="0.35">
      <c r="A922" s="2"/>
      <c r="B922" s="2"/>
      <c r="C922" s="2"/>
      <c r="D922" s="2"/>
      <c r="E922" s="2"/>
      <c r="F922" s="2"/>
      <c r="G922" s="27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91"/>
      <c r="AC922" s="2"/>
      <c r="AD922" s="2"/>
      <c r="AE922" s="291"/>
      <c r="AF922" s="2"/>
      <c r="AG922" s="2"/>
      <c r="AH922" s="2"/>
      <c r="AI922" s="29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</row>
    <row r="923" spans="1:52" ht="12" customHeight="1" x14ac:dyDescent="0.35">
      <c r="A923" s="2"/>
      <c r="B923" s="2"/>
      <c r="C923" s="2"/>
      <c r="D923" s="2"/>
      <c r="E923" s="2"/>
      <c r="F923" s="2"/>
      <c r="G923" s="27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91"/>
      <c r="AC923" s="2"/>
      <c r="AD923" s="2"/>
      <c r="AE923" s="291"/>
      <c r="AF923" s="2"/>
      <c r="AG923" s="2"/>
      <c r="AH923" s="2"/>
      <c r="AI923" s="29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</row>
    <row r="924" spans="1:52" ht="12" customHeight="1" x14ac:dyDescent="0.35">
      <c r="A924" s="2"/>
      <c r="B924" s="2"/>
      <c r="C924" s="2"/>
      <c r="D924" s="2"/>
      <c r="E924" s="2"/>
      <c r="F924" s="2"/>
      <c r="G924" s="27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91"/>
      <c r="AC924" s="2"/>
      <c r="AD924" s="2"/>
      <c r="AE924" s="291"/>
      <c r="AF924" s="2"/>
      <c r="AG924" s="2"/>
      <c r="AH924" s="2"/>
      <c r="AI924" s="29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</row>
    <row r="925" spans="1:52" ht="12" customHeight="1" x14ac:dyDescent="0.35">
      <c r="A925" s="2"/>
      <c r="B925" s="2"/>
      <c r="C925" s="2"/>
      <c r="D925" s="2"/>
      <c r="E925" s="2"/>
      <c r="F925" s="2"/>
      <c r="G925" s="27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91"/>
      <c r="AC925" s="2"/>
      <c r="AD925" s="2"/>
      <c r="AE925" s="291"/>
      <c r="AF925" s="2"/>
      <c r="AG925" s="2"/>
      <c r="AH925" s="2"/>
      <c r="AI925" s="29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</row>
    <row r="926" spans="1:52" ht="12" customHeight="1" x14ac:dyDescent="0.35">
      <c r="A926" s="2"/>
      <c r="B926" s="2"/>
      <c r="C926" s="2"/>
      <c r="D926" s="2"/>
      <c r="E926" s="2"/>
      <c r="F926" s="2"/>
      <c r="G926" s="27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91"/>
      <c r="AC926" s="2"/>
      <c r="AD926" s="2"/>
      <c r="AE926" s="291"/>
      <c r="AF926" s="2"/>
      <c r="AG926" s="2"/>
      <c r="AH926" s="2"/>
      <c r="AI926" s="29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</row>
    <row r="927" spans="1:52" ht="12" customHeight="1" x14ac:dyDescent="0.35">
      <c r="A927" s="2"/>
      <c r="B927" s="2"/>
      <c r="C927" s="2"/>
      <c r="D927" s="2"/>
      <c r="E927" s="2"/>
      <c r="F927" s="2"/>
      <c r="G927" s="27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91"/>
      <c r="AC927" s="2"/>
      <c r="AD927" s="2"/>
      <c r="AE927" s="291"/>
      <c r="AF927" s="2"/>
      <c r="AG927" s="2"/>
      <c r="AH927" s="2"/>
      <c r="AI927" s="29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</row>
    <row r="928" spans="1:52" ht="12" customHeight="1" x14ac:dyDescent="0.35">
      <c r="A928" s="2"/>
      <c r="B928" s="2"/>
      <c r="C928" s="2"/>
      <c r="D928" s="2"/>
      <c r="E928" s="2"/>
      <c r="F928" s="2"/>
      <c r="G928" s="27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91"/>
      <c r="AC928" s="2"/>
      <c r="AD928" s="2"/>
      <c r="AE928" s="291"/>
      <c r="AF928" s="2"/>
      <c r="AG928" s="2"/>
      <c r="AH928" s="2"/>
      <c r="AI928" s="29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</row>
    <row r="929" spans="1:52" ht="12" customHeight="1" x14ac:dyDescent="0.35">
      <c r="A929" s="2"/>
      <c r="B929" s="2"/>
      <c r="C929" s="2"/>
      <c r="D929" s="2"/>
      <c r="E929" s="2"/>
      <c r="F929" s="2"/>
      <c r="G929" s="27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91"/>
      <c r="AC929" s="2"/>
      <c r="AD929" s="2"/>
      <c r="AE929" s="291"/>
      <c r="AF929" s="2"/>
      <c r="AG929" s="2"/>
      <c r="AH929" s="2"/>
      <c r="AI929" s="29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</row>
    <row r="930" spans="1:52" ht="12" customHeight="1" x14ac:dyDescent="0.35">
      <c r="A930" s="2"/>
      <c r="B930" s="2"/>
      <c r="C930" s="2"/>
      <c r="D930" s="2"/>
      <c r="E930" s="2"/>
      <c r="F930" s="2"/>
      <c r="G930" s="27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91"/>
      <c r="AC930" s="2"/>
      <c r="AD930" s="2"/>
      <c r="AE930" s="291"/>
      <c r="AF930" s="2"/>
      <c r="AG930" s="2"/>
      <c r="AH930" s="2"/>
      <c r="AI930" s="29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</row>
    <row r="931" spans="1:52" ht="12" customHeight="1" x14ac:dyDescent="0.35">
      <c r="A931" s="2"/>
      <c r="B931" s="2"/>
      <c r="C931" s="2"/>
      <c r="D931" s="2"/>
      <c r="E931" s="2"/>
      <c r="F931" s="2"/>
      <c r="G931" s="27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91"/>
      <c r="AC931" s="2"/>
      <c r="AD931" s="2"/>
      <c r="AE931" s="291"/>
      <c r="AF931" s="2"/>
      <c r="AG931" s="2"/>
      <c r="AH931" s="2"/>
      <c r="AI931" s="29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</row>
    <row r="932" spans="1:52" ht="12" customHeight="1" x14ac:dyDescent="0.35">
      <c r="A932" s="2"/>
      <c r="B932" s="2"/>
      <c r="C932" s="2"/>
      <c r="D932" s="2"/>
      <c r="E932" s="2"/>
      <c r="F932" s="2"/>
      <c r="G932" s="27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91"/>
      <c r="AC932" s="2"/>
      <c r="AD932" s="2"/>
      <c r="AE932" s="291"/>
      <c r="AF932" s="2"/>
      <c r="AG932" s="2"/>
      <c r="AH932" s="2"/>
      <c r="AI932" s="29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</row>
    <row r="933" spans="1:52" ht="12" customHeight="1" x14ac:dyDescent="0.35">
      <c r="A933" s="2"/>
      <c r="B933" s="2"/>
      <c r="C933" s="2"/>
      <c r="D933" s="2"/>
      <c r="E933" s="2"/>
      <c r="F933" s="2"/>
      <c r="G933" s="27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91"/>
      <c r="AC933" s="2"/>
      <c r="AD933" s="2"/>
      <c r="AE933" s="291"/>
      <c r="AF933" s="2"/>
      <c r="AG933" s="2"/>
      <c r="AH933" s="2"/>
      <c r="AI933" s="29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</row>
    <row r="934" spans="1:52" ht="12" customHeight="1" x14ac:dyDescent="0.35">
      <c r="A934" s="2"/>
      <c r="B934" s="2"/>
      <c r="C934" s="2"/>
      <c r="D934" s="2"/>
      <c r="E934" s="2"/>
      <c r="F934" s="2"/>
      <c r="G934" s="27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91"/>
      <c r="AC934" s="2"/>
      <c r="AD934" s="2"/>
      <c r="AE934" s="291"/>
      <c r="AF934" s="2"/>
      <c r="AG934" s="2"/>
      <c r="AH934" s="2"/>
      <c r="AI934" s="29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</row>
    <row r="935" spans="1:52" ht="12" customHeight="1" x14ac:dyDescent="0.35">
      <c r="A935" s="2"/>
      <c r="B935" s="2"/>
      <c r="C935" s="2"/>
      <c r="D935" s="2"/>
      <c r="E935" s="2"/>
      <c r="F935" s="2"/>
      <c r="G935" s="27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91"/>
      <c r="AC935" s="2"/>
      <c r="AD935" s="2"/>
      <c r="AE935" s="291"/>
      <c r="AF935" s="2"/>
      <c r="AG935" s="2"/>
      <c r="AH935" s="2"/>
      <c r="AI935" s="29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</row>
    <row r="936" spans="1:52" ht="12" customHeight="1" x14ac:dyDescent="0.35">
      <c r="A936" s="2"/>
      <c r="B936" s="2"/>
      <c r="C936" s="2"/>
      <c r="D936" s="2"/>
      <c r="E936" s="2"/>
      <c r="F936" s="2"/>
      <c r="G936" s="27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91"/>
      <c r="AC936" s="2"/>
      <c r="AD936" s="2"/>
      <c r="AE936" s="291"/>
      <c r="AF936" s="2"/>
      <c r="AG936" s="2"/>
      <c r="AH936" s="2"/>
      <c r="AI936" s="29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</row>
    <row r="937" spans="1:52" ht="12" customHeight="1" x14ac:dyDescent="0.35">
      <c r="A937" s="2"/>
      <c r="B937" s="2"/>
      <c r="C937" s="2"/>
      <c r="D937" s="2"/>
      <c r="E937" s="2"/>
      <c r="F937" s="2"/>
      <c r="G937" s="27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91"/>
      <c r="AC937" s="2"/>
      <c r="AD937" s="2"/>
      <c r="AE937" s="291"/>
      <c r="AF937" s="2"/>
      <c r="AG937" s="2"/>
      <c r="AH937" s="2"/>
      <c r="AI937" s="29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</row>
    <row r="938" spans="1:52" ht="12" customHeight="1" x14ac:dyDescent="0.35">
      <c r="A938" s="2"/>
      <c r="B938" s="2"/>
      <c r="C938" s="2"/>
      <c r="D938" s="2"/>
      <c r="E938" s="2"/>
      <c r="F938" s="2"/>
      <c r="G938" s="27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91"/>
      <c r="AC938" s="2"/>
      <c r="AD938" s="2"/>
      <c r="AE938" s="291"/>
      <c r="AF938" s="2"/>
      <c r="AG938" s="2"/>
      <c r="AH938" s="2"/>
      <c r="AI938" s="29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</row>
    <row r="939" spans="1:52" ht="12" customHeight="1" x14ac:dyDescent="0.35">
      <c r="A939" s="2"/>
      <c r="B939" s="2"/>
      <c r="C939" s="2"/>
      <c r="D939" s="2"/>
      <c r="E939" s="2"/>
      <c r="F939" s="2"/>
      <c r="G939" s="27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91"/>
      <c r="AC939" s="2"/>
      <c r="AD939" s="2"/>
      <c r="AE939" s="291"/>
      <c r="AF939" s="2"/>
      <c r="AG939" s="2"/>
      <c r="AH939" s="2"/>
      <c r="AI939" s="29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</row>
    <row r="940" spans="1:52" ht="12" customHeight="1" x14ac:dyDescent="0.35">
      <c r="A940" s="2"/>
      <c r="B940" s="2"/>
      <c r="C940" s="2"/>
      <c r="D940" s="2"/>
      <c r="E940" s="2"/>
      <c r="F940" s="2"/>
      <c r="G940" s="27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91"/>
      <c r="AC940" s="2"/>
      <c r="AD940" s="2"/>
      <c r="AE940" s="291"/>
      <c r="AF940" s="2"/>
      <c r="AG940" s="2"/>
      <c r="AH940" s="2"/>
      <c r="AI940" s="29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</row>
    <row r="941" spans="1:52" ht="12" customHeight="1" x14ac:dyDescent="0.35">
      <c r="A941" s="2"/>
      <c r="B941" s="2"/>
      <c r="C941" s="2"/>
      <c r="D941" s="2"/>
      <c r="E941" s="2"/>
      <c r="F941" s="2"/>
      <c r="G941" s="27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91"/>
      <c r="AC941" s="2"/>
      <c r="AD941" s="2"/>
      <c r="AE941" s="291"/>
      <c r="AF941" s="2"/>
      <c r="AG941" s="2"/>
      <c r="AH941" s="2"/>
      <c r="AI941" s="29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</row>
    <row r="942" spans="1:52" ht="12" customHeight="1" x14ac:dyDescent="0.35">
      <c r="A942" s="2"/>
      <c r="B942" s="2"/>
      <c r="C942" s="2"/>
      <c r="D942" s="2"/>
      <c r="E942" s="2"/>
      <c r="F942" s="2"/>
      <c r="G942" s="27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91"/>
      <c r="AC942" s="2"/>
      <c r="AD942" s="2"/>
      <c r="AE942" s="291"/>
      <c r="AF942" s="2"/>
      <c r="AG942" s="2"/>
      <c r="AH942" s="2"/>
      <c r="AI942" s="29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</row>
    <row r="943" spans="1:52" ht="12" customHeight="1" x14ac:dyDescent="0.35">
      <c r="A943" s="2"/>
      <c r="B943" s="2"/>
      <c r="C943" s="2"/>
      <c r="D943" s="2"/>
      <c r="E943" s="2"/>
      <c r="F943" s="2"/>
      <c r="G943" s="27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91"/>
      <c r="AC943" s="2"/>
      <c r="AD943" s="2"/>
      <c r="AE943" s="291"/>
      <c r="AF943" s="2"/>
      <c r="AG943" s="2"/>
      <c r="AH943" s="2"/>
      <c r="AI943" s="29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</row>
    <row r="944" spans="1:52" ht="12" customHeight="1" x14ac:dyDescent="0.35">
      <c r="A944" s="2"/>
      <c r="B944" s="2"/>
      <c r="C944" s="2"/>
      <c r="D944" s="2"/>
      <c r="E944" s="2"/>
      <c r="F944" s="2"/>
      <c r="G944" s="27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91"/>
      <c r="AC944" s="2"/>
      <c r="AD944" s="2"/>
      <c r="AE944" s="291"/>
      <c r="AF944" s="2"/>
      <c r="AG944" s="2"/>
      <c r="AH944" s="2"/>
      <c r="AI944" s="29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</row>
    <row r="945" spans="1:52" ht="12" customHeight="1" x14ac:dyDescent="0.35">
      <c r="A945" s="2"/>
      <c r="B945" s="2"/>
      <c r="C945" s="2"/>
      <c r="D945" s="2"/>
      <c r="E945" s="2"/>
      <c r="F945" s="2"/>
      <c r="G945" s="27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91"/>
      <c r="AC945" s="2"/>
      <c r="AD945" s="2"/>
      <c r="AE945" s="291"/>
      <c r="AF945" s="2"/>
      <c r="AG945" s="2"/>
      <c r="AH945" s="2"/>
      <c r="AI945" s="29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</row>
    <row r="946" spans="1:52" ht="12" customHeight="1" x14ac:dyDescent="0.35">
      <c r="A946" s="2"/>
      <c r="B946" s="2"/>
      <c r="C946" s="2"/>
      <c r="D946" s="2"/>
      <c r="E946" s="2"/>
      <c r="F946" s="2"/>
      <c r="G946" s="27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91"/>
      <c r="AC946" s="2"/>
      <c r="AD946" s="2"/>
      <c r="AE946" s="291"/>
      <c r="AF946" s="2"/>
      <c r="AG946" s="2"/>
      <c r="AH946" s="2"/>
      <c r="AI946" s="29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</row>
    <row r="947" spans="1:52" ht="12" customHeight="1" x14ac:dyDescent="0.35">
      <c r="A947" s="2"/>
      <c r="B947" s="2"/>
      <c r="C947" s="2"/>
      <c r="D947" s="2"/>
      <c r="E947" s="2"/>
      <c r="F947" s="2"/>
      <c r="G947" s="27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91"/>
      <c r="AC947" s="2"/>
      <c r="AD947" s="2"/>
      <c r="AE947" s="291"/>
      <c r="AF947" s="2"/>
      <c r="AG947" s="2"/>
      <c r="AH947" s="2"/>
      <c r="AI947" s="29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</row>
    <row r="948" spans="1:52" ht="12" customHeight="1" x14ac:dyDescent="0.35">
      <c r="A948" s="2"/>
      <c r="B948" s="2"/>
      <c r="C948" s="2"/>
      <c r="D948" s="2"/>
      <c r="E948" s="2"/>
      <c r="F948" s="2"/>
      <c r="G948" s="27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91"/>
      <c r="AC948" s="2"/>
      <c r="AD948" s="2"/>
      <c r="AE948" s="291"/>
      <c r="AF948" s="2"/>
      <c r="AG948" s="2"/>
      <c r="AH948" s="2"/>
      <c r="AI948" s="29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</row>
    <row r="949" spans="1:52" ht="12" customHeight="1" x14ac:dyDescent="0.35">
      <c r="A949" s="2"/>
      <c r="B949" s="2"/>
      <c r="C949" s="2"/>
      <c r="D949" s="2"/>
      <c r="E949" s="2"/>
      <c r="F949" s="2"/>
      <c r="G949" s="27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91"/>
      <c r="AC949" s="2"/>
      <c r="AD949" s="2"/>
      <c r="AE949" s="291"/>
      <c r="AF949" s="2"/>
      <c r="AG949" s="2"/>
      <c r="AH949" s="2"/>
      <c r="AI949" s="29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</row>
    <row r="950" spans="1:52" ht="12" customHeight="1" x14ac:dyDescent="0.35">
      <c r="A950" s="2"/>
      <c r="B950" s="2"/>
      <c r="C950" s="2"/>
      <c r="D950" s="2"/>
      <c r="E950" s="2"/>
      <c r="F950" s="2"/>
      <c r="G950" s="27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91"/>
      <c r="AC950" s="2"/>
      <c r="AD950" s="2"/>
      <c r="AE950" s="291"/>
      <c r="AF950" s="2"/>
      <c r="AG950" s="2"/>
      <c r="AH950" s="2"/>
      <c r="AI950" s="29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</row>
    <row r="951" spans="1:52" ht="12" customHeight="1" x14ac:dyDescent="0.35">
      <c r="A951" s="2"/>
      <c r="B951" s="2"/>
      <c r="C951" s="2"/>
      <c r="D951" s="2"/>
      <c r="E951" s="2"/>
      <c r="F951" s="2"/>
      <c r="G951" s="27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91"/>
      <c r="AC951" s="2"/>
      <c r="AD951" s="2"/>
      <c r="AE951" s="291"/>
      <c r="AF951" s="2"/>
      <c r="AG951" s="2"/>
      <c r="AH951" s="2"/>
      <c r="AI951" s="29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</row>
    <row r="952" spans="1:52" ht="12" customHeight="1" x14ac:dyDescent="0.35">
      <c r="A952" s="2"/>
      <c r="B952" s="2"/>
      <c r="C952" s="2"/>
      <c r="D952" s="2"/>
      <c r="E952" s="2"/>
      <c r="F952" s="2"/>
      <c r="G952" s="27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91"/>
      <c r="AC952" s="2"/>
      <c r="AD952" s="2"/>
      <c r="AE952" s="291"/>
      <c r="AF952" s="2"/>
      <c r="AG952" s="2"/>
      <c r="AH952" s="2"/>
      <c r="AI952" s="29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</row>
    <row r="953" spans="1:52" ht="12" customHeight="1" x14ac:dyDescent="0.35">
      <c r="A953" s="2"/>
      <c r="B953" s="2"/>
      <c r="C953" s="2"/>
      <c r="D953" s="2"/>
      <c r="E953" s="2"/>
      <c r="F953" s="2"/>
      <c r="G953" s="27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91"/>
      <c r="AC953" s="2"/>
      <c r="AD953" s="2"/>
      <c r="AE953" s="291"/>
      <c r="AF953" s="2"/>
      <c r="AG953" s="2"/>
      <c r="AH953" s="2"/>
      <c r="AI953" s="29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</row>
    <row r="954" spans="1:52" ht="12" customHeight="1" x14ac:dyDescent="0.35">
      <c r="A954" s="2"/>
      <c r="B954" s="2"/>
      <c r="C954" s="2"/>
      <c r="D954" s="2"/>
      <c r="E954" s="2"/>
      <c r="F954" s="2"/>
      <c r="G954" s="27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91"/>
      <c r="AC954" s="2"/>
      <c r="AD954" s="2"/>
      <c r="AE954" s="291"/>
      <c r="AF954" s="2"/>
      <c r="AG954" s="2"/>
      <c r="AH954" s="2"/>
      <c r="AI954" s="29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</row>
    <row r="955" spans="1:52" ht="12" customHeight="1" x14ac:dyDescent="0.35">
      <c r="A955" s="2"/>
      <c r="B955" s="2"/>
      <c r="C955" s="2"/>
      <c r="D955" s="2"/>
      <c r="E955" s="2"/>
      <c r="F955" s="2"/>
      <c r="G955" s="27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91"/>
      <c r="AC955" s="2"/>
      <c r="AD955" s="2"/>
      <c r="AE955" s="291"/>
      <c r="AF955" s="2"/>
      <c r="AG955" s="2"/>
      <c r="AH955" s="2"/>
      <c r="AI955" s="29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</row>
    <row r="956" spans="1:52" ht="12" customHeight="1" x14ac:dyDescent="0.35">
      <c r="A956" s="2"/>
      <c r="B956" s="2"/>
      <c r="C956" s="2"/>
      <c r="D956" s="2"/>
      <c r="E956" s="2"/>
      <c r="F956" s="2"/>
      <c r="G956" s="27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91"/>
      <c r="AC956" s="2"/>
      <c r="AD956" s="2"/>
      <c r="AE956" s="291"/>
      <c r="AF956" s="2"/>
      <c r="AG956" s="2"/>
      <c r="AH956" s="2"/>
      <c r="AI956" s="29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</row>
    <row r="957" spans="1:52" ht="12" customHeight="1" x14ac:dyDescent="0.35">
      <c r="A957" s="2"/>
      <c r="B957" s="2"/>
      <c r="C957" s="2"/>
      <c r="D957" s="2"/>
      <c r="E957" s="2"/>
      <c r="F957" s="2"/>
      <c r="G957" s="27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91"/>
      <c r="AC957" s="2"/>
      <c r="AD957" s="2"/>
      <c r="AE957" s="291"/>
      <c r="AF957" s="2"/>
      <c r="AG957" s="2"/>
      <c r="AH957" s="2"/>
      <c r="AI957" s="29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</row>
    <row r="958" spans="1:52" ht="12" customHeight="1" x14ac:dyDescent="0.35">
      <c r="A958" s="2"/>
      <c r="B958" s="2"/>
      <c r="C958" s="2"/>
      <c r="D958" s="2"/>
      <c r="E958" s="2"/>
      <c r="F958" s="2"/>
      <c r="G958" s="27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91"/>
      <c r="AC958" s="2"/>
      <c r="AD958" s="2"/>
      <c r="AE958" s="291"/>
      <c r="AF958" s="2"/>
      <c r="AG958" s="2"/>
      <c r="AH958" s="2"/>
      <c r="AI958" s="29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</row>
    <row r="959" spans="1:52" ht="12" customHeight="1" x14ac:dyDescent="0.35">
      <c r="A959" s="2"/>
      <c r="B959" s="2"/>
      <c r="C959" s="2"/>
      <c r="D959" s="2"/>
      <c r="E959" s="2"/>
      <c r="F959" s="2"/>
      <c r="G959" s="27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91"/>
      <c r="AC959" s="2"/>
      <c r="AD959" s="2"/>
      <c r="AE959" s="291"/>
      <c r="AF959" s="2"/>
      <c r="AG959" s="2"/>
      <c r="AH959" s="2"/>
      <c r="AI959" s="29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</row>
    <row r="960" spans="1:52" ht="12" customHeight="1" x14ac:dyDescent="0.35">
      <c r="A960" s="2"/>
      <c r="B960" s="2"/>
      <c r="C960" s="2"/>
      <c r="D960" s="2"/>
      <c r="E960" s="2"/>
      <c r="F960" s="2"/>
      <c r="G960" s="27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91"/>
      <c r="AC960" s="2"/>
      <c r="AD960" s="2"/>
      <c r="AE960" s="291"/>
      <c r="AF960" s="2"/>
      <c r="AG960" s="2"/>
      <c r="AH960" s="2"/>
      <c r="AI960" s="29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</row>
    <row r="961" spans="1:52" ht="12" customHeight="1" x14ac:dyDescent="0.35">
      <c r="A961" s="2"/>
      <c r="B961" s="2"/>
      <c r="C961" s="2"/>
      <c r="D961" s="2"/>
      <c r="E961" s="2"/>
      <c r="F961" s="2"/>
      <c r="G961" s="27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91"/>
      <c r="AC961" s="2"/>
      <c r="AD961" s="2"/>
      <c r="AE961" s="291"/>
      <c r="AF961" s="2"/>
      <c r="AG961" s="2"/>
      <c r="AH961" s="2"/>
      <c r="AI961" s="29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</row>
    <row r="962" spans="1:52" ht="12" customHeight="1" x14ac:dyDescent="0.35">
      <c r="A962" s="2"/>
      <c r="B962" s="2"/>
      <c r="C962" s="2"/>
      <c r="D962" s="2"/>
      <c r="E962" s="2"/>
      <c r="F962" s="2"/>
      <c r="G962" s="27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91"/>
      <c r="AC962" s="2"/>
      <c r="AD962" s="2"/>
      <c r="AE962" s="291"/>
      <c r="AF962" s="2"/>
      <c r="AG962" s="2"/>
      <c r="AH962" s="2"/>
      <c r="AI962" s="29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</row>
    <row r="963" spans="1:52" ht="12" customHeight="1" x14ac:dyDescent="0.35">
      <c r="A963" s="2"/>
      <c r="B963" s="2"/>
      <c r="C963" s="2"/>
      <c r="D963" s="2"/>
      <c r="E963" s="2"/>
      <c r="F963" s="2"/>
      <c r="G963" s="27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91"/>
      <c r="AC963" s="2"/>
      <c r="AD963" s="2"/>
      <c r="AE963" s="291"/>
      <c r="AF963" s="2"/>
      <c r="AG963" s="2"/>
      <c r="AH963" s="2"/>
      <c r="AI963" s="29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</row>
    <row r="964" spans="1:52" ht="12" customHeight="1" x14ac:dyDescent="0.35">
      <c r="A964" s="2"/>
      <c r="B964" s="2"/>
      <c r="C964" s="2"/>
      <c r="D964" s="2"/>
      <c r="E964" s="2"/>
      <c r="F964" s="2"/>
      <c r="G964" s="27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91"/>
      <c r="AC964" s="2"/>
      <c r="AD964" s="2"/>
      <c r="AE964" s="291"/>
      <c r="AF964" s="2"/>
      <c r="AG964" s="2"/>
      <c r="AH964" s="2"/>
      <c r="AI964" s="29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</row>
    <row r="965" spans="1:52" ht="12" customHeight="1" x14ac:dyDescent="0.35">
      <c r="A965" s="2"/>
      <c r="B965" s="2"/>
      <c r="C965" s="2"/>
      <c r="D965" s="2"/>
      <c r="E965" s="2"/>
      <c r="F965" s="2"/>
      <c r="G965" s="27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91"/>
      <c r="AC965" s="2"/>
      <c r="AD965" s="2"/>
      <c r="AE965" s="291"/>
      <c r="AF965" s="2"/>
      <c r="AG965" s="2"/>
      <c r="AH965" s="2"/>
      <c r="AI965" s="29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</row>
    <row r="966" spans="1:52" ht="12" customHeight="1" x14ac:dyDescent="0.35">
      <c r="A966" s="2"/>
      <c r="B966" s="2"/>
      <c r="C966" s="2"/>
      <c r="D966" s="2"/>
      <c r="E966" s="2"/>
      <c r="F966" s="2"/>
      <c r="G966" s="27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91"/>
      <c r="AC966" s="2"/>
      <c r="AD966" s="2"/>
      <c r="AE966" s="291"/>
      <c r="AF966" s="2"/>
      <c r="AG966" s="2"/>
      <c r="AH966" s="2"/>
      <c r="AI966" s="29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</row>
    <row r="967" spans="1:52" ht="12" customHeight="1" x14ac:dyDescent="0.35">
      <c r="A967" s="2"/>
      <c r="B967" s="2"/>
      <c r="C967" s="2"/>
      <c r="D967" s="2"/>
      <c r="E967" s="2"/>
      <c r="F967" s="2"/>
      <c r="G967" s="27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91"/>
      <c r="AC967" s="2"/>
      <c r="AD967" s="2"/>
      <c r="AE967" s="291"/>
      <c r="AF967" s="2"/>
      <c r="AG967" s="2"/>
      <c r="AH967" s="2"/>
      <c r="AI967" s="29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</row>
    <row r="968" spans="1:52" ht="12" customHeight="1" x14ac:dyDescent="0.35">
      <c r="A968" s="2"/>
      <c r="B968" s="2"/>
      <c r="C968" s="2"/>
      <c r="D968" s="2"/>
      <c r="E968" s="2"/>
      <c r="F968" s="2"/>
      <c r="G968" s="27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91"/>
      <c r="AC968" s="2"/>
      <c r="AD968" s="2"/>
      <c r="AE968" s="291"/>
      <c r="AF968" s="2"/>
      <c r="AG968" s="2"/>
      <c r="AH968" s="2"/>
      <c r="AI968" s="29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</row>
    <row r="969" spans="1:52" ht="12" customHeight="1" x14ac:dyDescent="0.35">
      <c r="A969" s="2"/>
      <c r="B969" s="2"/>
      <c r="C969" s="2"/>
      <c r="D969" s="2"/>
      <c r="E969" s="2"/>
      <c r="F969" s="2"/>
      <c r="G969" s="27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91"/>
      <c r="AC969" s="2"/>
      <c r="AD969" s="2"/>
      <c r="AE969" s="291"/>
      <c r="AF969" s="2"/>
      <c r="AG969" s="2"/>
      <c r="AH969" s="2"/>
      <c r="AI969" s="29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</row>
    <row r="970" spans="1:52" ht="12" customHeight="1" x14ac:dyDescent="0.35">
      <c r="A970" s="2"/>
      <c r="B970" s="2"/>
      <c r="C970" s="2"/>
      <c r="D970" s="2"/>
      <c r="E970" s="2"/>
      <c r="F970" s="2"/>
      <c r="G970" s="27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91"/>
      <c r="AC970" s="2"/>
      <c r="AD970" s="2"/>
      <c r="AE970" s="291"/>
      <c r="AF970" s="2"/>
      <c r="AG970" s="2"/>
      <c r="AH970" s="2"/>
      <c r="AI970" s="29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</row>
    <row r="971" spans="1:52" ht="12" customHeight="1" x14ac:dyDescent="0.35">
      <c r="A971" s="2"/>
      <c r="B971" s="2"/>
      <c r="C971" s="2"/>
      <c r="D971" s="2"/>
      <c r="E971" s="2"/>
      <c r="F971" s="2"/>
      <c r="G971" s="27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91"/>
      <c r="AC971" s="2"/>
      <c r="AD971" s="2"/>
      <c r="AE971" s="291"/>
      <c r="AF971" s="2"/>
      <c r="AG971" s="2"/>
      <c r="AH971" s="2"/>
      <c r="AI971" s="29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</row>
    <row r="972" spans="1:52" ht="12" customHeight="1" x14ac:dyDescent="0.35">
      <c r="A972" s="2"/>
      <c r="B972" s="2"/>
      <c r="C972" s="2"/>
      <c r="D972" s="2"/>
      <c r="E972" s="2"/>
      <c r="F972" s="2"/>
      <c r="G972" s="27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91"/>
      <c r="AC972" s="2"/>
      <c r="AD972" s="2"/>
      <c r="AE972" s="291"/>
      <c r="AF972" s="2"/>
      <c r="AG972" s="2"/>
      <c r="AH972" s="2"/>
      <c r="AI972" s="29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</row>
    <row r="973" spans="1:52" ht="12" customHeight="1" x14ac:dyDescent="0.35">
      <c r="A973" s="2"/>
      <c r="B973" s="2"/>
      <c r="C973" s="2"/>
      <c r="D973" s="2"/>
      <c r="E973" s="2"/>
      <c r="F973" s="2"/>
      <c r="G973" s="27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91"/>
      <c r="AC973" s="2"/>
      <c r="AD973" s="2"/>
      <c r="AE973" s="291"/>
      <c r="AF973" s="2"/>
      <c r="AG973" s="2"/>
      <c r="AH973" s="2"/>
      <c r="AI973" s="29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</row>
    <row r="974" spans="1:52" ht="12" customHeight="1" x14ac:dyDescent="0.35">
      <c r="A974" s="2"/>
      <c r="B974" s="2"/>
      <c r="C974" s="2"/>
      <c r="D974" s="2"/>
      <c r="E974" s="2"/>
      <c r="F974" s="2"/>
      <c r="G974" s="27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91"/>
      <c r="AC974" s="2"/>
      <c r="AD974" s="2"/>
      <c r="AE974" s="291"/>
      <c r="AF974" s="2"/>
      <c r="AG974" s="2"/>
      <c r="AH974" s="2"/>
      <c r="AI974" s="29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</row>
    <row r="975" spans="1:52" ht="12" customHeight="1" x14ac:dyDescent="0.35">
      <c r="A975" s="2"/>
      <c r="B975" s="2"/>
      <c r="C975" s="2"/>
      <c r="D975" s="2"/>
      <c r="E975" s="2"/>
      <c r="F975" s="2"/>
      <c r="G975" s="27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91"/>
      <c r="AC975" s="2"/>
      <c r="AD975" s="2"/>
      <c r="AE975" s="291"/>
      <c r="AF975" s="2"/>
      <c r="AG975" s="2"/>
      <c r="AH975" s="2"/>
      <c r="AI975" s="29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</row>
    <row r="976" spans="1:52" ht="12" customHeight="1" x14ac:dyDescent="0.35">
      <c r="A976" s="2"/>
      <c r="B976" s="2"/>
      <c r="C976" s="2"/>
      <c r="D976" s="2"/>
      <c r="E976" s="2"/>
      <c r="F976" s="2"/>
      <c r="G976" s="27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91"/>
      <c r="AC976" s="2"/>
      <c r="AD976" s="2"/>
      <c r="AE976" s="291"/>
      <c r="AF976" s="2"/>
      <c r="AG976" s="2"/>
      <c r="AH976" s="2"/>
      <c r="AI976" s="29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</row>
    <row r="977" spans="1:52" ht="12" customHeight="1" x14ac:dyDescent="0.35">
      <c r="A977" s="2"/>
      <c r="B977" s="2"/>
      <c r="C977" s="2"/>
      <c r="D977" s="2"/>
      <c r="E977" s="2"/>
      <c r="F977" s="2"/>
      <c r="G977" s="27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91"/>
      <c r="AC977" s="2"/>
      <c r="AD977" s="2"/>
      <c r="AE977" s="291"/>
      <c r="AF977" s="2"/>
      <c r="AG977" s="2"/>
      <c r="AH977" s="2"/>
      <c r="AI977" s="29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</row>
    <row r="978" spans="1:52" ht="12" customHeight="1" x14ac:dyDescent="0.35">
      <c r="A978" s="2"/>
      <c r="B978" s="2"/>
      <c r="C978" s="2"/>
      <c r="D978" s="2"/>
      <c r="E978" s="2"/>
      <c r="F978" s="2"/>
      <c r="G978" s="27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91"/>
      <c r="AC978" s="2"/>
      <c r="AD978" s="2"/>
      <c r="AE978" s="291"/>
      <c r="AF978" s="2"/>
      <c r="AG978" s="2"/>
      <c r="AH978" s="2"/>
      <c r="AI978" s="29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</row>
    <row r="979" spans="1:52" ht="12" customHeight="1" x14ac:dyDescent="0.35">
      <c r="A979" s="2"/>
      <c r="B979" s="2"/>
      <c r="C979" s="2"/>
      <c r="D979" s="2"/>
      <c r="E979" s="2"/>
      <c r="F979" s="2"/>
      <c r="G979" s="27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91"/>
      <c r="AC979" s="2"/>
      <c r="AD979" s="2"/>
      <c r="AE979" s="291"/>
      <c r="AF979" s="2"/>
      <c r="AG979" s="2"/>
      <c r="AH979" s="2"/>
      <c r="AI979" s="29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</row>
    <row r="980" spans="1:52" ht="12" customHeight="1" x14ac:dyDescent="0.35">
      <c r="A980" s="2"/>
      <c r="B980" s="2"/>
      <c r="C980" s="2"/>
      <c r="D980" s="2"/>
      <c r="E980" s="2"/>
      <c r="F980" s="2"/>
      <c r="G980" s="27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91"/>
      <c r="AC980" s="2"/>
      <c r="AD980" s="2"/>
      <c r="AE980" s="291"/>
      <c r="AF980" s="2"/>
      <c r="AG980" s="2"/>
      <c r="AH980" s="2"/>
      <c r="AI980" s="29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</row>
    <row r="981" spans="1:52" ht="12" customHeight="1" x14ac:dyDescent="0.35">
      <c r="A981" s="2"/>
      <c r="B981" s="2"/>
      <c r="C981" s="2"/>
      <c r="D981" s="2"/>
      <c r="E981" s="2"/>
      <c r="F981" s="2"/>
      <c r="G981" s="27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91"/>
      <c r="AC981" s="2"/>
      <c r="AD981" s="2"/>
      <c r="AE981" s="291"/>
      <c r="AF981" s="2"/>
      <c r="AG981" s="2"/>
      <c r="AH981" s="2"/>
      <c r="AI981" s="29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</row>
    <row r="982" spans="1:52" ht="12" customHeight="1" x14ac:dyDescent="0.35">
      <c r="A982" s="2"/>
      <c r="B982" s="2"/>
      <c r="C982" s="2"/>
      <c r="D982" s="2"/>
      <c r="E982" s="2"/>
      <c r="F982" s="2"/>
      <c r="G982" s="27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91"/>
      <c r="AC982" s="2"/>
      <c r="AD982" s="2"/>
      <c r="AE982" s="291"/>
      <c r="AF982" s="2"/>
      <c r="AG982" s="2"/>
      <c r="AH982" s="2"/>
      <c r="AI982" s="29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</row>
    <row r="983" spans="1:52" ht="12" customHeight="1" x14ac:dyDescent="0.35">
      <c r="A983" s="2"/>
      <c r="B983" s="2"/>
      <c r="C983" s="2"/>
      <c r="D983" s="2"/>
      <c r="E983" s="2"/>
      <c r="F983" s="2"/>
      <c r="G983" s="27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91"/>
      <c r="AC983" s="2"/>
      <c r="AD983" s="2"/>
      <c r="AE983" s="291"/>
      <c r="AF983" s="2"/>
      <c r="AG983" s="2"/>
      <c r="AH983" s="2"/>
      <c r="AI983" s="29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</row>
    <row r="984" spans="1:52" ht="12" customHeight="1" x14ac:dyDescent="0.35">
      <c r="A984" s="2"/>
      <c r="B984" s="2"/>
      <c r="C984" s="2"/>
      <c r="D984" s="2"/>
      <c r="E984" s="2"/>
      <c r="F984" s="2"/>
      <c r="G984" s="27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91"/>
      <c r="AC984" s="2"/>
      <c r="AD984" s="2"/>
      <c r="AE984" s="291"/>
      <c r="AF984" s="2"/>
      <c r="AG984" s="2"/>
      <c r="AH984" s="2"/>
      <c r="AI984" s="29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</row>
    <row r="985" spans="1:52" ht="12" customHeight="1" x14ac:dyDescent="0.35">
      <c r="A985" s="2"/>
      <c r="B985" s="2"/>
      <c r="C985" s="2"/>
      <c r="D985" s="2"/>
      <c r="E985" s="2"/>
      <c r="F985" s="2"/>
      <c r="G985" s="27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91"/>
      <c r="AC985" s="2"/>
      <c r="AD985" s="2"/>
      <c r="AE985" s="291"/>
      <c r="AF985" s="2"/>
      <c r="AG985" s="2"/>
      <c r="AH985" s="2"/>
      <c r="AI985" s="29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</row>
    <row r="986" spans="1:52" ht="12" customHeight="1" x14ac:dyDescent="0.35">
      <c r="A986" s="2"/>
      <c r="B986" s="2"/>
      <c r="C986" s="2"/>
      <c r="D986" s="2"/>
      <c r="E986" s="2"/>
      <c r="F986" s="2"/>
      <c r="G986" s="27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91"/>
      <c r="AC986" s="2"/>
      <c r="AD986" s="2"/>
      <c r="AE986" s="291"/>
      <c r="AF986" s="2"/>
      <c r="AG986" s="2"/>
      <c r="AH986" s="2"/>
      <c r="AI986" s="29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</row>
    <row r="987" spans="1:52" ht="12" customHeight="1" x14ac:dyDescent="0.35">
      <c r="A987" s="2"/>
      <c r="B987" s="2"/>
      <c r="C987" s="2"/>
      <c r="D987" s="2"/>
      <c r="E987" s="2"/>
      <c r="F987" s="2"/>
      <c r="G987" s="27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91"/>
      <c r="AC987" s="2"/>
      <c r="AD987" s="2"/>
      <c r="AE987" s="291"/>
      <c r="AF987" s="2"/>
      <c r="AG987" s="2"/>
      <c r="AH987" s="2"/>
      <c r="AI987" s="29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</row>
    <row r="988" spans="1:52" ht="12" customHeight="1" x14ac:dyDescent="0.35">
      <c r="A988" s="2"/>
      <c r="B988" s="2"/>
      <c r="C988" s="2"/>
      <c r="D988" s="2"/>
      <c r="E988" s="2"/>
      <c r="F988" s="2"/>
      <c r="G988" s="27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91"/>
      <c r="AC988" s="2"/>
      <c r="AD988" s="2"/>
      <c r="AE988" s="291"/>
      <c r="AF988" s="2"/>
      <c r="AG988" s="2"/>
      <c r="AH988" s="2"/>
      <c r="AI988" s="29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</row>
    <row r="989" spans="1:52" ht="12" customHeight="1" x14ac:dyDescent="0.35">
      <c r="A989" s="2"/>
      <c r="B989" s="2"/>
      <c r="C989" s="2"/>
      <c r="D989" s="2"/>
      <c r="E989" s="2"/>
      <c r="F989" s="2"/>
      <c r="G989" s="27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91"/>
      <c r="AC989" s="2"/>
      <c r="AD989" s="2"/>
      <c r="AE989" s="291"/>
      <c r="AF989" s="2"/>
      <c r="AG989" s="2"/>
      <c r="AH989" s="2"/>
      <c r="AI989" s="29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</row>
    <row r="990" spans="1:52" ht="12" customHeight="1" x14ac:dyDescent="0.35">
      <c r="A990" s="2"/>
      <c r="B990" s="2"/>
      <c r="C990" s="2"/>
      <c r="D990" s="2"/>
      <c r="E990" s="2"/>
      <c r="F990" s="2"/>
      <c r="G990" s="276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91"/>
      <c r="AC990" s="2"/>
      <c r="AD990" s="2"/>
      <c r="AE990" s="291"/>
      <c r="AF990" s="2"/>
      <c r="AG990" s="2"/>
      <c r="AH990" s="2"/>
      <c r="AI990" s="29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</row>
    <row r="991" spans="1:52" ht="12" customHeight="1" x14ac:dyDescent="0.35">
      <c r="A991" s="2"/>
      <c r="B991" s="2"/>
      <c r="C991" s="2"/>
      <c r="D991" s="2"/>
      <c r="E991" s="2"/>
      <c r="F991" s="2"/>
      <c r="G991" s="27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91"/>
      <c r="AC991" s="2"/>
      <c r="AD991" s="2"/>
      <c r="AE991" s="291"/>
      <c r="AF991" s="2"/>
      <c r="AG991" s="2"/>
      <c r="AH991" s="2"/>
      <c r="AI991" s="29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</row>
    <row r="992" spans="1:52" ht="12" customHeight="1" x14ac:dyDescent="0.35">
      <c r="A992" s="2"/>
      <c r="B992" s="2"/>
      <c r="C992" s="2"/>
      <c r="D992" s="2"/>
      <c r="E992" s="2"/>
      <c r="F992" s="2"/>
      <c r="G992" s="276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91"/>
      <c r="AC992" s="2"/>
      <c r="AD992" s="2"/>
      <c r="AE992" s="291"/>
      <c r="AF992" s="2"/>
      <c r="AG992" s="2"/>
      <c r="AH992" s="2"/>
      <c r="AI992" s="29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</row>
    <row r="993" spans="1:52" ht="12" customHeight="1" x14ac:dyDescent="0.35">
      <c r="A993" s="2"/>
      <c r="B993" s="2"/>
      <c r="C993" s="2"/>
      <c r="D993" s="2"/>
      <c r="E993" s="2"/>
      <c r="F993" s="2"/>
      <c r="G993" s="276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91"/>
      <c r="AC993" s="2"/>
      <c r="AD993" s="2"/>
      <c r="AE993" s="291"/>
      <c r="AF993" s="2"/>
      <c r="AG993" s="2"/>
      <c r="AH993" s="2"/>
      <c r="AI993" s="29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</row>
    <row r="994" spans="1:52" ht="12" customHeight="1" x14ac:dyDescent="0.35">
      <c r="A994" s="2"/>
      <c r="B994" s="2"/>
      <c r="C994" s="2"/>
      <c r="D994" s="2"/>
      <c r="E994" s="2"/>
      <c r="F994" s="2"/>
      <c r="G994" s="27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91"/>
      <c r="AC994" s="2"/>
      <c r="AD994" s="2"/>
      <c r="AE994" s="291"/>
      <c r="AF994" s="2"/>
      <c r="AG994" s="2"/>
      <c r="AH994" s="2"/>
      <c r="AI994" s="29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</row>
    <row r="995" spans="1:52" ht="12" customHeight="1" x14ac:dyDescent="0.35">
      <c r="A995" s="2"/>
      <c r="B995" s="2"/>
      <c r="C995" s="2"/>
      <c r="D995" s="2"/>
      <c r="E995" s="2"/>
      <c r="F995" s="2"/>
      <c r="G995" s="276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91"/>
      <c r="AC995" s="2"/>
      <c r="AD995" s="2"/>
      <c r="AE995" s="291"/>
      <c r="AF995" s="2"/>
      <c r="AG995" s="2"/>
      <c r="AH995" s="2"/>
      <c r="AI995" s="29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</row>
    <row r="996" spans="1:52" ht="12" customHeight="1" x14ac:dyDescent="0.35">
      <c r="A996" s="2"/>
      <c r="B996" s="2"/>
      <c r="C996" s="2"/>
      <c r="D996" s="2"/>
      <c r="E996" s="2"/>
      <c r="F996" s="2"/>
      <c r="G996" s="276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91"/>
      <c r="AC996" s="2"/>
      <c r="AD996" s="2"/>
      <c r="AE996" s="291"/>
      <c r="AF996" s="2"/>
      <c r="AG996" s="2"/>
      <c r="AH996" s="2"/>
      <c r="AI996" s="29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</row>
    <row r="997" spans="1:52" ht="12" customHeight="1" x14ac:dyDescent="0.35">
      <c r="A997" s="2"/>
      <c r="B997" s="2"/>
      <c r="C997" s="2"/>
      <c r="D997" s="2"/>
      <c r="E997" s="2"/>
      <c r="F997" s="2"/>
      <c r="G997" s="276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91"/>
      <c r="AC997" s="2"/>
      <c r="AD997" s="2"/>
      <c r="AE997" s="291"/>
      <c r="AF997" s="2"/>
      <c r="AG997" s="2"/>
      <c r="AH997" s="2"/>
      <c r="AI997" s="29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</row>
    <row r="998" spans="1:52" ht="12" customHeight="1" x14ac:dyDescent="0.35">
      <c r="A998" s="2"/>
      <c r="B998" s="2"/>
      <c r="C998" s="2"/>
      <c r="D998" s="2"/>
      <c r="E998" s="2"/>
      <c r="F998" s="2"/>
      <c r="G998" s="276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91"/>
      <c r="AC998" s="2"/>
      <c r="AD998" s="2"/>
      <c r="AE998" s="291"/>
      <c r="AF998" s="2"/>
      <c r="AG998" s="2"/>
      <c r="AH998" s="2"/>
      <c r="AI998" s="29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</row>
    <row r="999" spans="1:52" ht="12" customHeight="1" x14ac:dyDescent="0.35">
      <c r="A999" s="2"/>
      <c r="B999" s="2"/>
      <c r="C999" s="2"/>
      <c r="D999" s="2"/>
      <c r="E999" s="2"/>
      <c r="F999" s="2"/>
      <c r="G999" s="276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91"/>
      <c r="AC999" s="2"/>
      <c r="AD999" s="2"/>
      <c r="AE999" s="291"/>
      <c r="AF999" s="2"/>
      <c r="AG999" s="2"/>
      <c r="AH999" s="2"/>
      <c r="AI999" s="29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</row>
    <row r="1000" spans="1:52" ht="12" customHeight="1" x14ac:dyDescent="0.35">
      <c r="A1000" s="2"/>
      <c r="B1000" s="2"/>
      <c r="C1000" s="2"/>
      <c r="D1000" s="2"/>
      <c r="E1000" s="2"/>
      <c r="F1000" s="2"/>
      <c r="G1000" s="27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91"/>
      <c r="AC1000" s="2"/>
      <c r="AD1000" s="2"/>
      <c r="AE1000" s="291"/>
      <c r="AF1000" s="2"/>
      <c r="AG1000" s="2"/>
      <c r="AH1000" s="2"/>
      <c r="AI1000" s="29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</row>
  </sheetData>
  <mergeCells count="4">
    <mergeCell ref="A1:A3"/>
    <mergeCell ref="AV2:AX2"/>
    <mergeCell ref="A34:B34"/>
    <mergeCell ref="A39:B39"/>
  </mergeCells>
  <conditionalFormatting sqref="AV3:AX3">
    <cfRule type="cellIs" dxfId="23" priority="1" operator="equal">
      <formula>#REF!</formula>
    </cfRule>
  </conditionalFormatting>
  <conditionalFormatting sqref="AV3:AX3">
    <cfRule type="cellIs" dxfId="22" priority="2" operator="equal">
      <formula>#REF!</formula>
    </cfRule>
  </conditionalFormatting>
  <conditionalFormatting sqref="AV3:AX3">
    <cfRule type="cellIs" dxfId="21" priority="3" operator="equal">
      <formula>#REF!</formula>
    </cfRule>
  </conditionalFormatting>
  <conditionalFormatting sqref="AV3:AX3">
    <cfRule type="cellIs" dxfId="20" priority="4" operator="equal">
      <formula>#REF!</formula>
    </cfRule>
  </conditionalFormatting>
  <conditionalFormatting sqref="AI4:AU4">
    <cfRule type="cellIs" dxfId="19" priority="5" operator="equal">
      <formula>#REF!</formula>
    </cfRule>
  </conditionalFormatting>
  <conditionalFormatting sqref="AI4:AU4">
    <cfRule type="cellIs" dxfId="18" priority="6" operator="equal">
      <formula>#REF!</formula>
    </cfRule>
  </conditionalFormatting>
  <conditionalFormatting sqref="AI4:AU4">
    <cfRule type="cellIs" dxfId="17" priority="7" operator="equal">
      <formula>#REF!</formula>
    </cfRule>
  </conditionalFormatting>
  <conditionalFormatting sqref="AI4:AU4">
    <cfRule type="cellIs" dxfId="16" priority="8" operator="equal">
      <formula>#REF!</formula>
    </cfRule>
  </conditionalFormatting>
  <conditionalFormatting sqref="D3:AU3">
    <cfRule type="cellIs" dxfId="15" priority="13" operator="equal">
      <formula>#REF!</formula>
    </cfRule>
  </conditionalFormatting>
  <conditionalFormatting sqref="D3:AU3">
    <cfRule type="cellIs" dxfId="14" priority="14" operator="equal">
      <formula>#REF!</formula>
    </cfRule>
  </conditionalFormatting>
  <conditionalFormatting sqref="D3:AU3">
    <cfRule type="cellIs" dxfId="13" priority="15" operator="equal">
      <formula>#REF!</formula>
    </cfRule>
  </conditionalFormatting>
  <conditionalFormatting sqref="D3:AU3">
    <cfRule type="cellIs" dxfId="12" priority="16" operator="equal">
      <formula>#REF!</formula>
    </cfRule>
  </conditionalFormatting>
  <pageMargins left="0.7" right="0.7" top="0.75" bottom="0.75" header="0" footer="0"/>
  <pageSetup orientation="portrait"/>
  <headerFooter>
    <oddHeader>&amp;C000000OVERALL DRAW</oddHeader>
    <oddFooter>&amp;C000000PAGE &amp;P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AV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21" sqref="P21"/>
    </sheetView>
  </sheetViews>
  <sheetFormatPr defaultColWidth="14.453125" defaultRowHeight="15" customHeight="1" x14ac:dyDescent="0.35"/>
  <cols>
    <col min="1" max="1" width="35.453125" customWidth="1"/>
    <col min="2" max="2" width="14.453125" customWidth="1"/>
    <col min="3" max="47" width="13.81640625" customWidth="1"/>
    <col min="48" max="48" width="17" customWidth="1"/>
  </cols>
  <sheetData>
    <row r="1" spans="1:48" ht="14.25" customHeight="1" x14ac:dyDescent="0.35">
      <c r="A1" s="973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4.25" customHeight="1" x14ac:dyDescent="0.35">
      <c r="A2" s="97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19" t="s">
        <v>351</v>
      </c>
    </row>
    <row r="3" spans="1:48" ht="14.25" customHeight="1" x14ac:dyDescent="0.35">
      <c r="A3" s="975"/>
      <c r="B3" s="215" t="s">
        <v>395</v>
      </c>
      <c r="C3" s="220">
        <v>45292</v>
      </c>
      <c r="D3" s="124">
        <f t="shared" ref="D3:AU3" si="0">EOMONTH(C3,3)</f>
        <v>45412</v>
      </c>
      <c r="E3" s="124">
        <f t="shared" si="0"/>
        <v>45504</v>
      </c>
      <c r="F3" s="124">
        <f t="shared" si="0"/>
        <v>45596</v>
      </c>
      <c r="G3" s="124">
        <f t="shared" si="0"/>
        <v>45688</v>
      </c>
      <c r="H3" s="124">
        <f t="shared" si="0"/>
        <v>45777</v>
      </c>
      <c r="I3" s="124">
        <f t="shared" si="0"/>
        <v>45869</v>
      </c>
      <c r="J3" s="124">
        <f t="shared" si="0"/>
        <v>45961</v>
      </c>
      <c r="K3" s="124">
        <f t="shared" si="0"/>
        <v>46053</v>
      </c>
      <c r="L3" s="124">
        <f t="shared" si="0"/>
        <v>46142</v>
      </c>
      <c r="M3" s="124">
        <f t="shared" si="0"/>
        <v>46234</v>
      </c>
      <c r="N3" s="124">
        <f t="shared" si="0"/>
        <v>46326</v>
      </c>
      <c r="O3" s="124">
        <f t="shared" si="0"/>
        <v>46418</v>
      </c>
      <c r="P3" s="124">
        <f t="shared" si="0"/>
        <v>46507</v>
      </c>
      <c r="Q3" s="124">
        <f t="shared" si="0"/>
        <v>46599</v>
      </c>
      <c r="R3" s="124">
        <f t="shared" si="0"/>
        <v>46691</v>
      </c>
      <c r="S3" s="124">
        <f t="shared" si="0"/>
        <v>46783</v>
      </c>
      <c r="T3" s="124">
        <f t="shared" si="0"/>
        <v>46873</v>
      </c>
      <c r="U3" s="124">
        <f t="shared" si="0"/>
        <v>46965</v>
      </c>
      <c r="V3" s="124">
        <f t="shared" si="0"/>
        <v>47057</v>
      </c>
      <c r="W3" s="124">
        <f t="shared" si="0"/>
        <v>47149</v>
      </c>
      <c r="X3" s="124">
        <f t="shared" si="0"/>
        <v>47238</v>
      </c>
      <c r="Y3" s="124">
        <f t="shared" si="0"/>
        <v>47330</v>
      </c>
      <c r="Z3" s="124">
        <f t="shared" si="0"/>
        <v>47422</v>
      </c>
      <c r="AA3" s="124">
        <f t="shared" si="0"/>
        <v>47514</v>
      </c>
      <c r="AB3" s="124">
        <f t="shared" si="0"/>
        <v>47603</v>
      </c>
      <c r="AC3" s="124">
        <f t="shared" si="0"/>
        <v>47695</v>
      </c>
      <c r="AD3" s="124">
        <f t="shared" si="0"/>
        <v>47787</v>
      </c>
      <c r="AE3" s="124">
        <f t="shared" si="0"/>
        <v>47879</v>
      </c>
      <c r="AF3" s="124">
        <f t="shared" si="0"/>
        <v>47968</v>
      </c>
      <c r="AG3" s="124">
        <f t="shared" si="0"/>
        <v>48060</v>
      </c>
      <c r="AH3" s="124">
        <f t="shared" si="0"/>
        <v>48152</v>
      </c>
      <c r="AI3" s="124">
        <f t="shared" si="0"/>
        <v>48244</v>
      </c>
      <c r="AJ3" s="124">
        <f t="shared" si="0"/>
        <v>48334</v>
      </c>
      <c r="AK3" s="124">
        <f t="shared" si="0"/>
        <v>48426</v>
      </c>
      <c r="AL3" s="124">
        <f t="shared" si="0"/>
        <v>48518</v>
      </c>
      <c r="AM3" s="124">
        <f t="shared" si="0"/>
        <v>48610</v>
      </c>
      <c r="AN3" s="124">
        <f t="shared" si="0"/>
        <v>48699</v>
      </c>
      <c r="AO3" s="124">
        <f t="shared" si="0"/>
        <v>48791</v>
      </c>
      <c r="AP3" s="124">
        <f t="shared" si="0"/>
        <v>48883</v>
      </c>
      <c r="AQ3" s="124">
        <f t="shared" si="0"/>
        <v>48975</v>
      </c>
      <c r="AR3" s="124">
        <f t="shared" si="0"/>
        <v>49064</v>
      </c>
      <c r="AS3" s="124">
        <f t="shared" si="0"/>
        <v>49156</v>
      </c>
      <c r="AT3" s="124">
        <f t="shared" si="0"/>
        <v>49248</v>
      </c>
      <c r="AU3" s="124">
        <f t="shared" si="0"/>
        <v>49340</v>
      </c>
      <c r="AV3" s="126"/>
    </row>
    <row r="4" spans="1:48" ht="14.25" customHeight="1" x14ac:dyDescent="0.35">
      <c r="A4" s="157" t="s">
        <v>365</v>
      </c>
      <c r="B4" s="135">
        <f>SUM(C4:AU4)</f>
        <v>189492473.45999849</v>
      </c>
      <c r="C4" s="135">
        <f>'Phase I Draw'!C37+'Phase II Draw'!C36</f>
        <v>0</v>
      </c>
      <c r="D4" s="135">
        <f>'Phase I Draw'!D37+'Phase II Draw'!D36</f>
        <v>0</v>
      </c>
      <c r="E4" s="135">
        <f>'Phase I Draw'!E37+'Phase II Draw'!E36</f>
        <v>-5320315.72</v>
      </c>
      <c r="F4" s="135">
        <f>'Phase I Draw'!F37+'Phase II Draw'!F36</f>
        <v>-4520315.72</v>
      </c>
      <c r="G4" s="135">
        <f>'Phase I Draw'!G37+'Phase II Draw'!G36</f>
        <v>-1540105.24</v>
      </c>
      <c r="H4" s="135">
        <f>'Phase I Draw'!H37+'Phase II Draw'!H36</f>
        <v>-3000105.24</v>
      </c>
      <c r="I4" s="135">
        <f>'Phase I Draw'!I37+'Phase II Draw'!I36</f>
        <v>-840052.62</v>
      </c>
      <c r="J4" s="135">
        <f>'Phase I Draw'!J37+'Phase II Draw'!J36</f>
        <v>-840521.04800000007</v>
      </c>
      <c r="K4" s="135">
        <f>'Phase I Draw'!K37+'Phase II Draw'!K36</f>
        <v>-23088151.58646154</v>
      </c>
      <c r="L4" s="135">
        <f>'Phase I Draw'!L37+'Phase II Draw'!L36</f>
        <v>-32130817.560820512</v>
      </c>
      <c r="M4" s="135">
        <f>'Phase I Draw'!M37+'Phase II Draw'!M36</f>
        <v>-41517699.547674045</v>
      </c>
      <c r="N4" s="135">
        <f>'Phase I Draw'!N37+'Phase II Draw'!N36</f>
        <v>-19895230.058441032</v>
      </c>
      <c r="O4" s="135">
        <f>'Phase I Draw'!O37+'Phase II Draw'!O36</f>
        <v>-18909552.867774367</v>
      </c>
      <c r="P4" s="135">
        <f>'Phase I Draw'!P37+'Phase II Draw'!P36</f>
        <v>-8047825.6097565917</v>
      </c>
      <c r="Q4" s="135">
        <f>'Phase I Draw'!Q37+'Phase II Draw'!Q36</f>
        <v>-40035.072</v>
      </c>
      <c r="R4" s="135">
        <f>'Phase I Draw'!R37+'Phase II Draw'!R36</f>
        <v>-256701.73866666667</v>
      </c>
      <c r="S4" s="135">
        <f>'Phase I Draw'!S37+'Phase II Draw'!S36</f>
        <v>-40035.072</v>
      </c>
      <c r="T4" s="135">
        <f>'Phase I Draw'!T37+'Phase II Draw'!T36</f>
        <v>-12844080</v>
      </c>
      <c r="U4" s="135">
        <f>'Phase I Draw'!U37+'Phase II Draw'!U36</f>
        <v>-29034018.474684756</v>
      </c>
      <c r="V4" s="135">
        <f>'Phase I Draw'!V37+'Phase II Draw'!V36</f>
        <v>-5024873.068904981</v>
      </c>
      <c r="W4" s="135">
        <f>'Phase I Draw'!W37+'Phase II Draw'!W36</f>
        <v>0</v>
      </c>
      <c r="X4" s="135">
        <f>'Phase I Draw'!X37+'Phase II Draw'!X36</f>
        <v>0</v>
      </c>
      <c r="Y4" s="135">
        <f>'Phase I Draw'!Y37+'Phase II Draw'!Y36</f>
        <v>0</v>
      </c>
      <c r="Z4" s="135">
        <f>'Phase I Draw'!Z37+'Phase II Draw'!Z36</f>
        <v>287182098.25564814</v>
      </c>
      <c r="AA4" s="135">
        <f>'Phase I Draw'!AA37+'Phase II Draw'!AA36</f>
        <v>0</v>
      </c>
      <c r="AB4" s="135">
        <f>'Phase I Draw'!AB37+'Phase II Draw'!AB36</f>
        <v>0</v>
      </c>
      <c r="AC4" s="135">
        <f>'Phase I Draw'!AC37+'Phase II Draw'!AC36</f>
        <v>0</v>
      </c>
      <c r="AD4" s="135">
        <f>'Phase I Draw'!AD37+'Phase II Draw'!AD36</f>
        <v>0</v>
      </c>
      <c r="AE4" s="135">
        <f>'Phase I Draw'!AE37+'Phase II Draw'!AE36</f>
        <v>0</v>
      </c>
      <c r="AF4" s="135">
        <f>'Phase I Draw'!AF37+'Phase II Draw'!AF36</f>
        <v>0</v>
      </c>
      <c r="AG4" s="135">
        <f>'Phase I Draw'!AG37+'Phase II Draw'!AG36</f>
        <v>0</v>
      </c>
      <c r="AH4" s="135">
        <f>'Phase I Draw'!AH37+'Phase II Draw'!AH36</f>
        <v>109200811.44953483</v>
      </c>
      <c r="AI4" s="135">
        <f>'Phase I Draw'!AI37+'Phase II Draw'!AI36</f>
        <v>0</v>
      </c>
      <c r="AJ4" s="135">
        <f>'Phase I Draw'!AJ37+'Phase II Draw'!AJ36</f>
        <v>0</v>
      </c>
      <c r="AK4" s="135">
        <f>'Phase I Draw'!AK37+'Phase II Draw'!AK36</f>
        <v>0</v>
      </c>
      <c r="AL4" s="135">
        <f>'Phase I Draw'!AL37+'Phase II Draw'!AL36</f>
        <v>0</v>
      </c>
      <c r="AM4" s="135">
        <f>'Phase I Draw'!AM37+'Phase II Draw'!AM36</f>
        <v>0</v>
      </c>
      <c r="AN4" s="135">
        <f>'Phase I Draw'!AN37+'Phase II Draw'!AN36</f>
        <v>0</v>
      </c>
      <c r="AO4" s="135">
        <f>'Phase I Draw'!AO37+'Phase II Draw'!AO36</f>
        <v>0</v>
      </c>
      <c r="AP4" s="135">
        <f>'Phase I Draw'!AP37+'Phase II Draw'!AP36</f>
        <v>0</v>
      </c>
      <c r="AQ4" s="135">
        <f>'Phase I Draw'!AQ37+'Phase II Draw'!AQ36</f>
        <v>0</v>
      </c>
      <c r="AR4" s="135">
        <f>'Phase I Draw'!AR37+'Phase II Draw'!AR36</f>
        <v>0</v>
      </c>
      <c r="AS4" s="135">
        <f>'Phase I Draw'!AS37+'Phase II Draw'!AS36</f>
        <v>0</v>
      </c>
      <c r="AT4" s="135">
        <f>'Phase I Draw'!AT37+'Phase II Draw'!AT36</f>
        <v>0</v>
      </c>
      <c r="AU4" s="135">
        <f>'Phase I Draw'!AU37+'Phase II Draw'!AU36</f>
        <v>0</v>
      </c>
      <c r="AV4" s="135"/>
    </row>
    <row r="5" spans="1:48" ht="14.25" customHeight="1" x14ac:dyDescent="0.35">
      <c r="A5" s="144" t="s">
        <v>366</v>
      </c>
      <c r="B5" s="9">
        <f>IF(B4&lt;0,0,IRR(C4:AU4))</f>
        <v>4.7467757528276922E-2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5"/>
    </row>
    <row r="6" spans="1:48" ht="14.25" customHeight="1" x14ac:dyDescent="0.35">
      <c r="A6" s="144" t="s">
        <v>367</v>
      </c>
      <c r="B6" s="216">
        <f>POWER((1+B5),4)-1</f>
        <v>0.20382305012537527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79"/>
    </row>
    <row r="7" spans="1:48" ht="14.25" customHeight="1" x14ac:dyDescent="0.35">
      <c r="A7" s="1"/>
      <c r="B7" s="22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79"/>
    </row>
    <row r="8" spans="1:48" ht="14.25" customHeight="1" x14ac:dyDescent="0.35">
      <c r="A8" s="144" t="s">
        <v>396</v>
      </c>
      <c r="B8" s="135">
        <f>SUM(C8:AU8)</f>
        <v>182495374.4129529</v>
      </c>
      <c r="C8" s="135">
        <f>'Phase I Draw'!C42+'Phase II Draw'!C41</f>
        <v>0</v>
      </c>
      <c r="D8" s="135">
        <f>'Phase I Draw'!D42+'Phase II Draw'!D41</f>
        <v>0</v>
      </c>
      <c r="E8" s="135">
        <f>'Phase I Draw'!E42+'Phase II Draw'!E41</f>
        <v>-5320315.72</v>
      </c>
      <c r="F8" s="135">
        <f>'Phase I Draw'!F42+'Phase II Draw'!F41</f>
        <v>-4520315.72</v>
      </c>
      <c r="G8" s="135">
        <f>'Phase I Draw'!G42+'Phase II Draw'!G41</f>
        <v>-1540105.24</v>
      </c>
      <c r="H8" s="135">
        <f>'Phase I Draw'!H42+'Phase II Draw'!H41</f>
        <v>-3000105.24</v>
      </c>
      <c r="I8" s="135">
        <f>'Phase I Draw'!I42+'Phase II Draw'!I41</f>
        <v>-840052.62</v>
      </c>
      <c r="J8" s="135">
        <f>'Phase I Draw'!J42+'Phase II Draw'!J41</f>
        <v>-840521.04800000007</v>
      </c>
      <c r="K8" s="135">
        <f>'Phase I Draw'!K42+'Phase II Draw'!K41</f>
        <v>-23088151.58646154</v>
      </c>
      <c r="L8" s="135">
        <f>'Phase I Draw'!L42+'Phase II Draw'!L41</f>
        <v>-32130817.560820512</v>
      </c>
      <c r="M8" s="135">
        <f>'Phase I Draw'!M42+'Phase II Draw'!M41</f>
        <v>-41517699.547674045</v>
      </c>
      <c r="N8" s="135">
        <f>'Phase I Draw'!N42+'Phase II Draw'!N41</f>
        <v>-19895230.058441032</v>
      </c>
      <c r="O8" s="135">
        <f>'Phase I Draw'!O42+'Phase II Draw'!O41</f>
        <v>-18909552.867774367</v>
      </c>
      <c r="P8" s="135">
        <f>'Phase I Draw'!P42+'Phase II Draw'!P41</f>
        <v>-36544939.072902568</v>
      </c>
      <c r="Q8" s="135">
        <f>'Phase I Draw'!Q42+'Phase II Draw'!Q41</f>
        <v>-35803272.406235904</v>
      </c>
      <c r="R8" s="135">
        <f>'Phase I Draw'!R42+'Phase II Draw'!R41</f>
        <v>-36697447.022902578</v>
      </c>
      <c r="S8" s="135">
        <f>'Phase I Draw'!S42+'Phase II Draw'!S41</f>
        <v>-36480780.356235906</v>
      </c>
      <c r="T8" s="135">
        <f>'Phase I Draw'!T42+'Phase II Draw'!T41</f>
        <v>-49564182.83223591</v>
      </c>
      <c r="U8" s="135">
        <f>'Phase I Draw'!U42+'Phase II Draw'!U41</f>
        <v>-68721624.290253997</v>
      </c>
      <c r="V8" s="135">
        <f>'Phase I Draw'!V42+'Phase II Draw'!V41</f>
        <v>-31050571.89627374</v>
      </c>
      <c r="W8" s="135">
        <f>'Phase I Draw'!W42+'Phase II Draw'!W41</f>
        <v>-43805525.782331437</v>
      </c>
      <c r="X8" s="135">
        <f>'Phase I Draw'!X42+'Phase II Draw'!X41</f>
        <v>-44047492.907331437</v>
      </c>
      <c r="Y8" s="135">
        <f>'Phase I Draw'!Y42+'Phase II Draw'!Y41</f>
        <v>-21534236.844470091</v>
      </c>
      <c r="Z8" s="135">
        <f>'Phase I Draw'!Z42+'Phase II Draw'!Z41</f>
        <v>571498768.91413975</v>
      </c>
      <c r="AA8" s="135">
        <f>'Phase I Draw'!AA42+'Phase II Draw'!AA41</f>
        <v>-19537996.474614754</v>
      </c>
      <c r="AB8" s="135">
        <f>'Phase I Draw'!AB42+'Phase II Draw'!AB41</f>
        <v>-19537996.474614754</v>
      </c>
      <c r="AC8" s="135">
        <f>'Phase I Draw'!AC42+'Phase II Draw'!AC41</f>
        <v>-7321680.6524993731</v>
      </c>
      <c r="AD8" s="135">
        <f>'Phase I Draw'!AD42+'Phase II Draw'!AD41</f>
        <v>-16446680.652499374</v>
      </c>
      <c r="AE8" s="135">
        <f>'Phase I Draw'!AE42+'Phase II Draw'!AE41</f>
        <v>-19100805.652499374</v>
      </c>
      <c r="AF8" s="135">
        <f>'Phase I Draw'!AF42+'Phase II Draw'!AF41</f>
        <v>-9975805.652499374</v>
      </c>
      <c r="AG8" s="135">
        <f>'Phase I Draw'!AG42+'Phase II Draw'!AG41</f>
        <v>-2348494.5788073614</v>
      </c>
      <c r="AH8" s="135">
        <f>'Phase I Draw'!AH42+'Phase II Draw'!AH41</f>
        <v>261119006.25719264</v>
      </c>
      <c r="AI8" s="135">
        <f>'Phase I Draw'!AI42+'Phase II Draw'!AI41</f>
        <v>0</v>
      </c>
      <c r="AJ8" s="135">
        <f>'Phase I Draw'!AJ42+'Phase II Draw'!AJ41</f>
        <v>0</v>
      </c>
      <c r="AK8" s="135">
        <f>'Phase I Draw'!AK42+'Phase II Draw'!AK41</f>
        <v>0</v>
      </c>
      <c r="AL8" s="135">
        <f>'Phase I Draw'!AL42+'Phase II Draw'!AL41</f>
        <v>0</v>
      </c>
      <c r="AM8" s="135">
        <f>'Phase I Draw'!AM42+'Phase II Draw'!AM41</f>
        <v>0</v>
      </c>
      <c r="AN8" s="135">
        <f>'Phase I Draw'!AN42+'Phase II Draw'!AN41</f>
        <v>0</v>
      </c>
      <c r="AO8" s="135">
        <f>'Phase I Draw'!AO42+'Phase II Draw'!AO41</f>
        <v>0</v>
      </c>
      <c r="AP8" s="135">
        <f>'Phase I Draw'!AP42+'Phase II Draw'!AP41</f>
        <v>0</v>
      </c>
      <c r="AQ8" s="135">
        <f>'Phase I Draw'!AQ42+'Phase II Draw'!AQ41</f>
        <v>0</v>
      </c>
      <c r="AR8" s="135">
        <f>'Phase I Draw'!AR42+'Phase II Draw'!AR41</f>
        <v>0</v>
      </c>
      <c r="AS8" s="135">
        <f>'Phase I Draw'!AS42+'Phase II Draw'!AS41</f>
        <v>0</v>
      </c>
      <c r="AT8" s="135">
        <f>'Phase I Draw'!AT42+'Phase II Draw'!AT41</f>
        <v>0</v>
      </c>
      <c r="AU8" s="135">
        <f>'Phase I Draw'!AU42+'Phase II Draw'!AU41</f>
        <v>0</v>
      </c>
      <c r="AV8" s="144"/>
    </row>
    <row r="9" spans="1:48" ht="14.25" customHeight="1" x14ac:dyDescent="0.35">
      <c r="A9" s="144" t="s">
        <v>397</v>
      </c>
      <c r="B9" s="9">
        <f>IF(B8&lt;0,0,IRR(C8:AU8))</f>
        <v>2.7981343226424871E-2</v>
      </c>
      <c r="C9" s="162"/>
      <c r="D9" s="1"/>
      <c r="E9" s="1"/>
      <c r="F9" s="1"/>
      <c r="G9" s="1"/>
      <c r="H9" s="1"/>
      <c r="I9" s="1"/>
      <c r="J9" s="1"/>
      <c r="K9" s="1"/>
      <c r="L9" s="1"/>
      <c r="M9" s="162"/>
      <c r="N9" s="1"/>
      <c r="O9" s="1"/>
      <c r="P9" s="1"/>
      <c r="Q9" s="1"/>
      <c r="R9" s="1"/>
      <c r="S9" s="16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44"/>
    </row>
    <row r="10" spans="1:48" ht="14.25" customHeight="1" x14ac:dyDescent="0.35">
      <c r="A10" s="144" t="s">
        <v>393</v>
      </c>
      <c r="B10" s="216">
        <f>POWER((1+B9),4)-1</f>
        <v>0.11671135193165383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62"/>
      <c r="N10" s="1"/>
      <c r="O10" s="1"/>
      <c r="P10" s="1"/>
      <c r="Q10" s="1"/>
      <c r="R10" s="1"/>
      <c r="S10" s="16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44"/>
    </row>
    <row r="11" spans="1:48" ht="14.2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4.2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4.2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4.2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4.2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4.2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4.2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4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4.2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G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4.2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G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4.2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G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4.2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G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4.2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G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4.2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G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4.2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G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4.2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G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4.2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G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4.2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G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4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G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4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G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4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G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4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G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4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G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4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G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4.2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G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G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4.2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G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4.2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G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4.2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G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4.2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G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G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4.2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G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4.2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G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4.2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G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4.2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G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4.2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G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4.2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G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4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G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G49" s="2"/>
      <c r="AH49" s="2"/>
      <c r="AI49" s="29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G50" s="2"/>
      <c r="AH50" s="2"/>
      <c r="AI50" s="29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G51" s="2"/>
      <c r="AH51" s="2"/>
      <c r="AI51" s="29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G52" s="2"/>
      <c r="AH52" s="2"/>
      <c r="AI52" s="29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G53" s="2"/>
      <c r="AH53" s="2"/>
      <c r="AI53" s="29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G54" s="2"/>
      <c r="AH54" s="2"/>
      <c r="AI54" s="29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G55" s="2"/>
      <c r="AH55" s="2"/>
      <c r="AI55" s="29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G56" s="2"/>
      <c r="AH56" s="2"/>
      <c r="AI56" s="29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G57" s="2"/>
      <c r="AH57" s="2"/>
      <c r="AI57" s="29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G58" s="2"/>
      <c r="AH58" s="2"/>
      <c r="AI58" s="29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G59" s="2"/>
      <c r="AH59" s="2"/>
      <c r="AI59" s="29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G60" s="2"/>
      <c r="AH60" s="2"/>
      <c r="AI60" s="29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G61" s="2"/>
      <c r="AH61" s="2"/>
      <c r="AI61" s="29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G62" s="2"/>
      <c r="AH62" s="2"/>
      <c r="AI62" s="29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G63" s="2"/>
      <c r="AH63" s="2"/>
      <c r="AI63" s="29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G64" s="2"/>
      <c r="AH64" s="2"/>
      <c r="AI64" s="29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s="2"/>
      <c r="AH65" s="2"/>
      <c r="AI65" s="29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s="2"/>
      <c r="AH66" s="2"/>
      <c r="AI66" s="29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s="2"/>
      <c r="AH67" s="2"/>
      <c r="AI67" s="29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G68" s="2"/>
      <c r="AH68" s="2"/>
      <c r="AI68" s="29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G69" s="2"/>
      <c r="AH69" s="2"/>
      <c r="AI69" s="29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G70" s="2"/>
      <c r="AH70" s="2"/>
      <c r="AI70" s="29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G71" s="2"/>
      <c r="AH71" s="2"/>
      <c r="AI71" s="29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G72" s="2"/>
      <c r="AH72" s="2"/>
      <c r="AI72" s="29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G73" s="2"/>
      <c r="AH73" s="2"/>
      <c r="AI73" s="29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G74" s="2"/>
      <c r="AH74" s="2"/>
      <c r="AI74" s="29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G75" s="2"/>
      <c r="AH75" s="2"/>
      <c r="AI75" s="29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G76" s="2"/>
      <c r="AH76" s="2"/>
      <c r="AI76" s="29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G77" s="2"/>
      <c r="AH77" s="2"/>
      <c r="AI77" s="29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G78" s="2"/>
      <c r="AH78" s="2"/>
      <c r="AI78" s="29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G79" s="2"/>
      <c r="AH79" s="2"/>
      <c r="AI79" s="29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G80" s="2"/>
      <c r="AH80" s="2"/>
      <c r="AI80" s="29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G81" s="2"/>
      <c r="AH81" s="2"/>
      <c r="AI81" s="29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G82" s="2"/>
      <c r="AH82" s="2"/>
      <c r="AI82" s="29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G83" s="2"/>
      <c r="AH83" s="2"/>
      <c r="AI83" s="29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G84" s="2"/>
      <c r="AH84" s="2"/>
      <c r="AI84" s="29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G85" s="2"/>
      <c r="AH85" s="2"/>
      <c r="AI85" s="29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G86" s="2"/>
      <c r="AH86" s="2"/>
      <c r="AI86" s="29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G87" s="2"/>
      <c r="AH87" s="2"/>
      <c r="AI87" s="29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G88" s="2"/>
      <c r="AH88" s="2"/>
      <c r="AI88" s="29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G89" s="2"/>
      <c r="AH89" s="2"/>
      <c r="AI89" s="29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G90" s="2"/>
      <c r="AH90" s="2"/>
      <c r="AI90" s="29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G91" s="2"/>
      <c r="AH91" s="2"/>
      <c r="AI91" s="29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G92" s="2"/>
      <c r="AH92" s="2"/>
      <c r="AI92" s="29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G93" s="2"/>
      <c r="AH93" s="2"/>
      <c r="AI93" s="29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G94" s="2"/>
      <c r="AH94" s="2"/>
      <c r="AI94" s="29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G95" s="2"/>
      <c r="AH95" s="2"/>
      <c r="AI95" s="29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G96" s="2"/>
      <c r="AH96" s="2"/>
      <c r="AI96" s="29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G97" s="2"/>
      <c r="AH97" s="2"/>
      <c r="AI97" s="29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G98" s="2"/>
      <c r="AH98" s="2"/>
      <c r="AI98" s="29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G99" s="2"/>
      <c r="AH99" s="2"/>
      <c r="AI99" s="29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G100" s="2"/>
      <c r="AH100" s="2"/>
      <c r="AI100" s="29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G101" s="2"/>
      <c r="AH101" s="2"/>
      <c r="AI101" s="29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G102" s="2"/>
      <c r="AH102" s="2"/>
      <c r="AI102" s="29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G103" s="2"/>
      <c r="AH103" s="2"/>
      <c r="AI103" s="29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G104" s="2"/>
      <c r="AH104" s="2"/>
      <c r="AI104" s="29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G105" s="2"/>
      <c r="AH105" s="2"/>
      <c r="AI105" s="29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G106" s="2"/>
      <c r="AH106" s="2"/>
      <c r="AI106" s="29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G107" s="2"/>
      <c r="AH107" s="2"/>
      <c r="AI107" s="29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G108" s="2"/>
      <c r="AH108" s="2"/>
      <c r="AI108" s="29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G109" s="2"/>
      <c r="AH109" s="2"/>
      <c r="AI109" s="29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G110" s="2"/>
      <c r="AH110" s="2"/>
      <c r="AI110" s="29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G111" s="2"/>
      <c r="AH111" s="2"/>
      <c r="AI111" s="29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G112" s="2"/>
      <c r="AH112" s="2"/>
      <c r="AI112" s="29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G113" s="2"/>
      <c r="AH113" s="2"/>
      <c r="AI113" s="29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G114" s="2"/>
      <c r="AH114" s="2"/>
      <c r="AI114" s="29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G115" s="2"/>
      <c r="AH115" s="2"/>
      <c r="AI115" s="29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G116" s="2"/>
      <c r="AH116" s="2"/>
      <c r="AI116" s="29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G117" s="2"/>
      <c r="AH117" s="2"/>
      <c r="AI117" s="29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G118" s="2"/>
      <c r="AH118" s="2"/>
      <c r="AI118" s="29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G119" s="2"/>
      <c r="AH119" s="2"/>
      <c r="AI119" s="29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G120" s="2"/>
      <c r="AH120" s="2"/>
      <c r="AI120" s="29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G121" s="2"/>
      <c r="AH121" s="2"/>
      <c r="AI121" s="29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G122" s="2"/>
      <c r="AH122" s="2"/>
      <c r="AI122" s="29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G123" s="2"/>
      <c r="AH123" s="2"/>
      <c r="AI123" s="29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G124" s="2"/>
      <c r="AH124" s="2"/>
      <c r="AI124" s="29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G125" s="2"/>
      <c r="AH125" s="2"/>
      <c r="AI125" s="29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G126" s="2"/>
      <c r="AH126" s="2"/>
      <c r="AI126" s="29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G127" s="2"/>
      <c r="AH127" s="2"/>
      <c r="AI127" s="29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G128" s="2"/>
      <c r="AH128" s="2"/>
      <c r="AI128" s="29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G129" s="2"/>
      <c r="AH129" s="2"/>
      <c r="AI129" s="29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G130" s="2"/>
      <c r="AH130" s="2"/>
      <c r="AI130" s="29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G131" s="2"/>
      <c r="AH131" s="2"/>
      <c r="AI131" s="29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G132" s="2"/>
      <c r="AH132" s="2"/>
      <c r="AI132" s="29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G133" s="2"/>
      <c r="AH133" s="2"/>
      <c r="AI133" s="29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G134" s="2"/>
      <c r="AH134" s="2"/>
      <c r="AI134" s="29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G135" s="2"/>
      <c r="AH135" s="2"/>
      <c r="AI135" s="29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G136" s="2"/>
      <c r="AH136" s="2"/>
      <c r="AI136" s="29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G137" s="2"/>
      <c r="AH137" s="2"/>
      <c r="AI137" s="29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G138" s="2"/>
      <c r="AH138" s="2"/>
      <c r="AI138" s="29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G139" s="2"/>
      <c r="AH139" s="2"/>
      <c r="AI139" s="29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G140" s="2"/>
      <c r="AH140" s="2"/>
      <c r="AI140" s="29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G141" s="2"/>
      <c r="AH141" s="2"/>
      <c r="AI141" s="29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G142" s="2"/>
      <c r="AH142" s="2"/>
      <c r="AI142" s="29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G143" s="2"/>
      <c r="AH143" s="2"/>
      <c r="AI143" s="29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G144" s="2"/>
      <c r="AH144" s="2"/>
      <c r="AI144" s="29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G145" s="2"/>
      <c r="AH145" s="2"/>
      <c r="AI145" s="29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G146" s="2"/>
      <c r="AH146" s="2"/>
      <c r="AI146" s="29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G147" s="2"/>
      <c r="AH147" s="2"/>
      <c r="AI147" s="29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G148" s="2"/>
      <c r="AH148" s="2"/>
      <c r="AI148" s="29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G149" s="2"/>
      <c r="AH149" s="2"/>
      <c r="AI149" s="29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G150" s="2"/>
      <c r="AH150" s="2"/>
      <c r="AI150" s="29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G151" s="2"/>
      <c r="AH151" s="2"/>
      <c r="AI151" s="29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G152" s="2"/>
      <c r="AH152" s="2"/>
      <c r="AI152" s="29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G153" s="2"/>
      <c r="AH153" s="2"/>
      <c r="AI153" s="29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G154" s="2"/>
      <c r="AH154" s="2"/>
      <c r="AI154" s="29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G155" s="2"/>
      <c r="AH155" s="2"/>
      <c r="AI155" s="29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G156" s="2"/>
      <c r="AH156" s="2"/>
      <c r="AI156" s="29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G157" s="2"/>
      <c r="AH157" s="2"/>
      <c r="AI157" s="29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G158" s="2"/>
      <c r="AH158" s="2"/>
      <c r="AI158" s="29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G159" s="2"/>
      <c r="AH159" s="2"/>
      <c r="AI159" s="29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G160" s="2"/>
      <c r="AH160" s="2"/>
      <c r="AI160" s="29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G161" s="2"/>
      <c r="AH161" s="2"/>
      <c r="AI161" s="29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G162" s="2"/>
      <c r="AH162" s="2"/>
      <c r="AI162" s="29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G163" s="2"/>
      <c r="AH163" s="2"/>
      <c r="AI163" s="29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G164" s="2"/>
      <c r="AH164" s="2"/>
      <c r="AI164" s="29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G165" s="2"/>
      <c r="AH165" s="2"/>
      <c r="AI165" s="29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G166" s="2"/>
      <c r="AH166" s="2"/>
      <c r="AI166" s="29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G167" s="2"/>
      <c r="AH167" s="2"/>
      <c r="AI167" s="29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G168" s="2"/>
      <c r="AH168" s="2"/>
      <c r="AI168" s="29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G169" s="2"/>
      <c r="AH169" s="2"/>
      <c r="AI169" s="29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G170" s="2"/>
      <c r="AH170" s="2"/>
      <c r="AI170" s="29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G171" s="2"/>
      <c r="AH171" s="2"/>
      <c r="AI171" s="29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G172" s="2"/>
      <c r="AH172" s="2"/>
      <c r="AI172" s="29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G173" s="2"/>
      <c r="AH173" s="2"/>
      <c r="AI173" s="29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G174" s="2"/>
      <c r="AH174" s="2"/>
      <c r="AI174" s="29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G175" s="2"/>
      <c r="AH175" s="2"/>
      <c r="AI175" s="29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G176" s="2"/>
      <c r="AH176" s="2"/>
      <c r="AI176" s="29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G177" s="2"/>
      <c r="AH177" s="2"/>
      <c r="AI177" s="29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G178" s="2"/>
      <c r="AH178" s="2"/>
      <c r="AI178" s="29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G179" s="2"/>
      <c r="AH179" s="2"/>
      <c r="AI179" s="29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G180" s="2"/>
      <c r="AH180" s="2"/>
      <c r="AI180" s="29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G181" s="2"/>
      <c r="AH181" s="2"/>
      <c r="AI181" s="29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G182" s="2"/>
      <c r="AH182" s="2"/>
      <c r="AI182" s="29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G183" s="2"/>
      <c r="AH183" s="2"/>
      <c r="AI183" s="29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G184" s="2"/>
      <c r="AH184" s="2"/>
      <c r="AI184" s="29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G185" s="2"/>
      <c r="AH185" s="2"/>
      <c r="AI185" s="29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G186" s="2"/>
      <c r="AH186" s="2"/>
      <c r="AI186" s="29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G187" s="2"/>
      <c r="AH187" s="2"/>
      <c r="AI187" s="29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G188" s="2"/>
      <c r="AH188" s="2"/>
      <c r="AI188" s="29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G189" s="2"/>
      <c r="AH189" s="2"/>
      <c r="AI189" s="29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G190" s="2"/>
      <c r="AH190" s="2"/>
      <c r="AI190" s="29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G191" s="2"/>
      <c r="AH191" s="2"/>
      <c r="AI191" s="29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G192" s="2"/>
      <c r="AH192" s="2"/>
      <c r="AI192" s="29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G193" s="2"/>
      <c r="AH193" s="2"/>
      <c r="AI193" s="29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G194" s="2"/>
      <c r="AH194" s="2"/>
      <c r="AI194" s="29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G195" s="2"/>
      <c r="AH195" s="2"/>
      <c r="AI195" s="29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G196" s="2"/>
      <c r="AH196" s="2"/>
      <c r="AI196" s="29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G197" s="2"/>
      <c r="AH197" s="2"/>
      <c r="AI197" s="29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G198" s="2"/>
      <c r="AH198" s="2"/>
      <c r="AI198" s="29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G199" s="2"/>
      <c r="AH199" s="2"/>
      <c r="AI199" s="29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G200" s="2"/>
      <c r="AH200" s="2"/>
      <c r="AI200" s="29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G201" s="2"/>
      <c r="AH201" s="2"/>
      <c r="AI201" s="29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G202" s="2"/>
      <c r="AH202" s="2"/>
      <c r="AI202" s="29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G203" s="2"/>
      <c r="AH203" s="2"/>
      <c r="AI203" s="29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G204" s="2"/>
      <c r="AH204" s="2"/>
      <c r="AI204" s="29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G205" s="2"/>
      <c r="AH205" s="2"/>
      <c r="AI205" s="29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G206" s="2"/>
      <c r="AH206" s="2"/>
      <c r="AI206" s="29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G207" s="2"/>
      <c r="AH207" s="2"/>
      <c r="AI207" s="29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G208" s="2"/>
      <c r="AH208" s="2"/>
      <c r="AI208" s="29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G209" s="2"/>
      <c r="AH209" s="2"/>
      <c r="AI209" s="29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G210" s="2"/>
      <c r="AH210" s="2"/>
      <c r="AI210" s="29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G211" s="2"/>
      <c r="AH211" s="2"/>
      <c r="AI211" s="29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G212" s="2"/>
      <c r="AH212" s="2"/>
      <c r="AI212" s="29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G213" s="2"/>
      <c r="AH213" s="2"/>
      <c r="AI213" s="29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G214" s="2"/>
      <c r="AH214" s="2"/>
      <c r="AI214" s="29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G215" s="2"/>
      <c r="AH215" s="2"/>
      <c r="AI215" s="29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G216" s="2"/>
      <c r="AH216" s="2"/>
      <c r="AI216" s="29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G217" s="2"/>
      <c r="AH217" s="2"/>
      <c r="AI217" s="29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G218" s="2"/>
      <c r="AH218" s="2"/>
      <c r="AI218" s="29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G219" s="2"/>
      <c r="AH219" s="2"/>
      <c r="AI219" s="29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G220" s="2"/>
      <c r="AH220" s="2"/>
      <c r="AI220" s="29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4.25" customHeight="1" x14ac:dyDescent="0.35">
      <c r="A221" s="2"/>
      <c r="B221" s="2"/>
      <c r="C221" s="2"/>
      <c r="D221" s="2"/>
      <c r="E221" s="2"/>
      <c r="F221" s="2"/>
      <c r="G221" s="27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91"/>
      <c r="AC221" s="2"/>
      <c r="AD221" s="2"/>
      <c r="AE221" s="291"/>
      <c r="AF221" s="2"/>
      <c r="AG221" s="2"/>
      <c r="AH221" s="2"/>
      <c r="AI221" s="29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4.25" customHeight="1" x14ac:dyDescent="0.35">
      <c r="A222" s="2"/>
      <c r="B222" s="2"/>
      <c r="C222" s="2"/>
      <c r="D222" s="2"/>
      <c r="E222" s="2"/>
      <c r="F222" s="2"/>
      <c r="G222" s="27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91"/>
      <c r="AC222" s="2"/>
      <c r="AD222" s="2"/>
      <c r="AE222" s="291"/>
      <c r="AF222" s="2"/>
      <c r="AG222" s="2"/>
      <c r="AH222" s="2"/>
      <c r="AI222" s="29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4.25" customHeight="1" x14ac:dyDescent="0.35">
      <c r="A223" s="2"/>
      <c r="B223" s="2"/>
      <c r="C223" s="2"/>
      <c r="D223" s="2"/>
      <c r="E223" s="2"/>
      <c r="F223" s="2"/>
      <c r="G223" s="27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91"/>
      <c r="AC223" s="2"/>
      <c r="AD223" s="2"/>
      <c r="AE223" s="291"/>
      <c r="AF223" s="2"/>
      <c r="AG223" s="2"/>
      <c r="AH223" s="2"/>
      <c r="AI223" s="29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4.25" customHeight="1" x14ac:dyDescent="0.35">
      <c r="A224" s="2"/>
      <c r="B224" s="2"/>
      <c r="C224" s="2"/>
      <c r="D224" s="2"/>
      <c r="E224" s="2"/>
      <c r="F224" s="2"/>
      <c r="G224" s="27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91"/>
      <c r="AC224" s="2"/>
      <c r="AD224" s="2"/>
      <c r="AE224" s="291"/>
      <c r="AF224" s="2"/>
      <c r="AG224" s="2"/>
      <c r="AH224" s="2"/>
      <c r="AI224" s="29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4.25" customHeight="1" x14ac:dyDescent="0.35">
      <c r="A225" s="2"/>
      <c r="B225" s="2"/>
      <c r="C225" s="2"/>
      <c r="D225" s="2"/>
      <c r="E225" s="2"/>
      <c r="F225" s="2"/>
      <c r="G225" s="27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91"/>
      <c r="AC225" s="2"/>
      <c r="AD225" s="2"/>
      <c r="AE225" s="291"/>
      <c r="AF225" s="2"/>
      <c r="AG225" s="2"/>
      <c r="AH225" s="2"/>
      <c r="AI225" s="29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4.25" customHeight="1" x14ac:dyDescent="0.35">
      <c r="A226" s="2"/>
      <c r="B226" s="2"/>
      <c r="C226" s="2"/>
      <c r="D226" s="2"/>
      <c r="E226" s="2"/>
      <c r="F226" s="2"/>
      <c r="G226" s="27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91"/>
      <c r="AC226" s="2"/>
      <c r="AD226" s="2"/>
      <c r="AE226" s="291"/>
      <c r="AF226" s="2"/>
      <c r="AG226" s="2"/>
      <c r="AH226" s="2"/>
      <c r="AI226" s="29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4.25" customHeight="1" x14ac:dyDescent="0.35">
      <c r="A227" s="2"/>
      <c r="B227" s="2"/>
      <c r="C227" s="2"/>
      <c r="D227" s="2"/>
      <c r="E227" s="2"/>
      <c r="F227" s="2"/>
      <c r="G227" s="27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91"/>
      <c r="AC227" s="2"/>
      <c r="AD227" s="2"/>
      <c r="AE227" s="291"/>
      <c r="AF227" s="2"/>
      <c r="AG227" s="2"/>
      <c r="AH227" s="2"/>
      <c r="AI227" s="29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4.25" customHeight="1" x14ac:dyDescent="0.35">
      <c r="A228" s="2"/>
      <c r="B228" s="2"/>
      <c r="C228" s="2"/>
      <c r="D228" s="2"/>
      <c r="E228" s="2"/>
      <c r="F228" s="2"/>
      <c r="G228" s="27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91"/>
      <c r="AC228" s="2"/>
      <c r="AD228" s="2"/>
      <c r="AE228" s="291"/>
      <c r="AF228" s="2"/>
      <c r="AG228" s="2"/>
      <c r="AH228" s="2"/>
      <c r="AI228" s="29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4.25" customHeight="1" x14ac:dyDescent="0.35">
      <c r="A229" s="2"/>
      <c r="B229" s="2"/>
      <c r="C229" s="2"/>
      <c r="D229" s="2"/>
      <c r="E229" s="2"/>
      <c r="F229" s="2"/>
      <c r="G229" s="27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91"/>
      <c r="AC229" s="2"/>
      <c r="AD229" s="2"/>
      <c r="AE229" s="291"/>
      <c r="AF229" s="2"/>
      <c r="AG229" s="2"/>
      <c r="AH229" s="2"/>
      <c r="AI229" s="29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4.25" customHeight="1" x14ac:dyDescent="0.35">
      <c r="A230" s="2"/>
      <c r="B230" s="2"/>
      <c r="C230" s="2"/>
      <c r="D230" s="2"/>
      <c r="E230" s="2"/>
      <c r="F230" s="2"/>
      <c r="G230" s="27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91"/>
      <c r="AC230" s="2"/>
      <c r="AD230" s="2"/>
      <c r="AE230" s="291"/>
      <c r="AF230" s="2"/>
      <c r="AG230" s="2"/>
      <c r="AH230" s="2"/>
      <c r="AI230" s="29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4.25" customHeight="1" x14ac:dyDescent="0.35">
      <c r="A231" s="2"/>
      <c r="B231" s="2"/>
      <c r="C231" s="2"/>
      <c r="D231" s="2"/>
      <c r="E231" s="2"/>
      <c r="F231" s="2"/>
      <c r="G231" s="27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91"/>
      <c r="AC231" s="2"/>
      <c r="AD231" s="2"/>
      <c r="AE231" s="291"/>
      <c r="AF231" s="2"/>
      <c r="AG231" s="2"/>
      <c r="AH231" s="2"/>
      <c r="AI231" s="29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4.25" customHeight="1" x14ac:dyDescent="0.35">
      <c r="A232" s="2"/>
      <c r="B232" s="2"/>
      <c r="C232" s="2"/>
      <c r="D232" s="2"/>
      <c r="E232" s="2"/>
      <c r="F232" s="2"/>
      <c r="G232" s="27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91"/>
      <c r="AC232" s="2"/>
      <c r="AD232" s="2"/>
      <c r="AE232" s="291"/>
      <c r="AF232" s="2"/>
      <c r="AG232" s="2"/>
      <c r="AH232" s="2"/>
      <c r="AI232" s="29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4.25" customHeight="1" x14ac:dyDescent="0.35">
      <c r="A233" s="2"/>
      <c r="B233" s="2"/>
      <c r="C233" s="2"/>
      <c r="D233" s="2"/>
      <c r="E233" s="2"/>
      <c r="F233" s="2"/>
      <c r="G233" s="27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91"/>
      <c r="AC233" s="2"/>
      <c r="AD233" s="2"/>
      <c r="AE233" s="291"/>
      <c r="AF233" s="2"/>
      <c r="AG233" s="2"/>
      <c r="AH233" s="2"/>
      <c r="AI233" s="29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4.25" customHeight="1" x14ac:dyDescent="0.35">
      <c r="A234" s="2"/>
      <c r="B234" s="2"/>
      <c r="C234" s="2"/>
      <c r="D234" s="2"/>
      <c r="E234" s="2"/>
      <c r="F234" s="2"/>
      <c r="G234" s="27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91"/>
      <c r="AC234" s="2"/>
      <c r="AD234" s="2"/>
      <c r="AE234" s="291"/>
      <c r="AF234" s="2"/>
      <c r="AG234" s="2"/>
      <c r="AH234" s="2"/>
      <c r="AI234" s="29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4.25" customHeight="1" x14ac:dyDescent="0.35">
      <c r="A235" s="2"/>
      <c r="B235" s="2"/>
      <c r="C235" s="2"/>
      <c r="D235" s="2"/>
      <c r="E235" s="2"/>
      <c r="F235" s="2"/>
      <c r="G235" s="27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91"/>
      <c r="AC235" s="2"/>
      <c r="AD235" s="2"/>
      <c r="AE235" s="291"/>
      <c r="AF235" s="2"/>
      <c r="AG235" s="2"/>
      <c r="AH235" s="2"/>
      <c r="AI235" s="29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4.25" customHeight="1" x14ac:dyDescent="0.35">
      <c r="A236" s="2"/>
      <c r="B236" s="2"/>
      <c r="C236" s="2"/>
      <c r="D236" s="2"/>
      <c r="E236" s="2"/>
      <c r="F236" s="2"/>
      <c r="G236" s="27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91"/>
      <c r="AC236" s="2"/>
      <c r="AD236" s="2"/>
      <c r="AE236" s="291"/>
      <c r="AF236" s="2"/>
      <c r="AG236" s="2"/>
      <c r="AH236" s="2"/>
      <c r="AI236" s="29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4.25" customHeight="1" x14ac:dyDescent="0.35">
      <c r="A237" s="2"/>
      <c r="B237" s="2"/>
      <c r="C237" s="2"/>
      <c r="D237" s="2"/>
      <c r="E237" s="2"/>
      <c r="F237" s="2"/>
      <c r="G237" s="27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91"/>
      <c r="AC237" s="2"/>
      <c r="AD237" s="2"/>
      <c r="AE237" s="291"/>
      <c r="AF237" s="2"/>
      <c r="AG237" s="2"/>
      <c r="AH237" s="2"/>
      <c r="AI237" s="29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4.25" customHeight="1" x14ac:dyDescent="0.35">
      <c r="A238" s="2"/>
      <c r="B238" s="2"/>
      <c r="C238" s="2"/>
      <c r="D238" s="2"/>
      <c r="E238" s="2"/>
      <c r="F238" s="2"/>
      <c r="G238" s="27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91"/>
      <c r="AC238" s="2"/>
      <c r="AD238" s="2"/>
      <c r="AE238" s="291"/>
      <c r="AF238" s="2"/>
      <c r="AG238" s="2"/>
      <c r="AH238" s="2"/>
      <c r="AI238" s="29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4.25" customHeight="1" x14ac:dyDescent="0.35">
      <c r="A239" s="2"/>
      <c r="B239" s="2"/>
      <c r="C239" s="2"/>
      <c r="D239" s="2"/>
      <c r="E239" s="2"/>
      <c r="F239" s="2"/>
      <c r="G239" s="27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91"/>
      <c r="AC239" s="2"/>
      <c r="AD239" s="2"/>
      <c r="AE239" s="291"/>
      <c r="AF239" s="2"/>
      <c r="AG239" s="2"/>
      <c r="AH239" s="2"/>
      <c r="AI239" s="29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4.25" customHeight="1" x14ac:dyDescent="0.35">
      <c r="A240" s="2"/>
      <c r="B240" s="2"/>
      <c r="C240" s="2"/>
      <c r="D240" s="2"/>
      <c r="E240" s="2"/>
      <c r="F240" s="2"/>
      <c r="G240" s="27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91"/>
      <c r="AC240" s="2"/>
      <c r="AD240" s="2"/>
      <c r="AE240" s="291"/>
      <c r="AF240" s="2"/>
      <c r="AG240" s="2"/>
      <c r="AH240" s="2"/>
      <c r="AI240" s="29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4.25" customHeight="1" x14ac:dyDescent="0.35">
      <c r="A241" s="2"/>
      <c r="B241" s="2"/>
      <c r="C241" s="2"/>
      <c r="D241" s="2"/>
      <c r="E241" s="2"/>
      <c r="F241" s="2"/>
      <c r="G241" s="27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91"/>
      <c r="AC241" s="2"/>
      <c r="AD241" s="2"/>
      <c r="AE241" s="291"/>
      <c r="AF241" s="2"/>
      <c r="AG241" s="2"/>
      <c r="AH241" s="2"/>
      <c r="AI241" s="29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4.25" customHeight="1" x14ac:dyDescent="0.35">
      <c r="A242" s="2"/>
      <c r="B242" s="2"/>
      <c r="C242" s="2"/>
      <c r="D242" s="2"/>
      <c r="E242" s="2"/>
      <c r="F242" s="2"/>
      <c r="G242" s="27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91"/>
      <c r="AC242" s="2"/>
      <c r="AD242" s="2"/>
      <c r="AE242" s="291"/>
      <c r="AF242" s="2"/>
      <c r="AG242" s="2"/>
      <c r="AH242" s="2"/>
      <c r="AI242" s="29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4.25" customHeight="1" x14ac:dyDescent="0.35">
      <c r="A243" s="2"/>
      <c r="B243" s="2"/>
      <c r="C243" s="2"/>
      <c r="D243" s="2"/>
      <c r="E243" s="2"/>
      <c r="F243" s="2"/>
      <c r="G243" s="27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91"/>
      <c r="AC243" s="2"/>
      <c r="AD243" s="2"/>
      <c r="AE243" s="291"/>
      <c r="AF243" s="2"/>
      <c r="AG243" s="2"/>
      <c r="AH243" s="2"/>
      <c r="AI243" s="29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4.25" customHeight="1" x14ac:dyDescent="0.35">
      <c r="A244" s="2"/>
      <c r="B244" s="2"/>
      <c r="C244" s="2"/>
      <c r="D244" s="2"/>
      <c r="E244" s="2"/>
      <c r="F244" s="2"/>
      <c r="G244" s="27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91"/>
      <c r="AC244" s="2"/>
      <c r="AD244" s="2"/>
      <c r="AE244" s="291"/>
      <c r="AF244" s="2"/>
      <c r="AG244" s="2"/>
      <c r="AH244" s="2"/>
      <c r="AI244" s="29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4.25" customHeight="1" x14ac:dyDescent="0.35">
      <c r="A245" s="2"/>
      <c r="B245" s="2"/>
      <c r="C245" s="2"/>
      <c r="D245" s="2"/>
      <c r="E245" s="2"/>
      <c r="F245" s="2"/>
      <c r="G245" s="27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91"/>
      <c r="AC245" s="2"/>
      <c r="AD245" s="2"/>
      <c r="AE245" s="291"/>
      <c r="AF245" s="2"/>
      <c r="AG245" s="2"/>
      <c r="AH245" s="2"/>
      <c r="AI245" s="29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4.25" customHeight="1" x14ac:dyDescent="0.35">
      <c r="A246" s="2"/>
      <c r="B246" s="2"/>
      <c r="C246" s="2"/>
      <c r="D246" s="2"/>
      <c r="E246" s="2"/>
      <c r="F246" s="2"/>
      <c r="G246" s="27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91"/>
      <c r="AC246" s="2"/>
      <c r="AD246" s="2"/>
      <c r="AE246" s="291"/>
      <c r="AF246" s="2"/>
      <c r="AG246" s="2"/>
      <c r="AH246" s="2"/>
      <c r="AI246" s="29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4.25" customHeight="1" x14ac:dyDescent="0.35">
      <c r="A247" s="2"/>
      <c r="B247" s="2"/>
      <c r="C247" s="2"/>
      <c r="D247" s="2"/>
      <c r="E247" s="2"/>
      <c r="F247" s="2"/>
      <c r="G247" s="27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91"/>
      <c r="AC247" s="2"/>
      <c r="AD247" s="2"/>
      <c r="AE247" s="291"/>
      <c r="AF247" s="2"/>
      <c r="AG247" s="2"/>
      <c r="AH247" s="2"/>
      <c r="AI247" s="29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4.25" customHeight="1" x14ac:dyDescent="0.35">
      <c r="A248" s="2"/>
      <c r="B248" s="2"/>
      <c r="C248" s="2"/>
      <c r="D248" s="2"/>
      <c r="E248" s="2"/>
      <c r="F248" s="2"/>
      <c r="G248" s="27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91"/>
      <c r="AC248" s="2"/>
      <c r="AD248" s="2"/>
      <c r="AE248" s="291"/>
      <c r="AF248" s="2"/>
      <c r="AG248" s="2"/>
      <c r="AH248" s="2"/>
      <c r="AI248" s="29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4.25" customHeight="1" x14ac:dyDescent="0.35">
      <c r="A249" s="2"/>
      <c r="B249" s="2"/>
      <c r="C249" s="2"/>
      <c r="D249" s="2"/>
      <c r="E249" s="2"/>
      <c r="F249" s="2"/>
      <c r="G249" s="27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91"/>
      <c r="AC249" s="2"/>
      <c r="AD249" s="2"/>
      <c r="AE249" s="291"/>
      <c r="AF249" s="2"/>
      <c r="AG249" s="2"/>
      <c r="AH249" s="2"/>
      <c r="AI249" s="29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4.25" customHeight="1" x14ac:dyDescent="0.35">
      <c r="A250" s="2"/>
      <c r="B250" s="2"/>
      <c r="C250" s="2"/>
      <c r="D250" s="2"/>
      <c r="E250" s="2"/>
      <c r="F250" s="2"/>
      <c r="G250" s="27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91"/>
      <c r="AC250" s="2"/>
      <c r="AD250" s="2"/>
      <c r="AE250" s="291"/>
      <c r="AF250" s="2"/>
      <c r="AG250" s="2"/>
      <c r="AH250" s="2"/>
      <c r="AI250" s="29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4.25" customHeight="1" x14ac:dyDescent="0.35">
      <c r="A251" s="2"/>
      <c r="B251" s="2"/>
      <c r="C251" s="2"/>
      <c r="D251" s="2"/>
      <c r="E251" s="2"/>
      <c r="F251" s="2"/>
      <c r="G251" s="27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91"/>
      <c r="AC251" s="2"/>
      <c r="AD251" s="2"/>
      <c r="AE251" s="291"/>
      <c r="AF251" s="2"/>
      <c r="AG251" s="2"/>
      <c r="AH251" s="2"/>
      <c r="AI251" s="29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4.25" customHeight="1" x14ac:dyDescent="0.35">
      <c r="A252" s="2"/>
      <c r="B252" s="2"/>
      <c r="C252" s="2"/>
      <c r="D252" s="2"/>
      <c r="E252" s="2"/>
      <c r="F252" s="2"/>
      <c r="G252" s="27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91"/>
      <c r="AC252" s="2"/>
      <c r="AD252" s="2"/>
      <c r="AE252" s="291"/>
      <c r="AF252" s="2"/>
      <c r="AG252" s="2"/>
      <c r="AH252" s="2"/>
      <c r="AI252" s="29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4.25" customHeight="1" x14ac:dyDescent="0.35">
      <c r="A253" s="2"/>
      <c r="B253" s="2"/>
      <c r="C253" s="2"/>
      <c r="D253" s="2"/>
      <c r="E253" s="2"/>
      <c r="F253" s="2"/>
      <c r="G253" s="27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91"/>
      <c r="AC253" s="2"/>
      <c r="AD253" s="2"/>
      <c r="AE253" s="291"/>
      <c r="AF253" s="2"/>
      <c r="AG253" s="2"/>
      <c r="AH253" s="2"/>
      <c r="AI253" s="29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4.25" customHeight="1" x14ac:dyDescent="0.35">
      <c r="A254" s="2"/>
      <c r="B254" s="2"/>
      <c r="C254" s="2"/>
      <c r="D254" s="2"/>
      <c r="E254" s="2"/>
      <c r="F254" s="2"/>
      <c r="G254" s="27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91"/>
      <c r="AC254" s="2"/>
      <c r="AD254" s="2"/>
      <c r="AE254" s="291"/>
      <c r="AF254" s="2"/>
      <c r="AG254" s="2"/>
      <c r="AH254" s="2"/>
      <c r="AI254" s="29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4.25" customHeight="1" x14ac:dyDescent="0.35">
      <c r="A255" s="2"/>
      <c r="B255" s="2"/>
      <c r="C255" s="2"/>
      <c r="D255" s="2"/>
      <c r="E255" s="2"/>
      <c r="F255" s="2"/>
      <c r="G255" s="27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91"/>
      <c r="AC255" s="2"/>
      <c r="AD255" s="2"/>
      <c r="AE255" s="291"/>
      <c r="AF255" s="2"/>
      <c r="AG255" s="2"/>
      <c r="AH255" s="2"/>
      <c r="AI255" s="29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4.25" customHeight="1" x14ac:dyDescent="0.35">
      <c r="A256" s="2"/>
      <c r="B256" s="2"/>
      <c r="C256" s="2"/>
      <c r="D256" s="2"/>
      <c r="E256" s="2"/>
      <c r="F256" s="2"/>
      <c r="G256" s="27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91"/>
      <c r="AC256" s="2"/>
      <c r="AD256" s="2"/>
      <c r="AE256" s="291"/>
      <c r="AF256" s="2"/>
      <c r="AG256" s="2"/>
      <c r="AH256" s="2"/>
      <c r="AI256" s="29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4.25" customHeight="1" x14ac:dyDescent="0.35">
      <c r="A257" s="2"/>
      <c r="B257" s="2"/>
      <c r="C257" s="2"/>
      <c r="D257" s="2"/>
      <c r="E257" s="2"/>
      <c r="F257" s="2"/>
      <c r="G257" s="27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91"/>
      <c r="AC257" s="2"/>
      <c r="AD257" s="2"/>
      <c r="AE257" s="291"/>
      <c r="AF257" s="2"/>
      <c r="AG257" s="2"/>
      <c r="AH257" s="2"/>
      <c r="AI257" s="29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4.25" customHeight="1" x14ac:dyDescent="0.35">
      <c r="A258" s="2"/>
      <c r="B258" s="2"/>
      <c r="C258" s="2"/>
      <c r="D258" s="2"/>
      <c r="E258" s="2"/>
      <c r="F258" s="2"/>
      <c r="G258" s="27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91"/>
      <c r="AC258" s="2"/>
      <c r="AD258" s="2"/>
      <c r="AE258" s="291"/>
      <c r="AF258" s="2"/>
      <c r="AG258" s="2"/>
      <c r="AH258" s="2"/>
      <c r="AI258" s="29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4.25" customHeight="1" x14ac:dyDescent="0.35">
      <c r="A259" s="2"/>
      <c r="B259" s="2"/>
      <c r="C259" s="2"/>
      <c r="D259" s="2"/>
      <c r="E259" s="2"/>
      <c r="F259" s="2"/>
      <c r="G259" s="27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91"/>
      <c r="AC259" s="2"/>
      <c r="AD259" s="2"/>
      <c r="AE259" s="291"/>
      <c r="AF259" s="2"/>
      <c r="AG259" s="2"/>
      <c r="AH259" s="2"/>
      <c r="AI259" s="29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4.25" customHeight="1" x14ac:dyDescent="0.35">
      <c r="A260" s="2"/>
      <c r="B260" s="2"/>
      <c r="C260" s="2"/>
      <c r="D260" s="2"/>
      <c r="E260" s="2"/>
      <c r="F260" s="2"/>
      <c r="G260" s="27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91"/>
      <c r="AC260" s="2"/>
      <c r="AD260" s="2"/>
      <c r="AE260" s="291"/>
      <c r="AF260" s="2"/>
      <c r="AG260" s="2"/>
      <c r="AH260" s="2"/>
      <c r="AI260" s="29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4.25" customHeight="1" x14ac:dyDescent="0.35">
      <c r="A261" s="2"/>
      <c r="B261" s="2"/>
      <c r="C261" s="2"/>
      <c r="D261" s="2"/>
      <c r="E261" s="2"/>
      <c r="F261" s="2"/>
      <c r="G261" s="27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91"/>
      <c r="AC261" s="2"/>
      <c r="AD261" s="2"/>
      <c r="AE261" s="291"/>
      <c r="AF261" s="2"/>
      <c r="AG261" s="2"/>
      <c r="AH261" s="2"/>
      <c r="AI261" s="29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4.25" customHeight="1" x14ac:dyDescent="0.35">
      <c r="A262" s="2"/>
      <c r="B262" s="2"/>
      <c r="C262" s="2"/>
      <c r="D262" s="2"/>
      <c r="E262" s="2"/>
      <c r="F262" s="2"/>
      <c r="G262" s="27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91"/>
      <c r="AC262" s="2"/>
      <c r="AD262" s="2"/>
      <c r="AE262" s="291"/>
      <c r="AF262" s="2"/>
      <c r="AG262" s="2"/>
      <c r="AH262" s="2"/>
      <c r="AI262" s="29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4.25" customHeight="1" x14ac:dyDescent="0.35">
      <c r="A263" s="2"/>
      <c r="B263" s="2"/>
      <c r="C263" s="2"/>
      <c r="D263" s="2"/>
      <c r="E263" s="2"/>
      <c r="F263" s="2"/>
      <c r="G263" s="27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91"/>
      <c r="AC263" s="2"/>
      <c r="AD263" s="2"/>
      <c r="AE263" s="291"/>
      <c r="AF263" s="2"/>
      <c r="AG263" s="2"/>
      <c r="AH263" s="2"/>
      <c r="AI263" s="29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4.25" customHeight="1" x14ac:dyDescent="0.35">
      <c r="A264" s="2"/>
      <c r="B264" s="2"/>
      <c r="C264" s="2"/>
      <c r="D264" s="2"/>
      <c r="E264" s="2"/>
      <c r="F264" s="2"/>
      <c r="G264" s="27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91"/>
      <c r="AC264" s="2"/>
      <c r="AD264" s="2"/>
      <c r="AE264" s="291"/>
      <c r="AF264" s="2"/>
      <c r="AG264" s="2"/>
      <c r="AH264" s="2"/>
      <c r="AI264" s="29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4.25" customHeight="1" x14ac:dyDescent="0.35">
      <c r="A265" s="2"/>
      <c r="B265" s="2"/>
      <c r="C265" s="2"/>
      <c r="D265" s="2"/>
      <c r="E265" s="2"/>
      <c r="F265" s="2"/>
      <c r="G265" s="27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91"/>
      <c r="AC265" s="2"/>
      <c r="AD265" s="2"/>
      <c r="AE265" s="291"/>
      <c r="AF265" s="2"/>
      <c r="AG265" s="2"/>
      <c r="AH265" s="2"/>
      <c r="AI265" s="29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4.25" customHeight="1" x14ac:dyDescent="0.35">
      <c r="A266" s="2"/>
      <c r="B266" s="2"/>
      <c r="C266" s="2"/>
      <c r="D266" s="2"/>
      <c r="E266" s="2"/>
      <c r="F266" s="2"/>
      <c r="G266" s="27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91"/>
      <c r="AC266" s="2"/>
      <c r="AD266" s="2"/>
      <c r="AE266" s="291"/>
      <c r="AF266" s="2"/>
      <c r="AG266" s="2"/>
      <c r="AH266" s="2"/>
      <c r="AI266" s="29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4.25" customHeight="1" x14ac:dyDescent="0.35">
      <c r="A267" s="2"/>
      <c r="B267" s="2"/>
      <c r="C267" s="2"/>
      <c r="D267" s="2"/>
      <c r="E267" s="2"/>
      <c r="F267" s="2"/>
      <c r="G267" s="27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91"/>
      <c r="AC267" s="2"/>
      <c r="AD267" s="2"/>
      <c r="AE267" s="291"/>
      <c r="AF267" s="2"/>
      <c r="AG267" s="2"/>
      <c r="AH267" s="2"/>
      <c r="AI267" s="29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4.25" customHeight="1" x14ac:dyDescent="0.35">
      <c r="A268" s="2"/>
      <c r="B268" s="2"/>
      <c r="C268" s="2"/>
      <c r="D268" s="2"/>
      <c r="E268" s="2"/>
      <c r="F268" s="2"/>
      <c r="G268" s="27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91"/>
      <c r="AC268" s="2"/>
      <c r="AD268" s="2"/>
      <c r="AE268" s="291"/>
      <c r="AF268" s="2"/>
      <c r="AG268" s="2"/>
      <c r="AH268" s="2"/>
      <c r="AI268" s="29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4.25" customHeight="1" x14ac:dyDescent="0.35">
      <c r="A269" s="2"/>
      <c r="B269" s="2"/>
      <c r="C269" s="2"/>
      <c r="D269" s="2"/>
      <c r="E269" s="2"/>
      <c r="F269" s="2"/>
      <c r="G269" s="27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91"/>
      <c r="AC269" s="2"/>
      <c r="AD269" s="2"/>
      <c r="AE269" s="291"/>
      <c r="AF269" s="2"/>
      <c r="AG269" s="2"/>
      <c r="AH269" s="2"/>
      <c r="AI269" s="29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4.25" customHeight="1" x14ac:dyDescent="0.35">
      <c r="A270" s="2"/>
      <c r="B270" s="2"/>
      <c r="C270" s="2"/>
      <c r="D270" s="2"/>
      <c r="E270" s="2"/>
      <c r="F270" s="2"/>
      <c r="G270" s="27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91"/>
      <c r="AC270" s="2"/>
      <c r="AD270" s="2"/>
      <c r="AE270" s="291"/>
      <c r="AF270" s="2"/>
      <c r="AG270" s="2"/>
      <c r="AH270" s="2"/>
      <c r="AI270" s="29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4.25" customHeight="1" x14ac:dyDescent="0.35">
      <c r="A271" s="2"/>
      <c r="B271" s="2"/>
      <c r="C271" s="2"/>
      <c r="D271" s="2"/>
      <c r="E271" s="2"/>
      <c r="F271" s="2"/>
      <c r="G271" s="27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91"/>
      <c r="AC271" s="2"/>
      <c r="AD271" s="2"/>
      <c r="AE271" s="291"/>
      <c r="AF271" s="2"/>
      <c r="AG271" s="2"/>
      <c r="AH271" s="2"/>
      <c r="AI271" s="29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4.25" customHeight="1" x14ac:dyDescent="0.35">
      <c r="A272" s="2"/>
      <c r="B272" s="2"/>
      <c r="C272" s="2"/>
      <c r="D272" s="2"/>
      <c r="E272" s="2"/>
      <c r="F272" s="2"/>
      <c r="G272" s="27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91"/>
      <c r="AC272" s="2"/>
      <c r="AD272" s="2"/>
      <c r="AE272" s="291"/>
      <c r="AF272" s="2"/>
      <c r="AG272" s="2"/>
      <c r="AH272" s="2"/>
      <c r="AI272" s="29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4.25" customHeight="1" x14ac:dyDescent="0.35">
      <c r="A273" s="2"/>
      <c r="B273" s="2"/>
      <c r="C273" s="2"/>
      <c r="D273" s="2"/>
      <c r="E273" s="2"/>
      <c r="F273" s="2"/>
      <c r="G273" s="27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91"/>
      <c r="AC273" s="2"/>
      <c r="AD273" s="2"/>
      <c r="AE273" s="291"/>
      <c r="AF273" s="2"/>
      <c r="AG273" s="2"/>
      <c r="AH273" s="2"/>
      <c r="AI273" s="29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4.25" customHeight="1" x14ac:dyDescent="0.35">
      <c r="A274" s="2"/>
      <c r="B274" s="2"/>
      <c r="C274" s="2"/>
      <c r="D274" s="2"/>
      <c r="E274" s="2"/>
      <c r="F274" s="2"/>
      <c r="G274" s="27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91"/>
      <c r="AC274" s="2"/>
      <c r="AD274" s="2"/>
      <c r="AE274" s="291"/>
      <c r="AF274" s="2"/>
      <c r="AG274" s="2"/>
      <c r="AH274" s="2"/>
      <c r="AI274" s="29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4.25" customHeight="1" x14ac:dyDescent="0.35">
      <c r="A275" s="2"/>
      <c r="B275" s="2"/>
      <c r="C275" s="2"/>
      <c r="D275" s="2"/>
      <c r="E275" s="2"/>
      <c r="F275" s="2"/>
      <c r="G275" s="27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91"/>
      <c r="AC275" s="2"/>
      <c r="AD275" s="2"/>
      <c r="AE275" s="291"/>
      <c r="AF275" s="2"/>
      <c r="AG275" s="2"/>
      <c r="AH275" s="2"/>
      <c r="AI275" s="29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4.25" customHeight="1" x14ac:dyDescent="0.35">
      <c r="A276" s="2"/>
      <c r="B276" s="2"/>
      <c r="C276" s="2"/>
      <c r="D276" s="2"/>
      <c r="E276" s="2"/>
      <c r="F276" s="2"/>
      <c r="G276" s="27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91"/>
      <c r="AC276" s="2"/>
      <c r="AD276" s="2"/>
      <c r="AE276" s="291"/>
      <c r="AF276" s="2"/>
      <c r="AG276" s="2"/>
      <c r="AH276" s="2"/>
      <c r="AI276" s="29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4.25" customHeight="1" x14ac:dyDescent="0.35">
      <c r="A277" s="2"/>
      <c r="B277" s="2"/>
      <c r="C277" s="2"/>
      <c r="D277" s="2"/>
      <c r="E277" s="2"/>
      <c r="F277" s="2"/>
      <c r="G277" s="27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91"/>
      <c r="AC277" s="2"/>
      <c r="AD277" s="2"/>
      <c r="AE277" s="291"/>
      <c r="AF277" s="2"/>
      <c r="AG277" s="2"/>
      <c r="AH277" s="2"/>
      <c r="AI277" s="29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4.25" customHeight="1" x14ac:dyDescent="0.35">
      <c r="A278" s="2"/>
      <c r="B278" s="2"/>
      <c r="C278" s="2"/>
      <c r="D278" s="2"/>
      <c r="E278" s="2"/>
      <c r="F278" s="2"/>
      <c r="G278" s="27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91"/>
      <c r="AC278" s="2"/>
      <c r="AD278" s="2"/>
      <c r="AE278" s="291"/>
      <c r="AF278" s="2"/>
      <c r="AG278" s="2"/>
      <c r="AH278" s="2"/>
      <c r="AI278" s="29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4.25" customHeight="1" x14ac:dyDescent="0.35">
      <c r="A279" s="2"/>
      <c r="B279" s="2"/>
      <c r="C279" s="2"/>
      <c r="D279" s="2"/>
      <c r="E279" s="2"/>
      <c r="F279" s="2"/>
      <c r="G279" s="27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91"/>
      <c r="AC279" s="2"/>
      <c r="AD279" s="2"/>
      <c r="AE279" s="291"/>
      <c r="AF279" s="2"/>
      <c r="AG279" s="2"/>
      <c r="AH279" s="2"/>
      <c r="AI279" s="29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4.25" customHeight="1" x14ac:dyDescent="0.35">
      <c r="A280" s="2"/>
      <c r="B280" s="2"/>
      <c r="C280" s="2"/>
      <c r="D280" s="2"/>
      <c r="E280" s="2"/>
      <c r="F280" s="2"/>
      <c r="G280" s="27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91"/>
      <c r="AC280" s="2"/>
      <c r="AD280" s="2"/>
      <c r="AE280" s="291"/>
      <c r="AF280" s="2"/>
      <c r="AG280" s="2"/>
      <c r="AH280" s="2"/>
      <c r="AI280" s="29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4.25" customHeight="1" x14ac:dyDescent="0.35">
      <c r="A281" s="2"/>
      <c r="B281" s="2"/>
      <c r="C281" s="2"/>
      <c r="D281" s="2"/>
      <c r="E281" s="2"/>
      <c r="F281" s="2"/>
      <c r="G281" s="27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91"/>
      <c r="AC281" s="2"/>
      <c r="AD281" s="2"/>
      <c r="AE281" s="291"/>
      <c r="AF281" s="2"/>
      <c r="AG281" s="2"/>
      <c r="AH281" s="2"/>
      <c r="AI281" s="29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4.25" customHeight="1" x14ac:dyDescent="0.35">
      <c r="A282" s="2"/>
      <c r="B282" s="2"/>
      <c r="C282" s="2"/>
      <c r="D282" s="2"/>
      <c r="E282" s="2"/>
      <c r="F282" s="2"/>
      <c r="G282" s="27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91"/>
      <c r="AC282" s="2"/>
      <c r="AD282" s="2"/>
      <c r="AE282" s="291"/>
      <c r="AF282" s="2"/>
      <c r="AG282" s="2"/>
      <c r="AH282" s="2"/>
      <c r="AI282" s="29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4.25" customHeight="1" x14ac:dyDescent="0.35">
      <c r="A283" s="2"/>
      <c r="B283" s="2"/>
      <c r="C283" s="2"/>
      <c r="D283" s="2"/>
      <c r="E283" s="2"/>
      <c r="F283" s="2"/>
      <c r="G283" s="27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91"/>
      <c r="AC283" s="2"/>
      <c r="AD283" s="2"/>
      <c r="AE283" s="291"/>
      <c r="AF283" s="2"/>
      <c r="AG283" s="2"/>
      <c r="AH283" s="2"/>
      <c r="AI283" s="29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4.25" customHeight="1" x14ac:dyDescent="0.35">
      <c r="A284" s="2"/>
      <c r="B284" s="2"/>
      <c r="C284" s="2"/>
      <c r="D284" s="2"/>
      <c r="E284" s="2"/>
      <c r="F284" s="2"/>
      <c r="G284" s="27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91"/>
      <c r="AC284" s="2"/>
      <c r="AD284" s="2"/>
      <c r="AE284" s="291"/>
      <c r="AF284" s="2"/>
      <c r="AG284" s="2"/>
      <c r="AH284" s="2"/>
      <c r="AI284" s="29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4.25" customHeight="1" x14ac:dyDescent="0.35">
      <c r="A285" s="2"/>
      <c r="B285" s="2"/>
      <c r="C285" s="2"/>
      <c r="D285" s="2"/>
      <c r="E285" s="2"/>
      <c r="F285" s="2"/>
      <c r="G285" s="27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91"/>
      <c r="AC285" s="2"/>
      <c r="AD285" s="2"/>
      <c r="AE285" s="291"/>
      <c r="AF285" s="2"/>
      <c r="AG285" s="2"/>
      <c r="AH285" s="2"/>
      <c r="AI285" s="29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4.25" customHeight="1" x14ac:dyDescent="0.35">
      <c r="A286" s="2"/>
      <c r="B286" s="2"/>
      <c r="C286" s="2"/>
      <c r="D286" s="2"/>
      <c r="E286" s="2"/>
      <c r="F286" s="2"/>
      <c r="G286" s="27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91"/>
      <c r="AC286" s="2"/>
      <c r="AD286" s="2"/>
      <c r="AE286" s="291"/>
      <c r="AF286" s="2"/>
      <c r="AG286" s="2"/>
      <c r="AH286" s="2"/>
      <c r="AI286" s="29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4.25" customHeight="1" x14ac:dyDescent="0.35">
      <c r="A287" s="2"/>
      <c r="B287" s="2"/>
      <c r="C287" s="2"/>
      <c r="D287" s="2"/>
      <c r="E287" s="2"/>
      <c r="F287" s="2"/>
      <c r="G287" s="27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91"/>
      <c r="AC287" s="2"/>
      <c r="AD287" s="2"/>
      <c r="AE287" s="291"/>
      <c r="AF287" s="2"/>
      <c r="AG287" s="2"/>
      <c r="AH287" s="2"/>
      <c r="AI287" s="29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4.25" customHeight="1" x14ac:dyDescent="0.35">
      <c r="A288" s="2"/>
      <c r="B288" s="2"/>
      <c r="C288" s="2"/>
      <c r="D288" s="2"/>
      <c r="E288" s="2"/>
      <c r="F288" s="2"/>
      <c r="G288" s="27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91"/>
      <c r="AC288" s="2"/>
      <c r="AD288" s="2"/>
      <c r="AE288" s="291"/>
      <c r="AF288" s="2"/>
      <c r="AG288" s="2"/>
      <c r="AH288" s="2"/>
      <c r="AI288" s="29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4.25" customHeight="1" x14ac:dyDescent="0.35">
      <c r="A289" s="2"/>
      <c r="B289" s="2"/>
      <c r="C289" s="2"/>
      <c r="D289" s="2"/>
      <c r="E289" s="2"/>
      <c r="F289" s="2"/>
      <c r="G289" s="27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91"/>
      <c r="AC289" s="2"/>
      <c r="AD289" s="2"/>
      <c r="AE289" s="291"/>
      <c r="AF289" s="2"/>
      <c r="AG289" s="2"/>
      <c r="AH289" s="2"/>
      <c r="AI289" s="29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4.25" customHeight="1" x14ac:dyDescent="0.35">
      <c r="A290" s="2"/>
      <c r="B290" s="2"/>
      <c r="C290" s="2"/>
      <c r="D290" s="2"/>
      <c r="E290" s="2"/>
      <c r="F290" s="2"/>
      <c r="G290" s="27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91"/>
      <c r="AC290" s="2"/>
      <c r="AD290" s="2"/>
      <c r="AE290" s="291"/>
      <c r="AF290" s="2"/>
      <c r="AG290" s="2"/>
      <c r="AH290" s="2"/>
      <c r="AI290" s="29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4.25" customHeight="1" x14ac:dyDescent="0.35">
      <c r="A291" s="2"/>
      <c r="B291" s="2"/>
      <c r="C291" s="2"/>
      <c r="D291" s="2"/>
      <c r="E291" s="2"/>
      <c r="F291" s="2"/>
      <c r="G291" s="27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91"/>
      <c r="AC291" s="2"/>
      <c r="AD291" s="2"/>
      <c r="AE291" s="291"/>
      <c r="AF291" s="2"/>
      <c r="AG291" s="2"/>
      <c r="AH291" s="2"/>
      <c r="AI291" s="29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4.25" customHeight="1" x14ac:dyDescent="0.35">
      <c r="A292" s="2"/>
      <c r="B292" s="2"/>
      <c r="C292" s="2"/>
      <c r="D292" s="2"/>
      <c r="E292" s="2"/>
      <c r="F292" s="2"/>
      <c r="G292" s="27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91"/>
      <c r="AC292" s="2"/>
      <c r="AD292" s="2"/>
      <c r="AE292" s="291"/>
      <c r="AF292" s="2"/>
      <c r="AG292" s="2"/>
      <c r="AH292" s="2"/>
      <c r="AI292" s="29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4.25" customHeight="1" x14ac:dyDescent="0.35">
      <c r="A293" s="2"/>
      <c r="B293" s="2"/>
      <c r="C293" s="2"/>
      <c r="D293" s="2"/>
      <c r="E293" s="2"/>
      <c r="F293" s="2"/>
      <c r="G293" s="27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91"/>
      <c r="AC293" s="2"/>
      <c r="AD293" s="2"/>
      <c r="AE293" s="291"/>
      <c r="AF293" s="2"/>
      <c r="AG293" s="2"/>
      <c r="AH293" s="2"/>
      <c r="AI293" s="29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4.25" customHeight="1" x14ac:dyDescent="0.35">
      <c r="A294" s="2"/>
      <c r="B294" s="2"/>
      <c r="C294" s="2"/>
      <c r="D294" s="2"/>
      <c r="E294" s="2"/>
      <c r="F294" s="2"/>
      <c r="G294" s="27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91"/>
      <c r="AC294" s="2"/>
      <c r="AD294" s="2"/>
      <c r="AE294" s="291"/>
      <c r="AF294" s="2"/>
      <c r="AG294" s="2"/>
      <c r="AH294" s="2"/>
      <c r="AI294" s="29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4.25" customHeight="1" x14ac:dyDescent="0.35">
      <c r="A295" s="2"/>
      <c r="B295" s="2"/>
      <c r="C295" s="2"/>
      <c r="D295" s="2"/>
      <c r="E295" s="2"/>
      <c r="F295" s="2"/>
      <c r="G295" s="27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91"/>
      <c r="AC295" s="2"/>
      <c r="AD295" s="2"/>
      <c r="AE295" s="291"/>
      <c r="AF295" s="2"/>
      <c r="AG295" s="2"/>
      <c r="AH295" s="2"/>
      <c r="AI295" s="29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4.25" customHeight="1" x14ac:dyDescent="0.35">
      <c r="A296" s="2"/>
      <c r="B296" s="2"/>
      <c r="C296" s="2"/>
      <c r="D296" s="2"/>
      <c r="E296" s="2"/>
      <c r="F296" s="2"/>
      <c r="G296" s="27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91"/>
      <c r="AC296" s="2"/>
      <c r="AD296" s="2"/>
      <c r="AE296" s="291"/>
      <c r="AF296" s="2"/>
      <c r="AG296" s="2"/>
      <c r="AH296" s="2"/>
      <c r="AI296" s="29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4.25" customHeight="1" x14ac:dyDescent="0.35">
      <c r="A297" s="2"/>
      <c r="B297" s="2"/>
      <c r="C297" s="2"/>
      <c r="D297" s="2"/>
      <c r="E297" s="2"/>
      <c r="F297" s="2"/>
      <c r="G297" s="27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91"/>
      <c r="AC297" s="2"/>
      <c r="AD297" s="2"/>
      <c r="AE297" s="291"/>
      <c r="AF297" s="2"/>
      <c r="AG297" s="2"/>
      <c r="AH297" s="2"/>
      <c r="AI297" s="29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4.25" customHeight="1" x14ac:dyDescent="0.35">
      <c r="A298" s="2"/>
      <c r="B298" s="2"/>
      <c r="C298" s="2"/>
      <c r="D298" s="2"/>
      <c r="E298" s="2"/>
      <c r="F298" s="2"/>
      <c r="G298" s="27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91"/>
      <c r="AC298" s="2"/>
      <c r="AD298" s="2"/>
      <c r="AE298" s="291"/>
      <c r="AF298" s="2"/>
      <c r="AG298" s="2"/>
      <c r="AH298" s="2"/>
      <c r="AI298" s="29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4.25" customHeight="1" x14ac:dyDescent="0.35">
      <c r="A299" s="2"/>
      <c r="B299" s="2"/>
      <c r="C299" s="2"/>
      <c r="D299" s="2"/>
      <c r="E299" s="2"/>
      <c r="F299" s="2"/>
      <c r="G299" s="27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91"/>
      <c r="AC299" s="2"/>
      <c r="AD299" s="2"/>
      <c r="AE299" s="291"/>
      <c r="AF299" s="2"/>
      <c r="AG299" s="2"/>
      <c r="AH299" s="2"/>
      <c r="AI299" s="29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4.25" customHeight="1" x14ac:dyDescent="0.35">
      <c r="A300" s="2"/>
      <c r="B300" s="2"/>
      <c r="C300" s="2"/>
      <c r="D300" s="2"/>
      <c r="E300" s="2"/>
      <c r="F300" s="2"/>
      <c r="G300" s="27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91"/>
      <c r="AC300" s="2"/>
      <c r="AD300" s="2"/>
      <c r="AE300" s="291"/>
      <c r="AF300" s="2"/>
      <c r="AG300" s="2"/>
      <c r="AH300" s="2"/>
      <c r="AI300" s="29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4.25" customHeight="1" x14ac:dyDescent="0.35">
      <c r="A301" s="2"/>
      <c r="B301" s="2"/>
      <c r="C301" s="2"/>
      <c r="D301" s="2"/>
      <c r="E301" s="2"/>
      <c r="F301" s="2"/>
      <c r="G301" s="27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91"/>
      <c r="AC301" s="2"/>
      <c r="AD301" s="2"/>
      <c r="AE301" s="291"/>
      <c r="AF301" s="2"/>
      <c r="AG301" s="2"/>
      <c r="AH301" s="2"/>
      <c r="AI301" s="29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4.25" customHeight="1" x14ac:dyDescent="0.35">
      <c r="A302" s="2"/>
      <c r="B302" s="2"/>
      <c r="C302" s="2"/>
      <c r="D302" s="2"/>
      <c r="E302" s="2"/>
      <c r="F302" s="2"/>
      <c r="G302" s="27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91"/>
      <c r="AC302" s="2"/>
      <c r="AD302" s="2"/>
      <c r="AE302" s="291"/>
      <c r="AF302" s="2"/>
      <c r="AG302" s="2"/>
      <c r="AH302" s="2"/>
      <c r="AI302" s="29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4.25" customHeight="1" x14ac:dyDescent="0.35">
      <c r="A303" s="2"/>
      <c r="B303" s="2"/>
      <c r="C303" s="2"/>
      <c r="D303" s="2"/>
      <c r="E303" s="2"/>
      <c r="F303" s="2"/>
      <c r="G303" s="27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91"/>
      <c r="AC303" s="2"/>
      <c r="AD303" s="2"/>
      <c r="AE303" s="291"/>
      <c r="AF303" s="2"/>
      <c r="AG303" s="2"/>
      <c r="AH303" s="2"/>
      <c r="AI303" s="29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4.25" customHeight="1" x14ac:dyDescent="0.35">
      <c r="A304" s="2"/>
      <c r="B304" s="2"/>
      <c r="C304" s="2"/>
      <c r="D304" s="2"/>
      <c r="E304" s="2"/>
      <c r="F304" s="2"/>
      <c r="G304" s="27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91"/>
      <c r="AC304" s="2"/>
      <c r="AD304" s="2"/>
      <c r="AE304" s="291"/>
      <c r="AF304" s="2"/>
      <c r="AG304" s="2"/>
      <c r="AH304" s="2"/>
      <c r="AI304" s="29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4.25" customHeight="1" x14ac:dyDescent="0.35">
      <c r="A305" s="2"/>
      <c r="B305" s="2"/>
      <c r="C305" s="2"/>
      <c r="D305" s="2"/>
      <c r="E305" s="2"/>
      <c r="F305" s="2"/>
      <c r="G305" s="27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91"/>
      <c r="AC305" s="2"/>
      <c r="AD305" s="2"/>
      <c r="AE305" s="291"/>
      <c r="AF305" s="2"/>
      <c r="AG305" s="2"/>
      <c r="AH305" s="2"/>
      <c r="AI305" s="29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4.25" customHeight="1" x14ac:dyDescent="0.35">
      <c r="A306" s="2"/>
      <c r="B306" s="2"/>
      <c r="C306" s="2"/>
      <c r="D306" s="2"/>
      <c r="E306" s="2"/>
      <c r="F306" s="2"/>
      <c r="G306" s="27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91"/>
      <c r="AC306" s="2"/>
      <c r="AD306" s="2"/>
      <c r="AE306" s="291"/>
      <c r="AF306" s="2"/>
      <c r="AG306" s="2"/>
      <c r="AH306" s="2"/>
      <c r="AI306" s="29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4.25" customHeight="1" x14ac:dyDescent="0.35">
      <c r="A307" s="2"/>
      <c r="B307" s="2"/>
      <c r="C307" s="2"/>
      <c r="D307" s="2"/>
      <c r="E307" s="2"/>
      <c r="F307" s="2"/>
      <c r="G307" s="27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91"/>
      <c r="AC307" s="2"/>
      <c r="AD307" s="2"/>
      <c r="AE307" s="291"/>
      <c r="AF307" s="2"/>
      <c r="AG307" s="2"/>
      <c r="AH307" s="2"/>
      <c r="AI307" s="29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4.25" customHeight="1" x14ac:dyDescent="0.35">
      <c r="A308" s="2"/>
      <c r="B308" s="2"/>
      <c r="C308" s="2"/>
      <c r="D308" s="2"/>
      <c r="E308" s="2"/>
      <c r="F308" s="2"/>
      <c r="G308" s="27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91"/>
      <c r="AC308" s="2"/>
      <c r="AD308" s="2"/>
      <c r="AE308" s="291"/>
      <c r="AF308" s="2"/>
      <c r="AG308" s="2"/>
      <c r="AH308" s="2"/>
      <c r="AI308" s="29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4.25" customHeight="1" x14ac:dyDescent="0.35">
      <c r="A309" s="2"/>
      <c r="B309" s="2"/>
      <c r="C309" s="2"/>
      <c r="D309" s="2"/>
      <c r="E309" s="2"/>
      <c r="F309" s="2"/>
      <c r="G309" s="27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91"/>
      <c r="AC309" s="2"/>
      <c r="AD309" s="2"/>
      <c r="AE309" s="291"/>
      <c r="AF309" s="2"/>
      <c r="AG309" s="2"/>
      <c r="AH309" s="2"/>
      <c r="AI309" s="29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4.25" customHeight="1" x14ac:dyDescent="0.35">
      <c r="A310" s="2"/>
      <c r="B310" s="2"/>
      <c r="C310" s="2"/>
      <c r="D310" s="2"/>
      <c r="E310" s="2"/>
      <c r="F310" s="2"/>
      <c r="G310" s="27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91"/>
      <c r="AC310" s="2"/>
      <c r="AD310" s="2"/>
      <c r="AE310" s="291"/>
      <c r="AF310" s="2"/>
      <c r="AG310" s="2"/>
      <c r="AH310" s="2"/>
      <c r="AI310" s="29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4.25" customHeight="1" x14ac:dyDescent="0.35">
      <c r="A311" s="2"/>
      <c r="B311" s="2"/>
      <c r="C311" s="2"/>
      <c r="D311" s="2"/>
      <c r="E311" s="2"/>
      <c r="F311" s="2"/>
      <c r="G311" s="27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91"/>
      <c r="AC311" s="2"/>
      <c r="AD311" s="2"/>
      <c r="AE311" s="291"/>
      <c r="AF311" s="2"/>
      <c r="AG311" s="2"/>
      <c r="AH311" s="2"/>
      <c r="AI311" s="29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4.25" customHeight="1" x14ac:dyDescent="0.35">
      <c r="A312" s="2"/>
      <c r="B312" s="2"/>
      <c r="C312" s="2"/>
      <c r="D312" s="2"/>
      <c r="E312" s="2"/>
      <c r="F312" s="2"/>
      <c r="G312" s="27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91"/>
      <c r="AC312" s="2"/>
      <c r="AD312" s="2"/>
      <c r="AE312" s="291"/>
      <c r="AF312" s="2"/>
      <c r="AG312" s="2"/>
      <c r="AH312" s="2"/>
      <c r="AI312" s="29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4.25" customHeight="1" x14ac:dyDescent="0.35">
      <c r="A313" s="2"/>
      <c r="B313" s="2"/>
      <c r="C313" s="2"/>
      <c r="D313" s="2"/>
      <c r="E313" s="2"/>
      <c r="F313" s="2"/>
      <c r="G313" s="27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91"/>
      <c r="AC313" s="2"/>
      <c r="AD313" s="2"/>
      <c r="AE313" s="291"/>
      <c r="AF313" s="2"/>
      <c r="AG313" s="2"/>
      <c r="AH313" s="2"/>
      <c r="AI313" s="29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4.25" customHeight="1" x14ac:dyDescent="0.35">
      <c r="A314" s="2"/>
      <c r="B314" s="2"/>
      <c r="C314" s="2"/>
      <c r="D314" s="2"/>
      <c r="E314" s="2"/>
      <c r="F314" s="2"/>
      <c r="G314" s="27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91"/>
      <c r="AC314" s="2"/>
      <c r="AD314" s="2"/>
      <c r="AE314" s="291"/>
      <c r="AF314" s="2"/>
      <c r="AG314" s="2"/>
      <c r="AH314" s="2"/>
      <c r="AI314" s="29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4.25" customHeight="1" x14ac:dyDescent="0.35">
      <c r="A315" s="2"/>
      <c r="B315" s="2"/>
      <c r="C315" s="2"/>
      <c r="D315" s="2"/>
      <c r="E315" s="2"/>
      <c r="F315" s="2"/>
      <c r="G315" s="27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91"/>
      <c r="AC315" s="2"/>
      <c r="AD315" s="2"/>
      <c r="AE315" s="291"/>
      <c r="AF315" s="2"/>
      <c r="AG315" s="2"/>
      <c r="AH315" s="2"/>
      <c r="AI315" s="29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4.25" customHeight="1" x14ac:dyDescent="0.35">
      <c r="A316" s="2"/>
      <c r="B316" s="2"/>
      <c r="C316" s="2"/>
      <c r="D316" s="2"/>
      <c r="E316" s="2"/>
      <c r="F316" s="2"/>
      <c r="G316" s="27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91"/>
      <c r="AC316" s="2"/>
      <c r="AD316" s="2"/>
      <c r="AE316" s="291"/>
      <c r="AF316" s="2"/>
      <c r="AG316" s="2"/>
      <c r="AH316" s="2"/>
      <c r="AI316" s="29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4.25" customHeight="1" x14ac:dyDescent="0.35">
      <c r="A317" s="2"/>
      <c r="B317" s="2"/>
      <c r="C317" s="2"/>
      <c r="D317" s="2"/>
      <c r="E317" s="2"/>
      <c r="F317" s="2"/>
      <c r="G317" s="27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91"/>
      <c r="AC317" s="2"/>
      <c r="AD317" s="2"/>
      <c r="AE317" s="291"/>
      <c r="AF317" s="2"/>
      <c r="AG317" s="2"/>
      <c r="AH317" s="2"/>
      <c r="AI317" s="29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4.25" customHeight="1" x14ac:dyDescent="0.35">
      <c r="A318" s="2"/>
      <c r="B318" s="2"/>
      <c r="C318" s="2"/>
      <c r="D318" s="2"/>
      <c r="E318" s="2"/>
      <c r="F318" s="2"/>
      <c r="G318" s="27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91"/>
      <c r="AC318" s="2"/>
      <c r="AD318" s="2"/>
      <c r="AE318" s="291"/>
      <c r="AF318" s="2"/>
      <c r="AG318" s="2"/>
      <c r="AH318" s="2"/>
      <c r="AI318" s="29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4.25" customHeight="1" x14ac:dyDescent="0.35">
      <c r="A319" s="2"/>
      <c r="B319" s="2"/>
      <c r="C319" s="2"/>
      <c r="D319" s="2"/>
      <c r="E319" s="2"/>
      <c r="F319" s="2"/>
      <c r="G319" s="27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91"/>
      <c r="AC319" s="2"/>
      <c r="AD319" s="2"/>
      <c r="AE319" s="291"/>
      <c r="AF319" s="2"/>
      <c r="AG319" s="2"/>
      <c r="AH319" s="2"/>
      <c r="AI319" s="29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4.25" customHeight="1" x14ac:dyDescent="0.35">
      <c r="A320" s="2"/>
      <c r="B320" s="2"/>
      <c r="C320" s="2"/>
      <c r="D320" s="2"/>
      <c r="E320" s="2"/>
      <c r="F320" s="2"/>
      <c r="G320" s="27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91"/>
      <c r="AC320" s="2"/>
      <c r="AD320" s="2"/>
      <c r="AE320" s="291"/>
      <c r="AF320" s="2"/>
      <c r="AG320" s="2"/>
      <c r="AH320" s="2"/>
      <c r="AI320" s="29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4.25" customHeight="1" x14ac:dyDescent="0.35">
      <c r="A321" s="2"/>
      <c r="B321" s="2"/>
      <c r="C321" s="2"/>
      <c r="D321" s="2"/>
      <c r="E321" s="2"/>
      <c r="F321" s="2"/>
      <c r="G321" s="27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91"/>
      <c r="AC321" s="2"/>
      <c r="AD321" s="2"/>
      <c r="AE321" s="291"/>
      <c r="AF321" s="2"/>
      <c r="AG321" s="2"/>
      <c r="AH321" s="2"/>
      <c r="AI321" s="29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4.25" customHeight="1" x14ac:dyDescent="0.35">
      <c r="A322" s="2"/>
      <c r="B322" s="2"/>
      <c r="C322" s="2"/>
      <c r="D322" s="2"/>
      <c r="E322" s="2"/>
      <c r="F322" s="2"/>
      <c r="G322" s="27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91"/>
      <c r="AC322" s="2"/>
      <c r="AD322" s="2"/>
      <c r="AE322" s="291"/>
      <c r="AF322" s="2"/>
      <c r="AG322" s="2"/>
      <c r="AH322" s="2"/>
      <c r="AI322" s="29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4.25" customHeight="1" x14ac:dyDescent="0.35">
      <c r="A323" s="2"/>
      <c r="B323" s="2"/>
      <c r="C323" s="2"/>
      <c r="D323" s="2"/>
      <c r="E323" s="2"/>
      <c r="F323" s="2"/>
      <c r="G323" s="27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91"/>
      <c r="AC323" s="2"/>
      <c r="AD323" s="2"/>
      <c r="AE323" s="291"/>
      <c r="AF323" s="2"/>
      <c r="AG323" s="2"/>
      <c r="AH323" s="2"/>
      <c r="AI323" s="29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4.25" customHeight="1" x14ac:dyDescent="0.35">
      <c r="A324" s="2"/>
      <c r="B324" s="2"/>
      <c r="C324" s="2"/>
      <c r="D324" s="2"/>
      <c r="E324" s="2"/>
      <c r="F324" s="2"/>
      <c r="G324" s="27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91"/>
      <c r="AC324" s="2"/>
      <c r="AD324" s="2"/>
      <c r="AE324" s="291"/>
      <c r="AF324" s="2"/>
      <c r="AG324" s="2"/>
      <c r="AH324" s="2"/>
      <c r="AI324" s="29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4.25" customHeight="1" x14ac:dyDescent="0.35">
      <c r="A325" s="2"/>
      <c r="B325" s="2"/>
      <c r="C325" s="2"/>
      <c r="D325" s="2"/>
      <c r="E325" s="2"/>
      <c r="F325" s="2"/>
      <c r="G325" s="27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91"/>
      <c r="AC325" s="2"/>
      <c r="AD325" s="2"/>
      <c r="AE325" s="291"/>
      <c r="AF325" s="2"/>
      <c r="AG325" s="2"/>
      <c r="AH325" s="2"/>
      <c r="AI325" s="29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4.25" customHeight="1" x14ac:dyDescent="0.35">
      <c r="A326" s="2"/>
      <c r="B326" s="2"/>
      <c r="C326" s="2"/>
      <c r="D326" s="2"/>
      <c r="E326" s="2"/>
      <c r="F326" s="2"/>
      <c r="G326" s="27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91"/>
      <c r="AC326" s="2"/>
      <c r="AD326" s="2"/>
      <c r="AE326" s="291"/>
      <c r="AF326" s="2"/>
      <c r="AG326" s="2"/>
      <c r="AH326" s="2"/>
      <c r="AI326" s="29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4.25" customHeight="1" x14ac:dyDescent="0.35">
      <c r="A327" s="2"/>
      <c r="B327" s="2"/>
      <c r="C327" s="2"/>
      <c r="D327" s="2"/>
      <c r="E327" s="2"/>
      <c r="F327" s="2"/>
      <c r="G327" s="27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91"/>
      <c r="AC327" s="2"/>
      <c r="AD327" s="2"/>
      <c r="AE327" s="291"/>
      <c r="AF327" s="2"/>
      <c r="AG327" s="2"/>
      <c r="AH327" s="2"/>
      <c r="AI327" s="29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4.25" customHeight="1" x14ac:dyDescent="0.35">
      <c r="A328" s="2"/>
      <c r="B328" s="2"/>
      <c r="C328" s="2"/>
      <c r="D328" s="2"/>
      <c r="E328" s="2"/>
      <c r="F328" s="2"/>
      <c r="G328" s="27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91"/>
      <c r="AC328" s="2"/>
      <c r="AD328" s="2"/>
      <c r="AE328" s="291"/>
      <c r="AF328" s="2"/>
      <c r="AG328" s="2"/>
      <c r="AH328" s="2"/>
      <c r="AI328" s="29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4.25" customHeight="1" x14ac:dyDescent="0.35">
      <c r="A329" s="2"/>
      <c r="B329" s="2"/>
      <c r="C329" s="2"/>
      <c r="D329" s="2"/>
      <c r="E329" s="2"/>
      <c r="F329" s="2"/>
      <c r="G329" s="27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91"/>
      <c r="AC329" s="2"/>
      <c r="AD329" s="2"/>
      <c r="AE329" s="291"/>
      <c r="AF329" s="2"/>
      <c r="AG329" s="2"/>
      <c r="AH329" s="2"/>
      <c r="AI329" s="29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4.25" customHeight="1" x14ac:dyDescent="0.35">
      <c r="A330" s="2"/>
      <c r="B330" s="2"/>
      <c r="C330" s="2"/>
      <c r="D330" s="2"/>
      <c r="E330" s="2"/>
      <c r="F330" s="2"/>
      <c r="G330" s="27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91"/>
      <c r="AC330" s="2"/>
      <c r="AD330" s="2"/>
      <c r="AE330" s="291"/>
      <c r="AF330" s="2"/>
      <c r="AG330" s="2"/>
      <c r="AH330" s="2"/>
      <c r="AI330" s="29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4.25" customHeight="1" x14ac:dyDescent="0.35">
      <c r="A331" s="2"/>
      <c r="B331" s="2"/>
      <c r="C331" s="2"/>
      <c r="D331" s="2"/>
      <c r="E331" s="2"/>
      <c r="F331" s="2"/>
      <c r="G331" s="27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91"/>
      <c r="AC331" s="2"/>
      <c r="AD331" s="2"/>
      <c r="AE331" s="291"/>
      <c r="AF331" s="2"/>
      <c r="AG331" s="2"/>
      <c r="AH331" s="2"/>
      <c r="AI331" s="29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4.25" customHeight="1" x14ac:dyDescent="0.35">
      <c r="A332" s="2"/>
      <c r="B332" s="2"/>
      <c r="C332" s="2"/>
      <c r="D332" s="2"/>
      <c r="E332" s="2"/>
      <c r="F332" s="2"/>
      <c r="G332" s="27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91"/>
      <c r="AC332" s="2"/>
      <c r="AD332" s="2"/>
      <c r="AE332" s="291"/>
      <c r="AF332" s="2"/>
      <c r="AG332" s="2"/>
      <c r="AH332" s="2"/>
      <c r="AI332" s="29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4.25" customHeight="1" x14ac:dyDescent="0.35">
      <c r="A333" s="2"/>
      <c r="B333" s="2"/>
      <c r="C333" s="2"/>
      <c r="D333" s="2"/>
      <c r="E333" s="2"/>
      <c r="F333" s="2"/>
      <c r="G333" s="27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91"/>
      <c r="AC333" s="2"/>
      <c r="AD333" s="2"/>
      <c r="AE333" s="291"/>
      <c r="AF333" s="2"/>
      <c r="AG333" s="2"/>
      <c r="AH333" s="2"/>
      <c r="AI333" s="29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4.25" customHeight="1" x14ac:dyDescent="0.35">
      <c r="A334" s="2"/>
      <c r="B334" s="2"/>
      <c r="C334" s="2"/>
      <c r="D334" s="2"/>
      <c r="E334" s="2"/>
      <c r="F334" s="2"/>
      <c r="G334" s="27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91"/>
      <c r="AC334" s="2"/>
      <c r="AD334" s="2"/>
      <c r="AE334" s="291"/>
      <c r="AF334" s="2"/>
      <c r="AG334" s="2"/>
      <c r="AH334" s="2"/>
      <c r="AI334" s="29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4.25" customHeight="1" x14ac:dyDescent="0.35">
      <c r="A335" s="2"/>
      <c r="B335" s="2"/>
      <c r="C335" s="2"/>
      <c r="D335" s="2"/>
      <c r="E335" s="2"/>
      <c r="F335" s="2"/>
      <c r="G335" s="27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91"/>
      <c r="AC335" s="2"/>
      <c r="AD335" s="2"/>
      <c r="AE335" s="291"/>
      <c r="AF335" s="2"/>
      <c r="AG335" s="2"/>
      <c r="AH335" s="2"/>
      <c r="AI335" s="29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4.25" customHeight="1" x14ac:dyDescent="0.35">
      <c r="A336" s="2"/>
      <c r="B336" s="2"/>
      <c r="C336" s="2"/>
      <c r="D336" s="2"/>
      <c r="E336" s="2"/>
      <c r="F336" s="2"/>
      <c r="G336" s="27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91"/>
      <c r="AC336" s="2"/>
      <c r="AD336" s="2"/>
      <c r="AE336" s="291"/>
      <c r="AF336" s="2"/>
      <c r="AG336" s="2"/>
      <c r="AH336" s="2"/>
      <c r="AI336" s="29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4.25" customHeight="1" x14ac:dyDescent="0.35">
      <c r="A337" s="2"/>
      <c r="B337" s="2"/>
      <c r="C337" s="2"/>
      <c r="D337" s="2"/>
      <c r="E337" s="2"/>
      <c r="F337" s="2"/>
      <c r="G337" s="27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91"/>
      <c r="AC337" s="2"/>
      <c r="AD337" s="2"/>
      <c r="AE337" s="291"/>
      <c r="AF337" s="2"/>
      <c r="AG337" s="2"/>
      <c r="AH337" s="2"/>
      <c r="AI337" s="29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4.25" customHeight="1" x14ac:dyDescent="0.35">
      <c r="A338" s="2"/>
      <c r="B338" s="2"/>
      <c r="C338" s="2"/>
      <c r="D338" s="2"/>
      <c r="E338" s="2"/>
      <c r="F338" s="2"/>
      <c r="G338" s="27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91"/>
      <c r="AC338" s="2"/>
      <c r="AD338" s="2"/>
      <c r="AE338" s="291"/>
      <c r="AF338" s="2"/>
      <c r="AG338" s="2"/>
      <c r="AH338" s="2"/>
      <c r="AI338" s="29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4.25" customHeight="1" x14ac:dyDescent="0.35">
      <c r="A339" s="2"/>
      <c r="B339" s="2"/>
      <c r="C339" s="2"/>
      <c r="D339" s="2"/>
      <c r="E339" s="2"/>
      <c r="F339" s="2"/>
      <c r="G339" s="27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91"/>
      <c r="AC339" s="2"/>
      <c r="AD339" s="2"/>
      <c r="AE339" s="291"/>
      <c r="AF339" s="2"/>
      <c r="AG339" s="2"/>
      <c r="AH339" s="2"/>
      <c r="AI339" s="29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4.25" customHeight="1" x14ac:dyDescent="0.35">
      <c r="A340" s="2"/>
      <c r="B340" s="2"/>
      <c r="C340" s="2"/>
      <c r="D340" s="2"/>
      <c r="E340" s="2"/>
      <c r="F340" s="2"/>
      <c r="G340" s="27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91"/>
      <c r="AC340" s="2"/>
      <c r="AD340" s="2"/>
      <c r="AE340" s="291"/>
      <c r="AF340" s="2"/>
      <c r="AG340" s="2"/>
      <c r="AH340" s="2"/>
      <c r="AI340" s="29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4.25" customHeight="1" x14ac:dyDescent="0.35">
      <c r="A341" s="2"/>
      <c r="B341" s="2"/>
      <c r="C341" s="2"/>
      <c r="D341" s="2"/>
      <c r="E341" s="2"/>
      <c r="F341" s="2"/>
      <c r="G341" s="27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91"/>
      <c r="AC341" s="2"/>
      <c r="AD341" s="2"/>
      <c r="AE341" s="291"/>
      <c r="AF341" s="2"/>
      <c r="AG341" s="2"/>
      <c r="AH341" s="2"/>
      <c r="AI341" s="29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4.25" customHeight="1" x14ac:dyDescent="0.35">
      <c r="A342" s="2"/>
      <c r="B342" s="2"/>
      <c r="C342" s="2"/>
      <c r="D342" s="2"/>
      <c r="E342" s="2"/>
      <c r="F342" s="2"/>
      <c r="G342" s="27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91"/>
      <c r="AC342" s="2"/>
      <c r="AD342" s="2"/>
      <c r="AE342" s="291"/>
      <c r="AF342" s="2"/>
      <c r="AG342" s="2"/>
      <c r="AH342" s="2"/>
      <c r="AI342" s="29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4.25" customHeight="1" x14ac:dyDescent="0.35">
      <c r="A343" s="2"/>
      <c r="B343" s="2"/>
      <c r="C343" s="2"/>
      <c r="D343" s="2"/>
      <c r="E343" s="2"/>
      <c r="F343" s="2"/>
      <c r="G343" s="27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91"/>
      <c r="AC343" s="2"/>
      <c r="AD343" s="2"/>
      <c r="AE343" s="291"/>
      <c r="AF343" s="2"/>
      <c r="AG343" s="2"/>
      <c r="AH343" s="2"/>
      <c r="AI343" s="29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4.25" customHeight="1" x14ac:dyDescent="0.35">
      <c r="A344" s="2"/>
      <c r="B344" s="2"/>
      <c r="C344" s="2"/>
      <c r="D344" s="2"/>
      <c r="E344" s="2"/>
      <c r="F344" s="2"/>
      <c r="G344" s="27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91"/>
      <c r="AC344" s="2"/>
      <c r="AD344" s="2"/>
      <c r="AE344" s="291"/>
      <c r="AF344" s="2"/>
      <c r="AG344" s="2"/>
      <c r="AH344" s="2"/>
      <c r="AI344" s="29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4.25" customHeight="1" x14ac:dyDescent="0.35">
      <c r="A345" s="2"/>
      <c r="B345" s="2"/>
      <c r="C345" s="2"/>
      <c r="D345" s="2"/>
      <c r="E345" s="2"/>
      <c r="F345" s="2"/>
      <c r="G345" s="27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91"/>
      <c r="AC345" s="2"/>
      <c r="AD345" s="2"/>
      <c r="AE345" s="291"/>
      <c r="AF345" s="2"/>
      <c r="AG345" s="2"/>
      <c r="AH345" s="2"/>
      <c r="AI345" s="29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4.25" customHeight="1" x14ac:dyDescent="0.35">
      <c r="A346" s="2"/>
      <c r="B346" s="2"/>
      <c r="C346" s="2"/>
      <c r="D346" s="2"/>
      <c r="E346" s="2"/>
      <c r="F346" s="2"/>
      <c r="G346" s="27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91"/>
      <c r="AC346" s="2"/>
      <c r="AD346" s="2"/>
      <c r="AE346" s="291"/>
      <c r="AF346" s="2"/>
      <c r="AG346" s="2"/>
      <c r="AH346" s="2"/>
      <c r="AI346" s="29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4.25" customHeight="1" x14ac:dyDescent="0.35">
      <c r="A347" s="2"/>
      <c r="B347" s="2"/>
      <c r="C347" s="2"/>
      <c r="D347" s="2"/>
      <c r="E347" s="2"/>
      <c r="F347" s="2"/>
      <c r="G347" s="27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91"/>
      <c r="AC347" s="2"/>
      <c r="AD347" s="2"/>
      <c r="AE347" s="291"/>
      <c r="AF347" s="2"/>
      <c r="AG347" s="2"/>
      <c r="AH347" s="2"/>
      <c r="AI347" s="29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4.25" customHeight="1" x14ac:dyDescent="0.35">
      <c r="A348" s="2"/>
      <c r="B348" s="2"/>
      <c r="C348" s="2"/>
      <c r="D348" s="2"/>
      <c r="E348" s="2"/>
      <c r="F348" s="2"/>
      <c r="G348" s="27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91"/>
      <c r="AC348" s="2"/>
      <c r="AD348" s="2"/>
      <c r="AE348" s="291"/>
      <c r="AF348" s="2"/>
      <c r="AG348" s="2"/>
      <c r="AH348" s="2"/>
      <c r="AI348" s="29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4.25" customHeight="1" x14ac:dyDescent="0.35">
      <c r="A349" s="2"/>
      <c r="B349" s="2"/>
      <c r="C349" s="2"/>
      <c r="D349" s="2"/>
      <c r="E349" s="2"/>
      <c r="F349" s="2"/>
      <c r="G349" s="27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91"/>
      <c r="AC349" s="2"/>
      <c r="AD349" s="2"/>
      <c r="AE349" s="291"/>
      <c r="AF349" s="2"/>
      <c r="AG349" s="2"/>
      <c r="AH349" s="2"/>
      <c r="AI349" s="29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4.25" customHeight="1" x14ac:dyDescent="0.35">
      <c r="A350" s="2"/>
      <c r="B350" s="2"/>
      <c r="C350" s="2"/>
      <c r="D350" s="2"/>
      <c r="E350" s="2"/>
      <c r="F350" s="2"/>
      <c r="G350" s="27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91"/>
      <c r="AC350" s="2"/>
      <c r="AD350" s="2"/>
      <c r="AE350" s="291"/>
      <c r="AF350" s="2"/>
      <c r="AG350" s="2"/>
      <c r="AH350" s="2"/>
      <c r="AI350" s="29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4.25" customHeight="1" x14ac:dyDescent="0.35">
      <c r="A351" s="2"/>
      <c r="B351" s="2"/>
      <c r="C351" s="2"/>
      <c r="D351" s="2"/>
      <c r="E351" s="2"/>
      <c r="F351" s="2"/>
      <c r="G351" s="27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91"/>
      <c r="AC351" s="2"/>
      <c r="AD351" s="2"/>
      <c r="AE351" s="291"/>
      <c r="AF351" s="2"/>
      <c r="AG351" s="2"/>
      <c r="AH351" s="2"/>
      <c r="AI351" s="29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4.25" customHeight="1" x14ac:dyDescent="0.35">
      <c r="A352" s="2"/>
      <c r="B352" s="2"/>
      <c r="C352" s="2"/>
      <c r="D352" s="2"/>
      <c r="E352" s="2"/>
      <c r="F352" s="2"/>
      <c r="G352" s="27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91"/>
      <c r="AC352" s="2"/>
      <c r="AD352" s="2"/>
      <c r="AE352" s="291"/>
      <c r="AF352" s="2"/>
      <c r="AG352" s="2"/>
      <c r="AH352" s="2"/>
      <c r="AI352" s="29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4.25" customHeight="1" x14ac:dyDescent="0.35">
      <c r="A353" s="2"/>
      <c r="B353" s="2"/>
      <c r="C353" s="2"/>
      <c r="D353" s="2"/>
      <c r="E353" s="2"/>
      <c r="F353" s="2"/>
      <c r="G353" s="27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91"/>
      <c r="AC353" s="2"/>
      <c r="AD353" s="2"/>
      <c r="AE353" s="291"/>
      <c r="AF353" s="2"/>
      <c r="AG353" s="2"/>
      <c r="AH353" s="2"/>
      <c r="AI353" s="29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4.25" customHeight="1" x14ac:dyDescent="0.35">
      <c r="A354" s="2"/>
      <c r="B354" s="2"/>
      <c r="C354" s="2"/>
      <c r="D354" s="2"/>
      <c r="E354" s="2"/>
      <c r="F354" s="2"/>
      <c r="G354" s="27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91"/>
      <c r="AC354" s="2"/>
      <c r="AD354" s="2"/>
      <c r="AE354" s="291"/>
      <c r="AF354" s="2"/>
      <c r="AG354" s="2"/>
      <c r="AH354" s="2"/>
      <c r="AI354" s="29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14.25" customHeight="1" x14ac:dyDescent="0.35">
      <c r="A355" s="2"/>
      <c r="B355" s="2"/>
      <c r="C355" s="2"/>
      <c r="D355" s="2"/>
      <c r="E355" s="2"/>
      <c r="F355" s="2"/>
      <c r="G355" s="27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91"/>
      <c r="AC355" s="2"/>
      <c r="AD355" s="2"/>
      <c r="AE355" s="291"/>
      <c r="AF355" s="2"/>
      <c r="AG355" s="2"/>
      <c r="AH355" s="2"/>
      <c r="AI355" s="29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14.25" customHeight="1" x14ac:dyDescent="0.35">
      <c r="A356" s="2"/>
      <c r="B356" s="2"/>
      <c r="C356" s="2"/>
      <c r="D356" s="2"/>
      <c r="E356" s="2"/>
      <c r="F356" s="2"/>
      <c r="G356" s="27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91"/>
      <c r="AC356" s="2"/>
      <c r="AD356" s="2"/>
      <c r="AE356" s="291"/>
      <c r="AF356" s="2"/>
      <c r="AG356" s="2"/>
      <c r="AH356" s="2"/>
      <c r="AI356" s="29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14.25" customHeight="1" x14ac:dyDescent="0.35">
      <c r="A357" s="2"/>
      <c r="B357" s="2"/>
      <c r="C357" s="2"/>
      <c r="D357" s="2"/>
      <c r="E357" s="2"/>
      <c r="F357" s="2"/>
      <c r="G357" s="27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91"/>
      <c r="AC357" s="2"/>
      <c r="AD357" s="2"/>
      <c r="AE357" s="291"/>
      <c r="AF357" s="2"/>
      <c r="AG357" s="2"/>
      <c r="AH357" s="2"/>
      <c r="AI357" s="29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14.25" customHeight="1" x14ac:dyDescent="0.35">
      <c r="A358" s="2"/>
      <c r="B358" s="2"/>
      <c r="C358" s="2"/>
      <c r="D358" s="2"/>
      <c r="E358" s="2"/>
      <c r="F358" s="2"/>
      <c r="G358" s="27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91"/>
      <c r="AC358" s="2"/>
      <c r="AD358" s="2"/>
      <c r="AE358" s="291"/>
      <c r="AF358" s="2"/>
      <c r="AG358" s="2"/>
      <c r="AH358" s="2"/>
      <c r="AI358" s="29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14.25" customHeight="1" x14ac:dyDescent="0.35">
      <c r="A359" s="2"/>
      <c r="B359" s="2"/>
      <c r="C359" s="2"/>
      <c r="D359" s="2"/>
      <c r="E359" s="2"/>
      <c r="F359" s="2"/>
      <c r="G359" s="27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91"/>
      <c r="AC359" s="2"/>
      <c r="AD359" s="2"/>
      <c r="AE359" s="291"/>
      <c r="AF359" s="2"/>
      <c r="AG359" s="2"/>
      <c r="AH359" s="2"/>
      <c r="AI359" s="29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14.25" customHeight="1" x14ac:dyDescent="0.35">
      <c r="A360" s="2"/>
      <c r="B360" s="2"/>
      <c r="C360" s="2"/>
      <c r="D360" s="2"/>
      <c r="E360" s="2"/>
      <c r="F360" s="2"/>
      <c r="G360" s="27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91"/>
      <c r="AC360" s="2"/>
      <c r="AD360" s="2"/>
      <c r="AE360" s="291"/>
      <c r="AF360" s="2"/>
      <c r="AG360" s="2"/>
      <c r="AH360" s="2"/>
      <c r="AI360" s="29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14.25" customHeight="1" x14ac:dyDescent="0.35">
      <c r="A361" s="2"/>
      <c r="B361" s="2"/>
      <c r="C361" s="2"/>
      <c r="D361" s="2"/>
      <c r="E361" s="2"/>
      <c r="F361" s="2"/>
      <c r="G361" s="27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91"/>
      <c r="AC361" s="2"/>
      <c r="AD361" s="2"/>
      <c r="AE361" s="291"/>
      <c r="AF361" s="2"/>
      <c r="AG361" s="2"/>
      <c r="AH361" s="2"/>
      <c r="AI361" s="29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14.25" customHeight="1" x14ac:dyDescent="0.35">
      <c r="A362" s="2"/>
      <c r="B362" s="2"/>
      <c r="C362" s="2"/>
      <c r="D362" s="2"/>
      <c r="E362" s="2"/>
      <c r="F362" s="2"/>
      <c r="G362" s="27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91"/>
      <c r="AC362" s="2"/>
      <c r="AD362" s="2"/>
      <c r="AE362" s="291"/>
      <c r="AF362" s="2"/>
      <c r="AG362" s="2"/>
      <c r="AH362" s="2"/>
      <c r="AI362" s="29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14.25" customHeight="1" x14ac:dyDescent="0.35">
      <c r="A363" s="2"/>
      <c r="B363" s="2"/>
      <c r="C363" s="2"/>
      <c r="D363" s="2"/>
      <c r="E363" s="2"/>
      <c r="F363" s="2"/>
      <c r="G363" s="27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91"/>
      <c r="AC363" s="2"/>
      <c r="AD363" s="2"/>
      <c r="AE363" s="291"/>
      <c r="AF363" s="2"/>
      <c r="AG363" s="2"/>
      <c r="AH363" s="2"/>
      <c r="AI363" s="29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14.25" customHeight="1" x14ac:dyDescent="0.35">
      <c r="A364" s="2"/>
      <c r="B364" s="2"/>
      <c r="C364" s="2"/>
      <c r="D364" s="2"/>
      <c r="E364" s="2"/>
      <c r="F364" s="2"/>
      <c r="G364" s="27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91"/>
      <c r="AC364" s="2"/>
      <c r="AD364" s="2"/>
      <c r="AE364" s="291"/>
      <c r="AF364" s="2"/>
      <c r="AG364" s="2"/>
      <c r="AH364" s="2"/>
      <c r="AI364" s="29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14.25" customHeight="1" x14ac:dyDescent="0.35">
      <c r="A365" s="2"/>
      <c r="B365" s="2"/>
      <c r="C365" s="2"/>
      <c r="D365" s="2"/>
      <c r="E365" s="2"/>
      <c r="F365" s="2"/>
      <c r="G365" s="27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91"/>
      <c r="AC365" s="2"/>
      <c r="AD365" s="2"/>
      <c r="AE365" s="291"/>
      <c r="AF365" s="2"/>
      <c r="AG365" s="2"/>
      <c r="AH365" s="2"/>
      <c r="AI365" s="29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14.25" customHeight="1" x14ac:dyDescent="0.35">
      <c r="A366" s="2"/>
      <c r="B366" s="2"/>
      <c r="C366" s="2"/>
      <c r="D366" s="2"/>
      <c r="E366" s="2"/>
      <c r="F366" s="2"/>
      <c r="G366" s="27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91"/>
      <c r="AC366" s="2"/>
      <c r="AD366" s="2"/>
      <c r="AE366" s="291"/>
      <c r="AF366" s="2"/>
      <c r="AG366" s="2"/>
      <c r="AH366" s="2"/>
      <c r="AI366" s="29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14.25" customHeight="1" x14ac:dyDescent="0.35">
      <c r="A367" s="2"/>
      <c r="B367" s="2"/>
      <c r="C367" s="2"/>
      <c r="D367" s="2"/>
      <c r="E367" s="2"/>
      <c r="F367" s="2"/>
      <c r="G367" s="27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91"/>
      <c r="AC367" s="2"/>
      <c r="AD367" s="2"/>
      <c r="AE367" s="291"/>
      <c r="AF367" s="2"/>
      <c r="AG367" s="2"/>
      <c r="AH367" s="2"/>
      <c r="AI367" s="29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14.25" customHeight="1" x14ac:dyDescent="0.35">
      <c r="A368" s="2"/>
      <c r="B368" s="2"/>
      <c r="C368" s="2"/>
      <c r="D368" s="2"/>
      <c r="E368" s="2"/>
      <c r="F368" s="2"/>
      <c r="G368" s="27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91"/>
      <c r="AC368" s="2"/>
      <c r="AD368" s="2"/>
      <c r="AE368" s="291"/>
      <c r="AF368" s="2"/>
      <c r="AG368" s="2"/>
      <c r="AH368" s="2"/>
      <c r="AI368" s="29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14.25" customHeight="1" x14ac:dyDescent="0.35">
      <c r="A369" s="2"/>
      <c r="B369" s="2"/>
      <c r="C369" s="2"/>
      <c r="D369" s="2"/>
      <c r="E369" s="2"/>
      <c r="F369" s="2"/>
      <c r="G369" s="27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91"/>
      <c r="AC369" s="2"/>
      <c r="AD369" s="2"/>
      <c r="AE369" s="291"/>
      <c r="AF369" s="2"/>
      <c r="AG369" s="2"/>
      <c r="AH369" s="2"/>
      <c r="AI369" s="29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14.25" customHeight="1" x14ac:dyDescent="0.35">
      <c r="A370" s="2"/>
      <c r="B370" s="2"/>
      <c r="C370" s="2"/>
      <c r="D370" s="2"/>
      <c r="E370" s="2"/>
      <c r="F370" s="2"/>
      <c r="G370" s="27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91"/>
      <c r="AC370" s="2"/>
      <c r="AD370" s="2"/>
      <c r="AE370" s="291"/>
      <c r="AF370" s="2"/>
      <c r="AG370" s="2"/>
      <c r="AH370" s="2"/>
      <c r="AI370" s="29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14.25" customHeight="1" x14ac:dyDescent="0.35">
      <c r="A371" s="2"/>
      <c r="B371" s="2"/>
      <c r="C371" s="2"/>
      <c r="D371" s="2"/>
      <c r="E371" s="2"/>
      <c r="F371" s="2"/>
      <c r="G371" s="27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91"/>
      <c r="AC371" s="2"/>
      <c r="AD371" s="2"/>
      <c r="AE371" s="291"/>
      <c r="AF371" s="2"/>
      <c r="AG371" s="2"/>
      <c r="AH371" s="2"/>
      <c r="AI371" s="29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14.25" customHeight="1" x14ac:dyDescent="0.35">
      <c r="A372" s="2"/>
      <c r="B372" s="2"/>
      <c r="C372" s="2"/>
      <c r="D372" s="2"/>
      <c r="E372" s="2"/>
      <c r="F372" s="2"/>
      <c r="G372" s="27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91"/>
      <c r="AC372" s="2"/>
      <c r="AD372" s="2"/>
      <c r="AE372" s="291"/>
      <c r="AF372" s="2"/>
      <c r="AG372" s="2"/>
      <c r="AH372" s="2"/>
      <c r="AI372" s="29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14.25" customHeight="1" x14ac:dyDescent="0.35">
      <c r="A373" s="2"/>
      <c r="B373" s="2"/>
      <c r="C373" s="2"/>
      <c r="D373" s="2"/>
      <c r="E373" s="2"/>
      <c r="F373" s="2"/>
      <c r="G373" s="27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91"/>
      <c r="AC373" s="2"/>
      <c r="AD373" s="2"/>
      <c r="AE373" s="291"/>
      <c r="AF373" s="2"/>
      <c r="AG373" s="2"/>
      <c r="AH373" s="2"/>
      <c r="AI373" s="29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14.25" customHeight="1" x14ac:dyDescent="0.35">
      <c r="A374" s="2"/>
      <c r="B374" s="2"/>
      <c r="C374" s="2"/>
      <c r="D374" s="2"/>
      <c r="E374" s="2"/>
      <c r="F374" s="2"/>
      <c r="G374" s="27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91"/>
      <c r="AC374" s="2"/>
      <c r="AD374" s="2"/>
      <c r="AE374" s="291"/>
      <c r="AF374" s="2"/>
      <c r="AG374" s="2"/>
      <c r="AH374" s="2"/>
      <c r="AI374" s="29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14.25" customHeight="1" x14ac:dyDescent="0.35">
      <c r="A375" s="2"/>
      <c r="B375" s="2"/>
      <c r="C375" s="2"/>
      <c r="D375" s="2"/>
      <c r="E375" s="2"/>
      <c r="F375" s="2"/>
      <c r="G375" s="27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91"/>
      <c r="AC375" s="2"/>
      <c r="AD375" s="2"/>
      <c r="AE375" s="291"/>
      <c r="AF375" s="2"/>
      <c r="AG375" s="2"/>
      <c r="AH375" s="2"/>
      <c r="AI375" s="29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14.25" customHeight="1" x14ac:dyDescent="0.35">
      <c r="A376" s="2"/>
      <c r="B376" s="2"/>
      <c r="C376" s="2"/>
      <c r="D376" s="2"/>
      <c r="E376" s="2"/>
      <c r="F376" s="2"/>
      <c r="G376" s="27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91"/>
      <c r="AC376" s="2"/>
      <c r="AD376" s="2"/>
      <c r="AE376" s="291"/>
      <c r="AF376" s="2"/>
      <c r="AG376" s="2"/>
      <c r="AH376" s="2"/>
      <c r="AI376" s="29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14.25" customHeight="1" x14ac:dyDescent="0.35">
      <c r="A377" s="2"/>
      <c r="B377" s="2"/>
      <c r="C377" s="2"/>
      <c r="D377" s="2"/>
      <c r="E377" s="2"/>
      <c r="F377" s="2"/>
      <c r="G377" s="27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91"/>
      <c r="AC377" s="2"/>
      <c r="AD377" s="2"/>
      <c r="AE377" s="291"/>
      <c r="AF377" s="2"/>
      <c r="AG377" s="2"/>
      <c r="AH377" s="2"/>
      <c r="AI377" s="29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14.25" customHeight="1" x14ac:dyDescent="0.35">
      <c r="A378" s="2"/>
      <c r="B378" s="2"/>
      <c r="C378" s="2"/>
      <c r="D378" s="2"/>
      <c r="E378" s="2"/>
      <c r="F378" s="2"/>
      <c r="G378" s="27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91"/>
      <c r="AC378" s="2"/>
      <c r="AD378" s="2"/>
      <c r="AE378" s="291"/>
      <c r="AF378" s="2"/>
      <c r="AG378" s="2"/>
      <c r="AH378" s="2"/>
      <c r="AI378" s="29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14.25" customHeight="1" x14ac:dyDescent="0.35">
      <c r="A379" s="2"/>
      <c r="B379" s="2"/>
      <c r="C379" s="2"/>
      <c r="D379" s="2"/>
      <c r="E379" s="2"/>
      <c r="F379" s="2"/>
      <c r="G379" s="27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91"/>
      <c r="AC379" s="2"/>
      <c r="AD379" s="2"/>
      <c r="AE379" s="291"/>
      <c r="AF379" s="2"/>
      <c r="AG379" s="2"/>
      <c r="AH379" s="2"/>
      <c r="AI379" s="29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14.25" customHeight="1" x14ac:dyDescent="0.35">
      <c r="A380" s="2"/>
      <c r="B380" s="2"/>
      <c r="C380" s="2"/>
      <c r="D380" s="2"/>
      <c r="E380" s="2"/>
      <c r="F380" s="2"/>
      <c r="G380" s="27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91"/>
      <c r="AC380" s="2"/>
      <c r="AD380" s="2"/>
      <c r="AE380" s="291"/>
      <c r="AF380" s="2"/>
      <c r="AG380" s="2"/>
      <c r="AH380" s="2"/>
      <c r="AI380" s="29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14.25" customHeight="1" x14ac:dyDescent="0.35">
      <c r="A381" s="2"/>
      <c r="B381" s="2"/>
      <c r="C381" s="2"/>
      <c r="D381" s="2"/>
      <c r="E381" s="2"/>
      <c r="F381" s="2"/>
      <c r="G381" s="27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91"/>
      <c r="AC381" s="2"/>
      <c r="AD381" s="2"/>
      <c r="AE381" s="291"/>
      <c r="AF381" s="2"/>
      <c r="AG381" s="2"/>
      <c r="AH381" s="2"/>
      <c r="AI381" s="29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14.25" customHeight="1" x14ac:dyDescent="0.35">
      <c r="A382" s="2"/>
      <c r="B382" s="2"/>
      <c r="C382" s="2"/>
      <c r="D382" s="2"/>
      <c r="E382" s="2"/>
      <c r="F382" s="2"/>
      <c r="G382" s="27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91"/>
      <c r="AC382" s="2"/>
      <c r="AD382" s="2"/>
      <c r="AE382" s="291"/>
      <c r="AF382" s="2"/>
      <c r="AG382" s="2"/>
      <c r="AH382" s="2"/>
      <c r="AI382" s="29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14.25" customHeight="1" x14ac:dyDescent="0.35">
      <c r="A383" s="2"/>
      <c r="B383" s="2"/>
      <c r="C383" s="2"/>
      <c r="D383" s="2"/>
      <c r="E383" s="2"/>
      <c r="F383" s="2"/>
      <c r="G383" s="27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91"/>
      <c r="AC383" s="2"/>
      <c r="AD383" s="2"/>
      <c r="AE383" s="291"/>
      <c r="AF383" s="2"/>
      <c r="AG383" s="2"/>
      <c r="AH383" s="2"/>
      <c r="AI383" s="29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14.25" customHeight="1" x14ac:dyDescent="0.35">
      <c r="A384" s="2"/>
      <c r="B384" s="2"/>
      <c r="C384" s="2"/>
      <c r="D384" s="2"/>
      <c r="E384" s="2"/>
      <c r="F384" s="2"/>
      <c r="G384" s="27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91"/>
      <c r="AC384" s="2"/>
      <c r="AD384" s="2"/>
      <c r="AE384" s="291"/>
      <c r="AF384" s="2"/>
      <c r="AG384" s="2"/>
      <c r="AH384" s="2"/>
      <c r="AI384" s="29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14.25" customHeight="1" x14ac:dyDescent="0.35">
      <c r="A385" s="2"/>
      <c r="B385" s="2"/>
      <c r="C385" s="2"/>
      <c r="D385" s="2"/>
      <c r="E385" s="2"/>
      <c r="F385" s="2"/>
      <c r="G385" s="27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91"/>
      <c r="AC385" s="2"/>
      <c r="AD385" s="2"/>
      <c r="AE385" s="291"/>
      <c r="AF385" s="2"/>
      <c r="AG385" s="2"/>
      <c r="AH385" s="2"/>
      <c r="AI385" s="29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14.25" customHeight="1" x14ac:dyDescent="0.35">
      <c r="A386" s="2"/>
      <c r="B386" s="2"/>
      <c r="C386" s="2"/>
      <c r="D386" s="2"/>
      <c r="E386" s="2"/>
      <c r="F386" s="2"/>
      <c r="G386" s="27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91"/>
      <c r="AC386" s="2"/>
      <c r="AD386" s="2"/>
      <c r="AE386" s="291"/>
      <c r="AF386" s="2"/>
      <c r="AG386" s="2"/>
      <c r="AH386" s="2"/>
      <c r="AI386" s="29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14.25" customHeight="1" x14ac:dyDescent="0.35">
      <c r="A387" s="2"/>
      <c r="B387" s="2"/>
      <c r="C387" s="2"/>
      <c r="D387" s="2"/>
      <c r="E387" s="2"/>
      <c r="F387" s="2"/>
      <c r="G387" s="27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91"/>
      <c r="AC387" s="2"/>
      <c r="AD387" s="2"/>
      <c r="AE387" s="291"/>
      <c r="AF387" s="2"/>
      <c r="AG387" s="2"/>
      <c r="AH387" s="2"/>
      <c r="AI387" s="29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14.25" customHeight="1" x14ac:dyDescent="0.35">
      <c r="A388" s="2"/>
      <c r="B388" s="2"/>
      <c r="C388" s="2"/>
      <c r="D388" s="2"/>
      <c r="E388" s="2"/>
      <c r="F388" s="2"/>
      <c r="G388" s="27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91"/>
      <c r="AC388" s="2"/>
      <c r="AD388" s="2"/>
      <c r="AE388" s="291"/>
      <c r="AF388" s="2"/>
      <c r="AG388" s="2"/>
      <c r="AH388" s="2"/>
      <c r="AI388" s="29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14.25" customHeight="1" x14ac:dyDescent="0.35">
      <c r="A389" s="2"/>
      <c r="B389" s="2"/>
      <c r="C389" s="2"/>
      <c r="D389" s="2"/>
      <c r="E389" s="2"/>
      <c r="F389" s="2"/>
      <c r="G389" s="27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91"/>
      <c r="AC389" s="2"/>
      <c r="AD389" s="2"/>
      <c r="AE389" s="291"/>
      <c r="AF389" s="2"/>
      <c r="AG389" s="2"/>
      <c r="AH389" s="2"/>
      <c r="AI389" s="29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14.25" customHeight="1" x14ac:dyDescent="0.35">
      <c r="A390" s="2"/>
      <c r="B390" s="2"/>
      <c r="C390" s="2"/>
      <c r="D390" s="2"/>
      <c r="E390" s="2"/>
      <c r="F390" s="2"/>
      <c r="G390" s="27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91"/>
      <c r="AC390" s="2"/>
      <c r="AD390" s="2"/>
      <c r="AE390" s="291"/>
      <c r="AF390" s="2"/>
      <c r="AG390" s="2"/>
      <c r="AH390" s="2"/>
      <c r="AI390" s="29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14.25" customHeight="1" x14ac:dyDescent="0.35">
      <c r="A391" s="2"/>
      <c r="B391" s="2"/>
      <c r="C391" s="2"/>
      <c r="D391" s="2"/>
      <c r="E391" s="2"/>
      <c r="F391" s="2"/>
      <c r="G391" s="27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91"/>
      <c r="AC391" s="2"/>
      <c r="AD391" s="2"/>
      <c r="AE391" s="291"/>
      <c r="AF391" s="2"/>
      <c r="AG391" s="2"/>
      <c r="AH391" s="2"/>
      <c r="AI391" s="29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14.25" customHeight="1" x14ac:dyDescent="0.35">
      <c r="A392" s="2"/>
      <c r="B392" s="2"/>
      <c r="C392" s="2"/>
      <c r="D392" s="2"/>
      <c r="E392" s="2"/>
      <c r="F392" s="2"/>
      <c r="G392" s="27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91"/>
      <c r="AC392" s="2"/>
      <c r="AD392" s="2"/>
      <c r="AE392" s="291"/>
      <c r="AF392" s="2"/>
      <c r="AG392" s="2"/>
      <c r="AH392" s="2"/>
      <c r="AI392" s="29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14.25" customHeight="1" x14ac:dyDescent="0.35">
      <c r="A393" s="2"/>
      <c r="B393" s="2"/>
      <c r="C393" s="2"/>
      <c r="D393" s="2"/>
      <c r="E393" s="2"/>
      <c r="F393" s="2"/>
      <c r="G393" s="27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91"/>
      <c r="AC393" s="2"/>
      <c r="AD393" s="2"/>
      <c r="AE393" s="291"/>
      <c r="AF393" s="2"/>
      <c r="AG393" s="2"/>
      <c r="AH393" s="2"/>
      <c r="AI393" s="29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14.25" customHeight="1" x14ac:dyDescent="0.35">
      <c r="A394" s="2"/>
      <c r="B394" s="2"/>
      <c r="C394" s="2"/>
      <c r="D394" s="2"/>
      <c r="E394" s="2"/>
      <c r="F394" s="2"/>
      <c r="G394" s="27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91"/>
      <c r="AC394" s="2"/>
      <c r="AD394" s="2"/>
      <c r="AE394" s="291"/>
      <c r="AF394" s="2"/>
      <c r="AG394" s="2"/>
      <c r="AH394" s="2"/>
      <c r="AI394" s="29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14.25" customHeight="1" x14ac:dyDescent="0.35">
      <c r="A395" s="2"/>
      <c r="B395" s="2"/>
      <c r="C395" s="2"/>
      <c r="D395" s="2"/>
      <c r="E395" s="2"/>
      <c r="F395" s="2"/>
      <c r="G395" s="27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91"/>
      <c r="AC395" s="2"/>
      <c r="AD395" s="2"/>
      <c r="AE395" s="291"/>
      <c r="AF395" s="2"/>
      <c r="AG395" s="2"/>
      <c r="AH395" s="2"/>
      <c r="AI395" s="29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14.25" customHeight="1" x14ac:dyDescent="0.35">
      <c r="A396" s="2"/>
      <c r="B396" s="2"/>
      <c r="C396" s="2"/>
      <c r="D396" s="2"/>
      <c r="E396" s="2"/>
      <c r="F396" s="2"/>
      <c r="G396" s="27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91"/>
      <c r="AC396" s="2"/>
      <c r="AD396" s="2"/>
      <c r="AE396" s="291"/>
      <c r="AF396" s="2"/>
      <c r="AG396" s="2"/>
      <c r="AH396" s="2"/>
      <c r="AI396" s="29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14.25" customHeight="1" x14ac:dyDescent="0.35">
      <c r="A397" s="2"/>
      <c r="B397" s="2"/>
      <c r="C397" s="2"/>
      <c r="D397" s="2"/>
      <c r="E397" s="2"/>
      <c r="F397" s="2"/>
      <c r="G397" s="27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91"/>
      <c r="AC397" s="2"/>
      <c r="AD397" s="2"/>
      <c r="AE397" s="291"/>
      <c r="AF397" s="2"/>
      <c r="AG397" s="2"/>
      <c r="AH397" s="2"/>
      <c r="AI397" s="29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14.25" customHeight="1" x14ac:dyDescent="0.35">
      <c r="A398" s="2"/>
      <c r="B398" s="2"/>
      <c r="C398" s="2"/>
      <c r="D398" s="2"/>
      <c r="E398" s="2"/>
      <c r="F398" s="2"/>
      <c r="G398" s="27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91"/>
      <c r="AC398" s="2"/>
      <c r="AD398" s="2"/>
      <c r="AE398" s="291"/>
      <c r="AF398" s="2"/>
      <c r="AG398" s="2"/>
      <c r="AH398" s="2"/>
      <c r="AI398" s="29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14.25" customHeight="1" x14ac:dyDescent="0.35">
      <c r="A399" s="2"/>
      <c r="B399" s="2"/>
      <c r="C399" s="2"/>
      <c r="D399" s="2"/>
      <c r="E399" s="2"/>
      <c r="F399" s="2"/>
      <c r="G399" s="27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91"/>
      <c r="AC399" s="2"/>
      <c r="AD399" s="2"/>
      <c r="AE399" s="291"/>
      <c r="AF399" s="2"/>
      <c r="AG399" s="2"/>
      <c r="AH399" s="2"/>
      <c r="AI399" s="29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14.25" customHeight="1" x14ac:dyDescent="0.35">
      <c r="A400" s="2"/>
      <c r="B400" s="2"/>
      <c r="C400" s="2"/>
      <c r="D400" s="2"/>
      <c r="E400" s="2"/>
      <c r="F400" s="2"/>
      <c r="G400" s="27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91"/>
      <c r="AC400" s="2"/>
      <c r="AD400" s="2"/>
      <c r="AE400" s="291"/>
      <c r="AF400" s="2"/>
      <c r="AG400" s="2"/>
      <c r="AH400" s="2"/>
      <c r="AI400" s="29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14.25" customHeight="1" x14ac:dyDescent="0.35">
      <c r="A401" s="2"/>
      <c r="B401" s="2"/>
      <c r="C401" s="2"/>
      <c r="D401" s="2"/>
      <c r="E401" s="2"/>
      <c r="F401" s="2"/>
      <c r="G401" s="27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91"/>
      <c r="AC401" s="2"/>
      <c r="AD401" s="2"/>
      <c r="AE401" s="291"/>
      <c r="AF401" s="2"/>
      <c r="AG401" s="2"/>
      <c r="AH401" s="2"/>
      <c r="AI401" s="29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14.25" customHeight="1" x14ac:dyDescent="0.35">
      <c r="A402" s="2"/>
      <c r="B402" s="2"/>
      <c r="C402" s="2"/>
      <c r="D402" s="2"/>
      <c r="E402" s="2"/>
      <c r="F402" s="2"/>
      <c r="G402" s="27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91"/>
      <c r="AC402" s="2"/>
      <c r="AD402" s="2"/>
      <c r="AE402" s="291"/>
      <c r="AF402" s="2"/>
      <c r="AG402" s="2"/>
      <c r="AH402" s="2"/>
      <c r="AI402" s="29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14.25" customHeight="1" x14ac:dyDescent="0.35">
      <c r="A403" s="2"/>
      <c r="B403" s="2"/>
      <c r="C403" s="2"/>
      <c r="D403" s="2"/>
      <c r="E403" s="2"/>
      <c r="F403" s="2"/>
      <c r="G403" s="27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91"/>
      <c r="AC403" s="2"/>
      <c r="AD403" s="2"/>
      <c r="AE403" s="291"/>
      <c r="AF403" s="2"/>
      <c r="AG403" s="2"/>
      <c r="AH403" s="2"/>
      <c r="AI403" s="29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14.25" customHeight="1" x14ac:dyDescent="0.35">
      <c r="A404" s="2"/>
      <c r="B404" s="2"/>
      <c r="C404" s="2"/>
      <c r="D404" s="2"/>
      <c r="E404" s="2"/>
      <c r="F404" s="2"/>
      <c r="G404" s="27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91"/>
      <c r="AC404" s="2"/>
      <c r="AD404" s="2"/>
      <c r="AE404" s="291"/>
      <c r="AF404" s="2"/>
      <c r="AG404" s="2"/>
      <c r="AH404" s="2"/>
      <c r="AI404" s="29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14.25" customHeight="1" x14ac:dyDescent="0.35">
      <c r="A405" s="2"/>
      <c r="B405" s="2"/>
      <c r="C405" s="2"/>
      <c r="D405" s="2"/>
      <c r="E405" s="2"/>
      <c r="F405" s="2"/>
      <c r="G405" s="27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91"/>
      <c r="AC405" s="2"/>
      <c r="AD405" s="2"/>
      <c r="AE405" s="291"/>
      <c r="AF405" s="2"/>
      <c r="AG405" s="2"/>
      <c r="AH405" s="2"/>
      <c r="AI405" s="29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14.25" customHeight="1" x14ac:dyDescent="0.35">
      <c r="A406" s="2"/>
      <c r="B406" s="2"/>
      <c r="C406" s="2"/>
      <c r="D406" s="2"/>
      <c r="E406" s="2"/>
      <c r="F406" s="2"/>
      <c r="G406" s="27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91"/>
      <c r="AC406" s="2"/>
      <c r="AD406" s="2"/>
      <c r="AE406" s="291"/>
      <c r="AF406" s="2"/>
      <c r="AG406" s="2"/>
      <c r="AH406" s="2"/>
      <c r="AI406" s="29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14.25" customHeight="1" x14ac:dyDescent="0.35">
      <c r="A407" s="2"/>
      <c r="B407" s="2"/>
      <c r="C407" s="2"/>
      <c r="D407" s="2"/>
      <c r="E407" s="2"/>
      <c r="F407" s="2"/>
      <c r="G407" s="27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91"/>
      <c r="AC407" s="2"/>
      <c r="AD407" s="2"/>
      <c r="AE407" s="291"/>
      <c r="AF407" s="2"/>
      <c r="AG407" s="2"/>
      <c r="AH407" s="2"/>
      <c r="AI407" s="29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14.25" customHeight="1" x14ac:dyDescent="0.35">
      <c r="A408" s="2"/>
      <c r="B408" s="2"/>
      <c r="C408" s="2"/>
      <c r="D408" s="2"/>
      <c r="E408" s="2"/>
      <c r="F408" s="2"/>
      <c r="G408" s="27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91"/>
      <c r="AC408" s="2"/>
      <c r="AD408" s="2"/>
      <c r="AE408" s="291"/>
      <c r="AF408" s="2"/>
      <c r="AG408" s="2"/>
      <c r="AH408" s="2"/>
      <c r="AI408" s="29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14.25" customHeight="1" x14ac:dyDescent="0.35">
      <c r="A409" s="2"/>
      <c r="B409" s="2"/>
      <c r="C409" s="2"/>
      <c r="D409" s="2"/>
      <c r="E409" s="2"/>
      <c r="F409" s="2"/>
      <c r="G409" s="27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91"/>
      <c r="AC409" s="2"/>
      <c r="AD409" s="2"/>
      <c r="AE409" s="291"/>
      <c r="AF409" s="2"/>
      <c r="AG409" s="2"/>
      <c r="AH409" s="2"/>
      <c r="AI409" s="29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14.25" customHeight="1" x14ac:dyDescent="0.35">
      <c r="A410" s="2"/>
      <c r="B410" s="2"/>
      <c r="C410" s="2"/>
      <c r="D410" s="2"/>
      <c r="E410" s="2"/>
      <c r="F410" s="2"/>
      <c r="G410" s="27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91"/>
      <c r="AC410" s="2"/>
      <c r="AD410" s="2"/>
      <c r="AE410" s="291"/>
      <c r="AF410" s="2"/>
      <c r="AG410" s="2"/>
      <c r="AH410" s="2"/>
      <c r="AI410" s="29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14.25" customHeight="1" x14ac:dyDescent="0.35">
      <c r="A411" s="2"/>
      <c r="B411" s="2"/>
      <c r="C411" s="2"/>
      <c r="D411" s="2"/>
      <c r="E411" s="2"/>
      <c r="F411" s="2"/>
      <c r="G411" s="27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91"/>
      <c r="AC411" s="2"/>
      <c r="AD411" s="2"/>
      <c r="AE411" s="291"/>
      <c r="AF411" s="2"/>
      <c r="AG411" s="2"/>
      <c r="AH411" s="2"/>
      <c r="AI411" s="29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14.25" customHeight="1" x14ac:dyDescent="0.35">
      <c r="A412" s="2"/>
      <c r="B412" s="2"/>
      <c r="C412" s="2"/>
      <c r="D412" s="2"/>
      <c r="E412" s="2"/>
      <c r="F412" s="2"/>
      <c r="G412" s="27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91"/>
      <c r="AC412" s="2"/>
      <c r="AD412" s="2"/>
      <c r="AE412" s="291"/>
      <c r="AF412" s="2"/>
      <c r="AG412" s="2"/>
      <c r="AH412" s="2"/>
      <c r="AI412" s="29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14.25" customHeight="1" x14ac:dyDescent="0.35">
      <c r="A413" s="2"/>
      <c r="B413" s="2"/>
      <c r="C413" s="2"/>
      <c r="D413" s="2"/>
      <c r="E413" s="2"/>
      <c r="F413" s="2"/>
      <c r="G413" s="27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91"/>
      <c r="AC413" s="2"/>
      <c r="AD413" s="2"/>
      <c r="AE413" s="291"/>
      <c r="AF413" s="2"/>
      <c r="AG413" s="2"/>
      <c r="AH413" s="2"/>
      <c r="AI413" s="29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14.25" customHeight="1" x14ac:dyDescent="0.35">
      <c r="A414" s="2"/>
      <c r="B414" s="2"/>
      <c r="C414" s="2"/>
      <c r="D414" s="2"/>
      <c r="E414" s="2"/>
      <c r="F414" s="2"/>
      <c r="G414" s="27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91"/>
      <c r="AC414" s="2"/>
      <c r="AD414" s="2"/>
      <c r="AE414" s="291"/>
      <c r="AF414" s="2"/>
      <c r="AG414" s="2"/>
      <c r="AH414" s="2"/>
      <c r="AI414" s="29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14.25" customHeight="1" x14ac:dyDescent="0.35">
      <c r="A415" s="2"/>
      <c r="B415" s="2"/>
      <c r="C415" s="2"/>
      <c r="D415" s="2"/>
      <c r="E415" s="2"/>
      <c r="F415" s="2"/>
      <c r="G415" s="27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91"/>
      <c r="AC415" s="2"/>
      <c r="AD415" s="2"/>
      <c r="AE415" s="291"/>
      <c r="AF415" s="2"/>
      <c r="AG415" s="2"/>
      <c r="AH415" s="2"/>
      <c r="AI415" s="29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14.25" customHeight="1" x14ac:dyDescent="0.35">
      <c r="A416" s="2"/>
      <c r="B416" s="2"/>
      <c r="C416" s="2"/>
      <c r="D416" s="2"/>
      <c r="E416" s="2"/>
      <c r="F416" s="2"/>
      <c r="G416" s="27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91"/>
      <c r="AC416" s="2"/>
      <c r="AD416" s="2"/>
      <c r="AE416" s="291"/>
      <c r="AF416" s="2"/>
      <c r="AG416" s="2"/>
      <c r="AH416" s="2"/>
      <c r="AI416" s="29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14.25" customHeight="1" x14ac:dyDescent="0.35">
      <c r="A417" s="2"/>
      <c r="B417" s="2"/>
      <c r="C417" s="2"/>
      <c r="D417" s="2"/>
      <c r="E417" s="2"/>
      <c r="F417" s="2"/>
      <c r="G417" s="27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91"/>
      <c r="AC417" s="2"/>
      <c r="AD417" s="2"/>
      <c r="AE417" s="291"/>
      <c r="AF417" s="2"/>
      <c r="AG417" s="2"/>
      <c r="AH417" s="2"/>
      <c r="AI417" s="29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14.25" customHeight="1" x14ac:dyDescent="0.35">
      <c r="A418" s="2"/>
      <c r="B418" s="2"/>
      <c r="C418" s="2"/>
      <c r="D418" s="2"/>
      <c r="E418" s="2"/>
      <c r="F418" s="2"/>
      <c r="G418" s="27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91"/>
      <c r="AC418" s="2"/>
      <c r="AD418" s="2"/>
      <c r="AE418" s="291"/>
      <c r="AF418" s="2"/>
      <c r="AG418" s="2"/>
      <c r="AH418" s="2"/>
      <c r="AI418" s="29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14.25" customHeight="1" x14ac:dyDescent="0.35">
      <c r="A419" s="2"/>
      <c r="B419" s="2"/>
      <c r="C419" s="2"/>
      <c r="D419" s="2"/>
      <c r="E419" s="2"/>
      <c r="F419" s="2"/>
      <c r="G419" s="27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91"/>
      <c r="AC419" s="2"/>
      <c r="AD419" s="2"/>
      <c r="AE419" s="291"/>
      <c r="AF419" s="2"/>
      <c r="AG419" s="2"/>
      <c r="AH419" s="2"/>
      <c r="AI419" s="29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14.25" customHeight="1" x14ac:dyDescent="0.35">
      <c r="A420" s="2"/>
      <c r="B420" s="2"/>
      <c r="C420" s="2"/>
      <c r="D420" s="2"/>
      <c r="E420" s="2"/>
      <c r="F420" s="2"/>
      <c r="G420" s="27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91"/>
      <c r="AC420" s="2"/>
      <c r="AD420" s="2"/>
      <c r="AE420" s="291"/>
      <c r="AF420" s="2"/>
      <c r="AG420" s="2"/>
      <c r="AH420" s="2"/>
      <c r="AI420" s="29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14.25" customHeight="1" x14ac:dyDescent="0.35">
      <c r="A421" s="2"/>
      <c r="B421" s="2"/>
      <c r="C421" s="2"/>
      <c r="D421" s="2"/>
      <c r="E421" s="2"/>
      <c r="F421" s="2"/>
      <c r="G421" s="27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91"/>
      <c r="AC421" s="2"/>
      <c r="AD421" s="2"/>
      <c r="AE421" s="291"/>
      <c r="AF421" s="2"/>
      <c r="AG421" s="2"/>
      <c r="AH421" s="2"/>
      <c r="AI421" s="29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14.25" customHeight="1" x14ac:dyDescent="0.35">
      <c r="A422" s="2"/>
      <c r="B422" s="2"/>
      <c r="C422" s="2"/>
      <c r="D422" s="2"/>
      <c r="E422" s="2"/>
      <c r="F422" s="2"/>
      <c r="G422" s="27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91"/>
      <c r="AC422" s="2"/>
      <c r="AD422" s="2"/>
      <c r="AE422" s="291"/>
      <c r="AF422" s="2"/>
      <c r="AG422" s="2"/>
      <c r="AH422" s="2"/>
      <c r="AI422" s="29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14.25" customHeight="1" x14ac:dyDescent="0.35">
      <c r="A423" s="2"/>
      <c r="B423" s="2"/>
      <c r="C423" s="2"/>
      <c r="D423" s="2"/>
      <c r="E423" s="2"/>
      <c r="F423" s="2"/>
      <c r="G423" s="27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91"/>
      <c r="AC423" s="2"/>
      <c r="AD423" s="2"/>
      <c r="AE423" s="291"/>
      <c r="AF423" s="2"/>
      <c r="AG423" s="2"/>
      <c r="AH423" s="2"/>
      <c r="AI423" s="29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14.25" customHeight="1" x14ac:dyDescent="0.35">
      <c r="A424" s="2"/>
      <c r="B424" s="2"/>
      <c r="C424" s="2"/>
      <c r="D424" s="2"/>
      <c r="E424" s="2"/>
      <c r="F424" s="2"/>
      <c r="G424" s="27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91"/>
      <c r="AC424" s="2"/>
      <c r="AD424" s="2"/>
      <c r="AE424" s="291"/>
      <c r="AF424" s="2"/>
      <c r="AG424" s="2"/>
      <c r="AH424" s="2"/>
      <c r="AI424" s="29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14.25" customHeight="1" x14ac:dyDescent="0.35">
      <c r="A425" s="2"/>
      <c r="B425" s="2"/>
      <c r="C425" s="2"/>
      <c r="D425" s="2"/>
      <c r="E425" s="2"/>
      <c r="F425" s="2"/>
      <c r="G425" s="27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91"/>
      <c r="AC425" s="2"/>
      <c r="AD425" s="2"/>
      <c r="AE425" s="291"/>
      <c r="AF425" s="2"/>
      <c r="AG425" s="2"/>
      <c r="AH425" s="2"/>
      <c r="AI425" s="29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14.25" customHeight="1" x14ac:dyDescent="0.35">
      <c r="A426" s="2"/>
      <c r="B426" s="2"/>
      <c r="C426" s="2"/>
      <c r="D426" s="2"/>
      <c r="E426" s="2"/>
      <c r="F426" s="2"/>
      <c r="G426" s="27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91"/>
      <c r="AC426" s="2"/>
      <c r="AD426" s="2"/>
      <c r="AE426" s="291"/>
      <c r="AF426" s="2"/>
      <c r="AG426" s="2"/>
      <c r="AH426" s="2"/>
      <c r="AI426" s="29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14.25" customHeight="1" x14ac:dyDescent="0.35">
      <c r="A427" s="2"/>
      <c r="B427" s="2"/>
      <c r="C427" s="2"/>
      <c r="D427" s="2"/>
      <c r="E427" s="2"/>
      <c r="F427" s="2"/>
      <c r="G427" s="27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91"/>
      <c r="AC427" s="2"/>
      <c r="AD427" s="2"/>
      <c r="AE427" s="291"/>
      <c r="AF427" s="2"/>
      <c r="AG427" s="2"/>
      <c r="AH427" s="2"/>
      <c r="AI427" s="29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14.25" customHeight="1" x14ac:dyDescent="0.35">
      <c r="A428" s="2"/>
      <c r="B428" s="2"/>
      <c r="C428" s="2"/>
      <c r="D428" s="2"/>
      <c r="E428" s="2"/>
      <c r="F428" s="2"/>
      <c r="G428" s="27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91"/>
      <c r="AC428" s="2"/>
      <c r="AD428" s="2"/>
      <c r="AE428" s="291"/>
      <c r="AF428" s="2"/>
      <c r="AG428" s="2"/>
      <c r="AH428" s="2"/>
      <c r="AI428" s="29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14.25" customHeight="1" x14ac:dyDescent="0.35">
      <c r="A429" s="2"/>
      <c r="B429" s="2"/>
      <c r="C429" s="2"/>
      <c r="D429" s="2"/>
      <c r="E429" s="2"/>
      <c r="F429" s="2"/>
      <c r="G429" s="27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91"/>
      <c r="AC429" s="2"/>
      <c r="AD429" s="2"/>
      <c r="AE429" s="291"/>
      <c r="AF429" s="2"/>
      <c r="AG429" s="2"/>
      <c r="AH429" s="2"/>
      <c r="AI429" s="29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14.25" customHeight="1" x14ac:dyDescent="0.35">
      <c r="A430" s="2"/>
      <c r="B430" s="2"/>
      <c r="C430" s="2"/>
      <c r="D430" s="2"/>
      <c r="E430" s="2"/>
      <c r="F430" s="2"/>
      <c r="G430" s="27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91"/>
      <c r="AC430" s="2"/>
      <c r="AD430" s="2"/>
      <c r="AE430" s="291"/>
      <c r="AF430" s="2"/>
      <c r="AG430" s="2"/>
      <c r="AH430" s="2"/>
      <c r="AI430" s="29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14.25" customHeight="1" x14ac:dyDescent="0.35">
      <c r="A431" s="2"/>
      <c r="B431" s="2"/>
      <c r="C431" s="2"/>
      <c r="D431" s="2"/>
      <c r="E431" s="2"/>
      <c r="F431" s="2"/>
      <c r="G431" s="27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91"/>
      <c r="AC431" s="2"/>
      <c r="AD431" s="2"/>
      <c r="AE431" s="291"/>
      <c r="AF431" s="2"/>
      <c r="AG431" s="2"/>
      <c r="AH431" s="2"/>
      <c r="AI431" s="29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14.25" customHeight="1" x14ac:dyDescent="0.35">
      <c r="A432" s="2"/>
      <c r="B432" s="2"/>
      <c r="C432" s="2"/>
      <c r="D432" s="2"/>
      <c r="E432" s="2"/>
      <c r="F432" s="2"/>
      <c r="G432" s="27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91"/>
      <c r="AC432" s="2"/>
      <c r="AD432" s="2"/>
      <c r="AE432" s="291"/>
      <c r="AF432" s="2"/>
      <c r="AG432" s="2"/>
      <c r="AH432" s="2"/>
      <c r="AI432" s="29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14.25" customHeight="1" x14ac:dyDescent="0.35">
      <c r="A433" s="2"/>
      <c r="B433" s="2"/>
      <c r="C433" s="2"/>
      <c r="D433" s="2"/>
      <c r="E433" s="2"/>
      <c r="F433" s="2"/>
      <c r="G433" s="27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91"/>
      <c r="AC433" s="2"/>
      <c r="AD433" s="2"/>
      <c r="AE433" s="291"/>
      <c r="AF433" s="2"/>
      <c r="AG433" s="2"/>
      <c r="AH433" s="2"/>
      <c r="AI433" s="29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14.25" customHeight="1" x14ac:dyDescent="0.35">
      <c r="A434" s="2"/>
      <c r="B434" s="2"/>
      <c r="C434" s="2"/>
      <c r="D434" s="2"/>
      <c r="E434" s="2"/>
      <c r="F434" s="2"/>
      <c r="G434" s="27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91"/>
      <c r="AC434" s="2"/>
      <c r="AD434" s="2"/>
      <c r="AE434" s="291"/>
      <c r="AF434" s="2"/>
      <c r="AG434" s="2"/>
      <c r="AH434" s="2"/>
      <c r="AI434" s="29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14.25" customHeight="1" x14ac:dyDescent="0.35">
      <c r="A435" s="2"/>
      <c r="B435" s="2"/>
      <c r="C435" s="2"/>
      <c r="D435" s="2"/>
      <c r="E435" s="2"/>
      <c r="F435" s="2"/>
      <c r="G435" s="27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91"/>
      <c r="AC435" s="2"/>
      <c r="AD435" s="2"/>
      <c r="AE435" s="291"/>
      <c r="AF435" s="2"/>
      <c r="AG435" s="2"/>
      <c r="AH435" s="2"/>
      <c r="AI435" s="29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14.25" customHeight="1" x14ac:dyDescent="0.35">
      <c r="A436" s="2"/>
      <c r="B436" s="2"/>
      <c r="C436" s="2"/>
      <c r="D436" s="2"/>
      <c r="E436" s="2"/>
      <c r="F436" s="2"/>
      <c r="G436" s="27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91"/>
      <c r="AC436" s="2"/>
      <c r="AD436" s="2"/>
      <c r="AE436" s="291"/>
      <c r="AF436" s="2"/>
      <c r="AG436" s="2"/>
      <c r="AH436" s="2"/>
      <c r="AI436" s="29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14.25" customHeight="1" x14ac:dyDescent="0.35">
      <c r="A437" s="2"/>
      <c r="B437" s="2"/>
      <c r="C437" s="2"/>
      <c r="D437" s="2"/>
      <c r="E437" s="2"/>
      <c r="F437" s="2"/>
      <c r="G437" s="27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91"/>
      <c r="AC437" s="2"/>
      <c r="AD437" s="2"/>
      <c r="AE437" s="291"/>
      <c r="AF437" s="2"/>
      <c r="AG437" s="2"/>
      <c r="AH437" s="2"/>
      <c r="AI437" s="29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14.25" customHeight="1" x14ac:dyDescent="0.35">
      <c r="A438" s="2"/>
      <c r="B438" s="2"/>
      <c r="C438" s="2"/>
      <c r="D438" s="2"/>
      <c r="E438" s="2"/>
      <c r="F438" s="2"/>
      <c r="G438" s="27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91"/>
      <c r="AC438" s="2"/>
      <c r="AD438" s="2"/>
      <c r="AE438" s="291"/>
      <c r="AF438" s="2"/>
      <c r="AG438" s="2"/>
      <c r="AH438" s="2"/>
      <c r="AI438" s="29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14.25" customHeight="1" x14ac:dyDescent="0.35">
      <c r="A439" s="2"/>
      <c r="B439" s="2"/>
      <c r="C439" s="2"/>
      <c r="D439" s="2"/>
      <c r="E439" s="2"/>
      <c r="F439" s="2"/>
      <c r="G439" s="27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91"/>
      <c r="AC439" s="2"/>
      <c r="AD439" s="2"/>
      <c r="AE439" s="291"/>
      <c r="AF439" s="2"/>
      <c r="AG439" s="2"/>
      <c r="AH439" s="2"/>
      <c r="AI439" s="29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14.25" customHeight="1" x14ac:dyDescent="0.35">
      <c r="A440" s="2"/>
      <c r="B440" s="2"/>
      <c r="C440" s="2"/>
      <c r="D440" s="2"/>
      <c r="E440" s="2"/>
      <c r="F440" s="2"/>
      <c r="G440" s="27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91"/>
      <c r="AC440" s="2"/>
      <c r="AD440" s="2"/>
      <c r="AE440" s="291"/>
      <c r="AF440" s="2"/>
      <c r="AG440" s="2"/>
      <c r="AH440" s="2"/>
      <c r="AI440" s="29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14.25" customHeight="1" x14ac:dyDescent="0.35">
      <c r="A441" s="2"/>
      <c r="B441" s="2"/>
      <c r="C441" s="2"/>
      <c r="D441" s="2"/>
      <c r="E441" s="2"/>
      <c r="F441" s="2"/>
      <c r="G441" s="27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91"/>
      <c r="AC441" s="2"/>
      <c r="AD441" s="2"/>
      <c r="AE441" s="291"/>
      <c r="AF441" s="2"/>
      <c r="AG441" s="2"/>
      <c r="AH441" s="2"/>
      <c r="AI441" s="29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14.25" customHeight="1" x14ac:dyDescent="0.35">
      <c r="A442" s="2"/>
      <c r="B442" s="2"/>
      <c r="C442" s="2"/>
      <c r="D442" s="2"/>
      <c r="E442" s="2"/>
      <c r="F442" s="2"/>
      <c r="G442" s="27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91"/>
      <c r="AC442" s="2"/>
      <c r="AD442" s="2"/>
      <c r="AE442" s="291"/>
      <c r="AF442" s="2"/>
      <c r="AG442" s="2"/>
      <c r="AH442" s="2"/>
      <c r="AI442" s="29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14.25" customHeight="1" x14ac:dyDescent="0.35">
      <c r="A443" s="2"/>
      <c r="B443" s="2"/>
      <c r="C443" s="2"/>
      <c r="D443" s="2"/>
      <c r="E443" s="2"/>
      <c r="F443" s="2"/>
      <c r="G443" s="27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91"/>
      <c r="AC443" s="2"/>
      <c r="AD443" s="2"/>
      <c r="AE443" s="291"/>
      <c r="AF443" s="2"/>
      <c r="AG443" s="2"/>
      <c r="AH443" s="2"/>
      <c r="AI443" s="29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14.25" customHeight="1" x14ac:dyDescent="0.35">
      <c r="A444" s="2"/>
      <c r="B444" s="2"/>
      <c r="C444" s="2"/>
      <c r="D444" s="2"/>
      <c r="E444" s="2"/>
      <c r="F444" s="2"/>
      <c r="G444" s="27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91"/>
      <c r="AC444" s="2"/>
      <c r="AD444" s="2"/>
      <c r="AE444" s="291"/>
      <c r="AF444" s="2"/>
      <c r="AG444" s="2"/>
      <c r="AH444" s="2"/>
      <c r="AI444" s="29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14.25" customHeight="1" x14ac:dyDescent="0.35">
      <c r="A445" s="2"/>
      <c r="B445" s="2"/>
      <c r="C445" s="2"/>
      <c r="D445" s="2"/>
      <c r="E445" s="2"/>
      <c r="F445" s="2"/>
      <c r="G445" s="27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91"/>
      <c r="AC445" s="2"/>
      <c r="AD445" s="2"/>
      <c r="AE445" s="291"/>
      <c r="AF445" s="2"/>
      <c r="AG445" s="2"/>
      <c r="AH445" s="2"/>
      <c r="AI445" s="29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14.25" customHeight="1" x14ac:dyDescent="0.35">
      <c r="A446" s="2"/>
      <c r="B446" s="2"/>
      <c r="C446" s="2"/>
      <c r="D446" s="2"/>
      <c r="E446" s="2"/>
      <c r="F446" s="2"/>
      <c r="G446" s="27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91"/>
      <c r="AC446" s="2"/>
      <c r="AD446" s="2"/>
      <c r="AE446" s="291"/>
      <c r="AF446" s="2"/>
      <c r="AG446" s="2"/>
      <c r="AH446" s="2"/>
      <c r="AI446" s="29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14.25" customHeight="1" x14ac:dyDescent="0.35">
      <c r="A447" s="2"/>
      <c r="B447" s="2"/>
      <c r="C447" s="2"/>
      <c r="D447" s="2"/>
      <c r="E447" s="2"/>
      <c r="F447" s="2"/>
      <c r="G447" s="27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91"/>
      <c r="AC447" s="2"/>
      <c r="AD447" s="2"/>
      <c r="AE447" s="291"/>
      <c r="AF447" s="2"/>
      <c r="AG447" s="2"/>
      <c r="AH447" s="2"/>
      <c r="AI447" s="29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14.25" customHeight="1" x14ac:dyDescent="0.35">
      <c r="A448" s="2"/>
      <c r="B448" s="2"/>
      <c r="C448" s="2"/>
      <c r="D448" s="2"/>
      <c r="E448" s="2"/>
      <c r="F448" s="2"/>
      <c r="G448" s="27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91"/>
      <c r="AC448" s="2"/>
      <c r="AD448" s="2"/>
      <c r="AE448" s="291"/>
      <c r="AF448" s="2"/>
      <c r="AG448" s="2"/>
      <c r="AH448" s="2"/>
      <c r="AI448" s="29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14.25" customHeight="1" x14ac:dyDescent="0.35">
      <c r="A449" s="2"/>
      <c r="B449" s="2"/>
      <c r="C449" s="2"/>
      <c r="D449" s="2"/>
      <c r="E449" s="2"/>
      <c r="F449" s="2"/>
      <c r="G449" s="27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91"/>
      <c r="AC449" s="2"/>
      <c r="AD449" s="2"/>
      <c r="AE449" s="291"/>
      <c r="AF449" s="2"/>
      <c r="AG449" s="2"/>
      <c r="AH449" s="2"/>
      <c r="AI449" s="29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14.25" customHeight="1" x14ac:dyDescent="0.35">
      <c r="A450" s="2"/>
      <c r="B450" s="2"/>
      <c r="C450" s="2"/>
      <c r="D450" s="2"/>
      <c r="E450" s="2"/>
      <c r="F450" s="2"/>
      <c r="G450" s="27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91"/>
      <c r="AC450" s="2"/>
      <c r="AD450" s="2"/>
      <c r="AE450" s="291"/>
      <c r="AF450" s="2"/>
      <c r="AG450" s="2"/>
      <c r="AH450" s="2"/>
      <c r="AI450" s="29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14.25" customHeight="1" x14ac:dyDescent="0.35">
      <c r="A451" s="2"/>
      <c r="B451" s="2"/>
      <c r="C451" s="2"/>
      <c r="D451" s="2"/>
      <c r="E451" s="2"/>
      <c r="F451" s="2"/>
      <c r="G451" s="27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91"/>
      <c r="AC451" s="2"/>
      <c r="AD451" s="2"/>
      <c r="AE451" s="291"/>
      <c r="AF451" s="2"/>
      <c r="AG451" s="2"/>
      <c r="AH451" s="2"/>
      <c r="AI451" s="29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14.25" customHeight="1" x14ac:dyDescent="0.35">
      <c r="A452" s="2"/>
      <c r="B452" s="2"/>
      <c r="C452" s="2"/>
      <c r="D452" s="2"/>
      <c r="E452" s="2"/>
      <c r="F452" s="2"/>
      <c r="G452" s="27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91"/>
      <c r="AC452" s="2"/>
      <c r="AD452" s="2"/>
      <c r="AE452" s="291"/>
      <c r="AF452" s="2"/>
      <c r="AG452" s="2"/>
      <c r="AH452" s="2"/>
      <c r="AI452" s="29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14.25" customHeight="1" x14ac:dyDescent="0.35">
      <c r="A453" s="2"/>
      <c r="B453" s="2"/>
      <c r="C453" s="2"/>
      <c r="D453" s="2"/>
      <c r="E453" s="2"/>
      <c r="F453" s="2"/>
      <c r="G453" s="27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91"/>
      <c r="AC453" s="2"/>
      <c r="AD453" s="2"/>
      <c r="AE453" s="291"/>
      <c r="AF453" s="2"/>
      <c r="AG453" s="2"/>
      <c r="AH453" s="2"/>
      <c r="AI453" s="29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14.25" customHeight="1" x14ac:dyDescent="0.35">
      <c r="A454" s="2"/>
      <c r="B454" s="2"/>
      <c r="C454" s="2"/>
      <c r="D454" s="2"/>
      <c r="E454" s="2"/>
      <c r="F454" s="2"/>
      <c r="G454" s="27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91"/>
      <c r="AC454" s="2"/>
      <c r="AD454" s="2"/>
      <c r="AE454" s="291"/>
      <c r="AF454" s="2"/>
      <c r="AG454" s="2"/>
      <c r="AH454" s="2"/>
      <c r="AI454" s="29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14.25" customHeight="1" x14ac:dyDescent="0.35">
      <c r="A455" s="2"/>
      <c r="B455" s="2"/>
      <c r="C455" s="2"/>
      <c r="D455" s="2"/>
      <c r="E455" s="2"/>
      <c r="F455" s="2"/>
      <c r="G455" s="27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91"/>
      <c r="AC455" s="2"/>
      <c r="AD455" s="2"/>
      <c r="AE455" s="291"/>
      <c r="AF455" s="2"/>
      <c r="AG455" s="2"/>
      <c r="AH455" s="2"/>
      <c r="AI455" s="29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14.25" customHeight="1" x14ac:dyDescent="0.35">
      <c r="A456" s="2"/>
      <c r="B456" s="2"/>
      <c r="C456" s="2"/>
      <c r="D456" s="2"/>
      <c r="E456" s="2"/>
      <c r="F456" s="2"/>
      <c r="G456" s="27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91"/>
      <c r="AC456" s="2"/>
      <c r="AD456" s="2"/>
      <c r="AE456" s="291"/>
      <c r="AF456" s="2"/>
      <c r="AG456" s="2"/>
      <c r="AH456" s="2"/>
      <c r="AI456" s="29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14.25" customHeight="1" x14ac:dyDescent="0.35">
      <c r="A457" s="2"/>
      <c r="B457" s="2"/>
      <c r="C457" s="2"/>
      <c r="D457" s="2"/>
      <c r="E457" s="2"/>
      <c r="F457" s="2"/>
      <c r="G457" s="27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91"/>
      <c r="AC457" s="2"/>
      <c r="AD457" s="2"/>
      <c r="AE457" s="291"/>
      <c r="AF457" s="2"/>
      <c r="AG457" s="2"/>
      <c r="AH457" s="2"/>
      <c r="AI457" s="29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14.25" customHeight="1" x14ac:dyDescent="0.35">
      <c r="A458" s="2"/>
      <c r="B458" s="2"/>
      <c r="C458" s="2"/>
      <c r="D458" s="2"/>
      <c r="E458" s="2"/>
      <c r="F458" s="2"/>
      <c r="G458" s="27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91"/>
      <c r="AC458" s="2"/>
      <c r="AD458" s="2"/>
      <c r="AE458" s="291"/>
      <c r="AF458" s="2"/>
      <c r="AG458" s="2"/>
      <c r="AH458" s="2"/>
      <c r="AI458" s="29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14.25" customHeight="1" x14ac:dyDescent="0.35">
      <c r="A459" s="2"/>
      <c r="B459" s="2"/>
      <c r="C459" s="2"/>
      <c r="D459" s="2"/>
      <c r="E459" s="2"/>
      <c r="F459" s="2"/>
      <c r="G459" s="27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91"/>
      <c r="AC459" s="2"/>
      <c r="AD459" s="2"/>
      <c r="AE459" s="291"/>
      <c r="AF459" s="2"/>
      <c r="AG459" s="2"/>
      <c r="AH459" s="2"/>
      <c r="AI459" s="29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14.25" customHeight="1" x14ac:dyDescent="0.35">
      <c r="A460" s="2"/>
      <c r="B460" s="2"/>
      <c r="C460" s="2"/>
      <c r="D460" s="2"/>
      <c r="E460" s="2"/>
      <c r="F460" s="2"/>
      <c r="G460" s="27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91"/>
      <c r="AC460" s="2"/>
      <c r="AD460" s="2"/>
      <c r="AE460" s="291"/>
      <c r="AF460" s="2"/>
      <c r="AG460" s="2"/>
      <c r="AH460" s="2"/>
      <c r="AI460" s="29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14.25" customHeight="1" x14ac:dyDescent="0.35">
      <c r="A461" s="2"/>
      <c r="B461" s="2"/>
      <c r="C461" s="2"/>
      <c r="D461" s="2"/>
      <c r="E461" s="2"/>
      <c r="F461" s="2"/>
      <c r="G461" s="27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91"/>
      <c r="AC461" s="2"/>
      <c r="AD461" s="2"/>
      <c r="AE461" s="291"/>
      <c r="AF461" s="2"/>
      <c r="AG461" s="2"/>
      <c r="AH461" s="2"/>
      <c r="AI461" s="29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14.25" customHeight="1" x14ac:dyDescent="0.35">
      <c r="A462" s="2"/>
      <c r="B462" s="2"/>
      <c r="C462" s="2"/>
      <c r="D462" s="2"/>
      <c r="E462" s="2"/>
      <c r="F462" s="2"/>
      <c r="G462" s="27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91"/>
      <c r="AC462" s="2"/>
      <c r="AD462" s="2"/>
      <c r="AE462" s="291"/>
      <c r="AF462" s="2"/>
      <c r="AG462" s="2"/>
      <c r="AH462" s="2"/>
      <c r="AI462" s="29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14.25" customHeight="1" x14ac:dyDescent="0.35">
      <c r="A463" s="2"/>
      <c r="B463" s="2"/>
      <c r="C463" s="2"/>
      <c r="D463" s="2"/>
      <c r="E463" s="2"/>
      <c r="F463" s="2"/>
      <c r="G463" s="27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91"/>
      <c r="AC463" s="2"/>
      <c r="AD463" s="2"/>
      <c r="AE463" s="291"/>
      <c r="AF463" s="2"/>
      <c r="AG463" s="2"/>
      <c r="AH463" s="2"/>
      <c r="AI463" s="29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14.25" customHeight="1" x14ac:dyDescent="0.35">
      <c r="A464" s="2"/>
      <c r="B464" s="2"/>
      <c r="C464" s="2"/>
      <c r="D464" s="2"/>
      <c r="E464" s="2"/>
      <c r="F464" s="2"/>
      <c r="G464" s="27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91"/>
      <c r="AC464" s="2"/>
      <c r="AD464" s="2"/>
      <c r="AE464" s="291"/>
      <c r="AF464" s="2"/>
      <c r="AG464" s="2"/>
      <c r="AH464" s="2"/>
      <c r="AI464" s="29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14.25" customHeight="1" x14ac:dyDescent="0.35">
      <c r="A465" s="2"/>
      <c r="B465" s="2"/>
      <c r="C465" s="2"/>
      <c r="D465" s="2"/>
      <c r="E465" s="2"/>
      <c r="F465" s="2"/>
      <c r="G465" s="27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91"/>
      <c r="AC465" s="2"/>
      <c r="AD465" s="2"/>
      <c r="AE465" s="291"/>
      <c r="AF465" s="2"/>
      <c r="AG465" s="2"/>
      <c r="AH465" s="2"/>
      <c r="AI465" s="29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14.25" customHeight="1" x14ac:dyDescent="0.35">
      <c r="A466" s="2"/>
      <c r="B466" s="2"/>
      <c r="C466" s="2"/>
      <c r="D466" s="2"/>
      <c r="E466" s="2"/>
      <c r="F466" s="2"/>
      <c r="G466" s="27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91"/>
      <c r="AC466" s="2"/>
      <c r="AD466" s="2"/>
      <c r="AE466" s="291"/>
      <c r="AF466" s="2"/>
      <c r="AG466" s="2"/>
      <c r="AH466" s="2"/>
      <c r="AI466" s="29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14.25" customHeight="1" x14ac:dyDescent="0.35">
      <c r="A467" s="2"/>
      <c r="B467" s="2"/>
      <c r="C467" s="2"/>
      <c r="D467" s="2"/>
      <c r="E467" s="2"/>
      <c r="F467" s="2"/>
      <c r="G467" s="27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91"/>
      <c r="AC467" s="2"/>
      <c r="AD467" s="2"/>
      <c r="AE467" s="291"/>
      <c r="AF467" s="2"/>
      <c r="AG467" s="2"/>
      <c r="AH467" s="2"/>
      <c r="AI467" s="29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14.25" customHeight="1" x14ac:dyDescent="0.35">
      <c r="A468" s="2"/>
      <c r="B468" s="2"/>
      <c r="C468" s="2"/>
      <c r="D468" s="2"/>
      <c r="E468" s="2"/>
      <c r="F468" s="2"/>
      <c r="G468" s="27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91"/>
      <c r="AC468" s="2"/>
      <c r="AD468" s="2"/>
      <c r="AE468" s="291"/>
      <c r="AF468" s="2"/>
      <c r="AG468" s="2"/>
      <c r="AH468" s="2"/>
      <c r="AI468" s="29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14.25" customHeight="1" x14ac:dyDescent="0.35">
      <c r="A469" s="2"/>
      <c r="B469" s="2"/>
      <c r="C469" s="2"/>
      <c r="D469" s="2"/>
      <c r="E469" s="2"/>
      <c r="F469" s="2"/>
      <c r="G469" s="27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91"/>
      <c r="AC469" s="2"/>
      <c r="AD469" s="2"/>
      <c r="AE469" s="291"/>
      <c r="AF469" s="2"/>
      <c r="AG469" s="2"/>
      <c r="AH469" s="2"/>
      <c r="AI469" s="29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14.25" customHeight="1" x14ac:dyDescent="0.35">
      <c r="A470" s="2"/>
      <c r="B470" s="2"/>
      <c r="C470" s="2"/>
      <c r="D470" s="2"/>
      <c r="E470" s="2"/>
      <c r="F470" s="2"/>
      <c r="G470" s="27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91"/>
      <c r="AC470" s="2"/>
      <c r="AD470" s="2"/>
      <c r="AE470" s="291"/>
      <c r="AF470" s="2"/>
      <c r="AG470" s="2"/>
      <c r="AH470" s="2"/>
      <c r="AI470" s="29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14.25" customHeight="1" x14ac:dyDescent="0.35">
      <c r="A471" s="2"/>
      <c r="B471" s="2"/>
      <c r="C471" s="2"/>
      <c r="D471" s="2"/>
      <c r="E471" s="2"/>
      <c r="F471" s="2"/>
      <c r="G471" s="27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91"/>
      <c r="AC471" s="2"/>
      <c r="AD471" s="2"/>
      <c r="AE471" s="291"/>
      <c r="AF471" s="2"/>
      <c r="AG471" s="2"/>
      <c r="AH471" s="2"/>
      <c r="AI471" s="29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14.25" customHeight="1" x14ac:dyDescent="0.35">
      <c r="A472" s="2"/>
      <c r="B472" s="2"/>
      <c r="C472" s="2"/>
      <c r="D472" s="2"/>
      <c r="E472" s="2"/>
      <c r="F472" s="2"/>
      <c r="G472" s="27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91"/>
      <c r="AC472" s="2"/>
      <c r="AD472" s="2"/>
      <c r="AE472" s="291"/>
      <c r="AF472" s="2"/>
      <c r="AG472" s="2"/>
      <c r="AH472" s="2"/>
      <c r="AI472" s="29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14.25" customHeight="1" x14ac:dyDescent="0.35">
      <c r="A473" s="2"/>
      <c r="B473" s="2"/>
      <c r="C473" s="2"/>
      <c r="D473" s="2"/>
      <c r="E473" s="2"/>
      <c r="F473" s="2"/>
      <c r="G473" s="27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91"/>
      <c r="AC473" s="2"/>
      <c r="AD473" s="2"/>
      <c r="AE473" s="291"/>
      <c r="AF473" s="2"/>
      <c r="AG473" s="2"/>
      <c r="AH473" s="2"/>
      <c r="AI473" s="29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14.25" customHeight="1" x14ac:dyDescent="0.35">
      <c r="A474" s="2"/>
      <c r="B474" s="2"/>
      <c r="C474" s="2"/>
      <c r="D474" s="2"/>
      <c r="E474" s="2"/>
      <c r="F474" s="2"/>
      <c r="G474" s="27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91"/>
      <c r="AC474" s="2"/>
      <c r="AD474" s="2"/>
      <c r="AE474" s="291"/>
      <c r="AF474" s="2"/>
      <c r="AG474" s="2"/>
      <c r="AH474" s="2"/>
      <c r="AI474" s="29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14.25" customHeight="1" x14ac:dyDescent="0.35">
      <c r="A475" s="2"/>
      <c r="B475" s="2"/>
      <c r="C475" s="2"/>
      <c r="D475" s="2"/>
      <c r="E475" s="2"/>
      <c r="F475" s="2"/>
      <c r="G475" s="27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91"/>
      <c r="AC475" s="2"/>
      <c r="AD475" s="2"/>
      <c r="AE475" s="291"/>
      <c r="AF475" s="2"/>
      <c r="AG475" s="2"/>
      <c r="AH475" s="2"/>
      <c r="AI475" s="29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14.25" customHeight="1" x14ac:dyDescent="0.35">
      <c r="A476" s="2"/>
      <c r="B476" s="2"/>
      <c r="C476" s="2"/>
      <c r="D476" s="2"/>
      <c r="E476" s="2"/>
      <c r="F476" s="2"/>
      <c r="G476" s="27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91"/>
      <c r="AC476" s="2"/>
      <c r="AD476" s="2"/>
      <c r="AE476" s="291"/>
      <c r="AF476" s="2"/>
      <c r="AG476" s="2"/>
      <c r="AH476" s="2"/>
      <c r="AI476" s="29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14.25" customHeight="1" x14ac:dyDescent="0.35">
      <c r="A477" s="2"/>
      <c r="B477" s="2"/>
      <c r="C477" s="2"/>
      <c r="D477" s="2"/>
      <c r="E477" s="2"/>
      <c r="F477" s="2"/>
      <c r="G477" s="27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91"/>
      <c r="AC477" s="2"/>
      <c r="AD477" s="2"/>
      <c r="AE477" s="291"/>
      <c r="AF477" s="2"/>
      <c r="AG477" s="2"/>
      <c r="AH477" s="2"/>
      <c r="AI477" s="29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14.25" customHeight="1" x14ac:dyDescent="0.35">
      <c r="A478" s="2"/>
      <c r="B478" s="2"/>
      <c r="C478" s="2"/>
      <c r="D478" s="2"/>
      <c r="E478" s="2"/>
      <c r="F478" s="2"/>
      <c r="G478" s="27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91"/>
      <c r="AC478" s="2"/>
      <c r="AD478" s="2"/>
      <c r="AE478" s="291"/>
      <c r="AF478" s="2"/>
      <c r="AG478" s="2"/>
      <c r="AH478" s="2"/>
      <c r="AI478" s="29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14.25" customHeight="1" x14ac:dyDescent="0.35">
      <c r="A479" s="2"/>
      <c r="B479" s="2"/>
      <c r="C479" s="2"/>
      <c r="D479" s="2"/>
      <c r="E479" s="2"/>
      <c r="F479" s="2"/>
      <c r="G479" s="27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91"/>
      <c r="AC479" s="2"/>
      <c r="AD479" s="2"/>
      <c r="AE479" s="291"/>
      <c r="AF479" s="2"/>
      <c r="AG479" s="2"/>
      <c r="AH479" s="2"/>
      <c r="AI479" s="29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14.25" customHeight="1" x14ac:dyDescent="0.35">
      <c r="A480" s="2"/>
      <c r="B480" s="2"/>
      <c r="C480" s="2"/>
      <c r="D480" s="2"/>
      <c r="E480" s="2"/>
      <c r="F480" s="2"/>
      <c r="G480" s="27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91"/>
      <c r="AC480" s="2"/>
      <c r="AD480" s="2"/>
      <c r="AE480" s="291"/>
      <c r="AF480" s="2"/>
      <c r="AG480" s="2"/>
      <c r="AH480" s="2"/>
      <c r="AI480" s="29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14.25" customHeight="1" x14ac:dyDescent="0.35">
      <c r="A481" s="2"/>
      <c r="B481" s="2"/>
      <c r="C481" s="2"/>
      <c r="D481" s="2"/>
      <c r="E481" s="2"/>
      <c r="F481" s="2"/>
      <c r="G481" s="27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91"/>
      <c r="AC481" s="2"/>
      <c r="AD481" s="2"/>
      <c r="AE481" s="291"/>
      <c r="AF481" s="2"/>
      <c r="AG481" s="2"/>
      <c r="AH481" s="2"/>
      <c r="AI481" s="29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14.25" customHeight="1" x14ac:dyDescent="0.35">
      <c r="A482" s="2"/>
      <c r="B482" s="2"/>
      <c r="C482" s="2"/>
      <c r="D482" s="2"/>
      <c r="E482" s="2"/>
      <c r="F482" s="2"/>
      <c r="G482" s="27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91"/>
      <c r="AC482" s="2"/>
      <c r="AD482" s="2"/>
      <c r="AE482" s="291"/>
      <c r="AF482" s="2"/>
      <c r="AG482" s="2"/>
      <c r="AH482" s="2"/>
      <c r="AI482" s="29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14.25" customHeight="1" x14ac:dyDescent="0.35">
      <c r="A483" s="2"/>
      <c r="B483" s="2"/>
      <c r="C483" s="2"/>
      <c r="D483" s="2"/>
      <c r="E483" s="2"/>
      <c r="F483" s="2"/>
      <c r="G483" s="27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91"/>
      <c r="AC483" s="2"/>
      <c r="AD483" s="2"/>
      <c r="AE483" s="291"/>
      <c r="AF483" s="2"/>
      <c r="AG483" s="2"/>
      <c r="AH483" s="2"/>
      <c r="AI483" s="29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14.25" customHeight="1" x14ac:dyDescent="0.35">
      <c r="A484" s="2"/>
      <c r="B484" s="2"/>
      <c r="C484" s="2"/>
      <c r="D484" s="2"/>
      <c r="E484" s="2"/>
      <c r="F484" s="2"/>
      <c r="G484" s="27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91"/>
      <c r="AC484" s="2"/>
      <c r="AD484" s="2"/>
      <c r="AE484" s="291"/>
      <c r="AF484" s="2"/>
      <c r="AG484" s="2"/>
      <c r="AH484" s="2"/>
      <c r="AI484" s="29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14.25" customHeight="1" x14ac:dyDescent="0.35">
      <c r="A485" s="2"/>
      <c r="B485" s="2"/>
      <c r="C485" s="2"/>
      <c r="D485" s="2"/>
      <c r="E485" s="2"/>
      <c r="F485" s="2"/>
      <c r="G485" s="27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91"/>
      <c r="AC485" s="2"/>
      <c r="AD485" s="2"/>
      <c r="AE485" s="291"/>
      <c r="AF485" s="2"/>
      <c r="AG485" s="2"/>
      <c r="AH485" s="2"/>
      <c r="AI485" s="29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14.25" customHeight="1" x14ac:dyDescent="0.35">
      <c r="A486" s="2"/>
      <c r="B486" s="2"/>
      <c r="C486" s="2"/>
      <c r="D486" s="2"/>
      <c r="E486" s="2"/>
      <c r="F486" s="2"/>
      <c r="G486" s="27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91"/>
      <c r="AC486" s="2"/>
      <c r="AD486" s="2"/>
      <c r="AE486" s="291"/>
      <c r="AF486" s="2"/>
      <c r="AG486" s="2"/>
      <c r="AH486" s="2"/>
      <c r="AI486" s="29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14.25" customHeight="1" x14ac:dyDescent="0.35">
      <c r="A487" s="2"/>
      <c r="B487" s="2"/>
      <c r="C487" s="2"/>
      <c r="D487" s="2"/>
      <c r="E487" s="2"/>
      <c r="F487" s="2"/>
      <c r="G487" s="27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91"/>
      <c r="AC487" s="2"/>
      <c r="AD487" s="2"/>
      <c r="AE487" s="291"/>
      <c r="AF487" s="2"/>
      <c r="AG487" s="2"/>
      <c r="AH487" s="2"/>
      <c r="AI487" s="29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14.25" customHeight="1" x14ac:dyDescent="0.35">
      <c r="A488" s="2"/>
      <c r="B488" s="2"/>
      <c r="C488" s="2"/>
      <c r="D488" s="2"/>
      <c r="E488" s="2"/>
      <c r="F488" s="2"/>
      <c r="G488" s="27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91"/>
      <c r="AC488" s="2"/>
      <c r="AD488" s="2"/>
      <c r="AE488" s="291"/>
      <c r="AF488" s="2"/>
      <c r="AG488" s="2"/>
      <c r="AH488" s="2"/>
      <c r="AI488" s="29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14.25" customHeight="1" x14ac:dyDescent="0.35">
      <c r="A489" s="2"/>
      <c r="B489" s="2"/>
      <c r="C489" s="2"/>
      <c r="D489" s="2"/>
      <c r="E489" s="2"/>
      <c r="F489" s="2"/>
      <c r="G489" s="27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91"/>
      <c r="AC489" s="2"/>
      <c r="AD489" s="2"/>
      <c r="AE489" s="291"/>
      <c r="AF489" s="2"/>
      <c r="AG489" s="2"/>
      <c r="AH489" s="2"/>
      <c r="AI489" s="29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14.25" customHeight="1" x14ac:dyDescent="0.35">
      <c r="A490" s="2"/>
      <c r="B490" s="2"/>
      <c r="C490" s="2"/>
      <c r="D490" s="2"/>
      <c r="E490" s="2"/>
      <c r="F490" s="2"/>
      <c r="G490" s="27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91"/>
      <c r="AC490" s="2"/>
      <c r="AD490" s="2"/>
      <c r="AE490" s="291"/>
      <c r="AF490" s="2"/>
      <c r="AG490" s="2"/>
      <c r="AH490" s="2"/>
      <c r="AI490" s="29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14.25" customHeight="1" x14ac:dyDescent="0.35">
      <c r="A491" s="2"/>
      <c r="B491" s="2"/>
      <c r="C491" s="2"/>
      <c r="D491" s="2"/>
      <c r="E491" s="2"/>
      <c r="F491" s="2"/>
      <c r="G491" s="27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91"/>
      <c r="AC491" s="2"/>
      <c r="AD491" s="2"/>
      <c r="AE491" s="291"/>
      <c r="AF491" s="2"/>
      <c r="AG491" s="2"/>
      <c r="AH491" s="2"/>
      <c r="AI491" s="29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14.25" customHeight="1" x14ac:dyDescent="0.35">
      <c r="A492" s="2"/>
      <c r="B492" s="2"/>
      <c r="C492" s="2"/>
      <c r="D492" s="2"/>
      <c r="E492" s="2"/>
      <c r="F492" s="2"/>
      <c r="G492" s="27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91"/>
      <c r="AC492" s="2"/>
      <c r="AD492" s="2"/>
      <c r="AE492" s="291"/>
      <c r="AF492" s="2"/>
      <c r="AG492" s="2"/>
      <c r="AH492" s="2"/>
      <c r="AI492" s="29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14.25" customHeight="1" x14ac:dyDescent="0.35">
      <c r="A493" s="2"/>
      <c r="B493" s="2"/>
      <c r="C493" s="2"/>
      <c r="D493" s="2"/>
      <c r="E493" s="2"/>
      <c r="F493" s="2"/>
      <c r="G493" s="27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91"/>
      <c r="AC493" s="2"/>
      <c r="AD493" s="2"/>
      <c r="AE493" s="291"/>
      <c r="AF493" s="2"/>
      <c r="AG493" s="2"/>
      <c r="AH493" s="2"/>
      <c r="AI493" s="29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14.25" customHeight="1" x14ac:dyDescent="0.35">
      <c r="A494" s="2"/>
      <c r="B494" s="2"/>
      <c r="C494" s="2"/>
      <c r="D494" s="2"/>
      <c r="E494" s="2"/>
      <c r="F494" s="2"/>
      <c r="G494" s="27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91"/>
      <c r="AC494" s="2"/>
      <c r="AD494" s="2"/>
      <c r="AE494" s="291"/>
      <c r="AF494" s="2"/>
      <c r="AG494" s="2"/>
      <c r="AH494" s="2"/>
      <c r="AI494" s="29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14.25" customHeight="1" x14ac:dyDescent="0.35">
      <c r="A495" s="2"/>
      <c r="B495" s="2"/>
      <c r="C495" s="2"/>
      <c r="D495" s="2"/>
      <c r="E495" s="2"/>
      <c r="F495" s="2"/>
      <c r="G495" s="27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91"/>
      <c r="AC495" s="2"/>
      <c r="AD495" s="2"/>
      <c r="AE495" s="291"/>
      <c r="AF495" s="2"/>
      <c r="AG495" s="2"/>
      <c r="AH495" s="2"/>
      <c r="AI495" s="29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14.25" customHeight="1" x14ac:dyDescent="0.35">
      <c r="A496" s="2"/>
      <c r="B496" s="2"/>
      <c r="C496" s="2"/>
      <c r="D496" s="2"/>
      <c r="E496" s="2"/>
      <c r="F496" s="2"/>
      <c r="G496" s="27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91"/>
      <c r="AC496" s="2"/>
      <c r="AD496" s="2"/>
      <c r="AE496" s="291"/>
      <c r="AF496" s="2"/>
      <c r="AG496" s="2"/>
      <c r="AH496" s="2"/>
      <c r="AI496" s="29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14.25" customHeight="1" x14ac:dyDescent="0.35">
      <c r="A497" s="2"/>
      <c r="B497" s="2"/>
      <c r="C497" s="2"/>
      <c r="D497" s="2"/>
      <c r="E497" s="2"/>
      <c r="F497" s="2"/>
      <c r="G497" s="27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91"/>
      <c r="AC497" s="2"/>
      <c r="AD497" s="2"/>
      <c r="AE497" s="291"/>
      <c r="AF497" s="2"/>
      <c r="AG497" s="2"/>
      <c r="AH497" s="2"/>
      <c r="AI497" s="29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14.25" customHeight="1" x14ac:dyDescent="0.35">
      <c r="A498" s="2"/>
      <c r="B498" s="2"/>
      <c r="C498" s="2"/>
      <c r="D498" s="2"/>
      <c r="E498" s="2"/>
      <c r="F498" s="2"/>
      <c r="G498" s="27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91"/>
      <c r="AC498" s="2"/>
      <c r="AD498" s="2"/>
      <c r="AE498" s="291"/>
      <c r="AF498" s="2"/>
      <c r="AG498" s="2"/>
      <c r="AH498" s="2"/>
      <c r="AI498" s="29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14.25" customHeight="1" x14ac:dyDescent="0.35">
      <c r="A499" s="2"/>
      <c r="B499" s="2"/>
      <c r="C499" s="2"/>
      <c r="D499" s="2"/>
      <c r="E499" s="2"/>
      <c r="F499" s="2"/>
      <c r="G499" s="27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91"/>
      <c r="AC499" s="2"/>
      <c r="AD499" s="2"/>
      <c r="AE499" s="291"/>
      <c r="AF499" s="2"/>
      <c r="AG499" s="2"/>
      <c r="AH499" s="2"/>
      <c r="AI499" s="29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14.25" customHeight="1" x14ac:dyDescent="0.35">
      <c r="A500" s="2"/>
      <c r="B500" s="2"/>
      <c r="C500" s="2"/>
      <c r="D500" s="2"/>
      <c r="E500" s="2"/>
      <c r="F500" s="2"/>
      <c r="G500" s="27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91"/>
      <c r="AC500" s="2"/>
      <c r="AD500" s="2"/>
      <c r="AE500" s="291"/>
      <c r="AF500" s="2"/>
      <c r="AG500" s="2"/>
      <c r="AH500" s="2"/>
      <c r="AI500" s="29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14.25" customHeight="1" x14ac:dyDescent="0.35">
      <c r="A501" s="2"/>
      <c r="B501" s="2"/>
      <c r="C501" s="2"/>
      <c r="D501" s="2"/>
      <c r="E501" s="2"/>
      <c r="F501" s="2"/>
      <c r="G501" s="27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91"/>
      <c r="AC501" s="2"/>
      <c r="AD501" s="2"/>
      <c r="AE501" s="291"/>
      <c r="AF501" s="2"/>
      <c r="AG501" s="2"/>
      <c r="AH501" s="2"/>
      <c r="AI501" s="29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14.25" customHeight="1" x14ac:dyDescent="0.35">
      <c r="A502" s="2"/>
      <c r="B502" s="2"/>
      <c r="C502" s="2"/>
      <c r="D502" s="2"/>
      <c r="E502" s="2"/>
      <c r="F502" s="2"/>
      <c r="G502" s="27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91"/>
      <c r="AC502" s="2"/>
      <c r="AD502" s="2"/>
      <c r="AE502" s="291"/>
      <c r="AF502" s="2"/>
      <c r="AG502" s="2"/>
      <c r="AH502" s="2"/>
      <c r="AI502" s="29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14.25" customHeight="1" x14ac:dyDescent="0.35">
      <c r="A503" s="2"/>
      <c r="B503" s="2"/>
      <c r="C503" s="2"/>
      <c r="D503" s="2"/>
      <c r="E503" s="2"/>
      <c r="F503" s="2"/>
      <c r="G503" s="27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91"/>
      <c r="AC503" s="2"/>
      <c r="AD503" s="2"/>
      <c r="AE503" s="291"/>
      <c r="AF503" s="2"/>
      <c r="AG503" s="2"/>
      <c r="AH503" s="2"/>
      <c r="AI503" s="29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14.25" customHeight="1" x14ac:dyDescent="0.35">
      <c r="A504" s="2"/>
      <c r="B504" s="2"/>
      <c r="C504" s="2"/>
      <c r="D504" s="2"/>
      <c r="E504" s="2"/>
      <c r="F504" s="2"/>
      <c r="G504" s="27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91"/>
      <c r="AC504" s="2"/>
      <c r="AD504" s="2"/>
      <c r="AE504" s="291"/>
      <c r="AF504" s="2"/>
      <c r="AG504" s="2"/>
      <c r="AH504" s="2"/>
      <c r="AI504" s="29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14.25" customHeight="1" x14ac:dyDescent="0.35">
      <c r="A505" s="2"/>
      <c r="B505" s="2"/>
      <c r="C505" s="2"/>
      <c r="D505" s="2"/>
      <c r="E505" s="2"/>
      <c r="F505" s="2"/>
      <c r="G505" s="27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91"/>
      <c r="AC505" s="2"/>
      <c r="AD505" s="2"/>
      <c r="AE505" s="291"/>
      <c r="AF505" s="2"/>
      <c r="AG505" s="2"/>
      <c r="AH505" s="2"/>
      <c r="AI505" s="29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14.25" customHeight="1" x14ac:dyDescent="0.35">
      <c r="A506" s="2"/>
      <c r="B506" s="2"/>
      <c r="C506" s="2"/>
      <c r="D506" s="2"/>
      <c r="E506" s="2"/>
      <c r="F506" s="2"/>
      <c r="G506" s="27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91"/>
      <c r="AC506" s="2"/>
      <c r="AD506" s="2"/>
      <c r="AE506" s="291"/>
      <c r="AF506" s="2"/>
      <c r="AG506" s="2"/>
      <c r="AH506" s="2"/>
      <c r="AI506" s="29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14.25" customHeight="1" x14ac:dyDescent="0.35">
      <c r="A507" s="2"/>
      <c r="B507" s="2"/>
      <c r="C507" s="2"/>
      <c r="D507" s="2"/>
      <c r="E507" s="2"/>
      <c r="F507" s="2"/>
      <c r="G507" s="27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91"/>
      <c r="AC507" s="2"/>
      <c r="AD507" s="2"/>
      <c r="AE507" s="291"/>
      <c r="AF507" s="2"/>
      <c r="AG507" s="2"/>
      <c r="AH507" s="2"/>
      <c r="AI507" s="29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14.25" customHeight="1" x14ac:dyDescent="0.35">
      <c r="A508" s="2"/>
      <c r="B508" s="2"/>
      <c r="C508" s="2"/>
      <c r="D508" s="2"/>
      <c r="E508" s="2"/>
      <c r="F508" s="2"/>
      <c r="G508" s="27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91"/>
      <c r="AC508" s="2"/>
      <c r="AD508" s="2"/>
      <c r="AE508" s="291"/>
      <c r="AF508" s="2"/>
      <c r="AG508" s="2"/>
      <c r="AH508" s="2"/>
      <c r="AI508" s="29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14.25" customHeight="1" x14ac:dyDescent="0.35">
      <c r="A509" s="2"/>
      <c r="B509" s="2"/>
      <c r="C509" s="2"/>
      <c r="D509" s="2"/>
      <c r="E509" s="2"/>
      <c r="F509" s="2"/>
      <c r="G509" s="27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91"/>
      <c r="AC509" s="2"/>
      <c r="AD509" s="2"/>
      <c r="AE509" s="291"/>
      <c r="AF509" s="2"/>
      <c r="AG509" s="2"/>
      <c r="AH509" s="2"/>
      <c r="AI509" s="29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14.25" customHeight="1" x14ac:dyDescent="0.35">
      <c r="A510" s="2"/>
      <c r="B510" s="2"/>
      <c r="C510" s="2"/>
      <c r="D510" s="2"/>
      <c r="E510" s="2"/>
      <c r="F510" s="2"/>
      <c r="G510" s="27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91"/>
      <c r="AC510" s="2"/>
      <c r="AD510" s="2"/>
      <c r="AE510" s="291"/>
      <c r="AF510" s="2"/>
      <c r="AG510" s="2"/>
      <c r="AH510" s="2"/>
      <c r="AI510" s="29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14.25" customHeight="1" x14ac:dyDescent="0.35">
      <c r="A511" s="2"/>
      <c r="B511" s="2"/>
      <c r="C511" s="2"/>
      <c r="D511" s="2"/>
      <c r="E511" s="2"/>
      <c r="F511" s="2"/>
      <c r="G511" s="27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91"/>
      <c r="AC511" s="2"/>
      <c r="AD511" s="2"/>
      <c r="AE511" s="291"/>
      <c r="AF511" s="2"/>
      <c r="AG511" s="2"/>
      <c r="AH511" s="2"/>
      <c r="AI511" s="29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14.25" customHeight="1" x14ac:dyDescent="0.35">
      <c r="A512" s="2"/>
      <c r="B512" s="2"/>
      <c r="C512" s="2"/>
      <c r="D512" s="2"/>
      <c r="E512" s="2"/>
      <c r="F512" s="2"/>
      <c r="G512" s="27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91"/>
      <c r="AC512" s="2"/>
      <c r="AD512" s="2"/>
      <c r="AE512" s="291"/>
      <c r="AF512" s="2"/>
      <c r="AG512" s="2"/>
      <c r="AH512" s="2"/>
      <c r="AI512" s="29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14.25" customHeight="1" x14ac:dyDescent="0.35">
      <c r="A513" s="2"/>
      <c r="B513" s="2"/>
      <c r="C513" s="2"/>
      <c r="D513" s="2"/>
      <c r="E513" s="2"/>
      <c r="F513" s="2"/>
      <c r="G513" s="27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91"/>
      <c r="AC513" s="2"/>
      <c r="AD513" s="2"/>
      <c r="AE513" s="291"/>
      <c r="AF513" s="2"/>
      <c r="AG513" s="2"/>
      <c r="AH513" s="2"/>
      <c r="AI513" s="29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14.25" customHeight="1" x14ac:dyDescent="0.35">
      <c r="A514" s="2"/>
      <c r="B514" s="2"/>
      <c r="C514" s="2"/>
      <c r="D514" s="2"/>
      <c r="E514" s="2"/>
      <c r="F514" s="2"/>
      <c r="G514" s="27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91"/>
      <c r="AC514" s="2"/>
      <c r="AD514" s="2"/>
      <c r="AE514" s="291"/>
      <c r="AF514" s="2"/>
      <c r="AG514" s="2"/>
      <c r="AH514" s="2"/>
      <c r="AI514" s="29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14.25" customHeight="1" x14ac:dyDescent="0.35">
      <c r="A515" s="2"/>
      <c r="B515" s="2"/>
      <c r="C515" s="2"/>
      <c r="D515" s="2"/>
      <c r="E515" s="2"/>
      <c r="F515" s="2"/>
      <c r="G515" s="27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91"/>
      <c r="AC515" s="2"/>
      <c r="AD515" s="2"/>
      <c r="AE515" s="291"/>
      <c r="AF515" s="2"/>
      <c r="AG515" s="2"/>
      <c r="AH515" s="2"/>
      <c r="AI515" s="29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14.25" customHeight="1" x14ac:dyDescent="0.35">
      <c r="A516" s="2"/>
      <c r="B516" s="2"/>
      <c r="C516" s="2"/>
      <c r="D516" s="2"/>
      <c r="E516" s="2"/>
      <c r="F516" s="2"/>
      <c r="G516" s="27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91"/>
      <c r="AC516" s="2"/>
      <c r="AD516" s="2"/>
      <c r="AE516" s="291"/>
      <c r="AF516" s="2"/>
      <c r="AG516" s="2"/>
      <c r="AH516" s="2"/>
      <c r="AI516" s="29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14.25" customHeight="1" x14ac:dyDescent="0.35">
      <c r="A517" s="2"/>
      <c r="B517" s="2"/>
      <c r="C517" s="2"/>
      <c r="D517" s="2"/>
      <c r="E517" s="2"/>
      <c r="F517" s="2"/>
      <c r="G517" s="27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91"/>
      <c r="AC517" s="2"/>
      <c r="AD517" s="2"/>
      <c r="AE517" s="291"/>
      <c r="AF517" s="2"/>
      <c r="AG517" s="2"/>
      <c r="AH517" s="2"/>
      <c r="AI517" s="29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14.25" customHeight="1" x14ac:dyDescent="0.35">
      <c r="A518" s="2"/>
      <c r="B518" s="2"/>
      <c r="C518" s="2"/>
      <c r="D518" s="2"/>
      <c r="E518" s="2"/>
      <c r="F518" s="2"/>
      <c r="G518" s="27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91"/>
      <c r="AC518" s="2"/>
      <c r="AD518" s="2"/>
      <c r="AE518" s="291"/>
      <c r="AF518" s="2"/>
      <c r="AG518" s="2"/>
      <c r="AH518" s="2"/>
      <c r="AI518" s="29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14.25" customHeight="1" x14ac:dyDescent="0.35">
      <c r="A519" s="2"/>
      <c r="B519" s="2"/>
      <c r="C519" s="2"/>
      <c r="D519" s="2"/>
      <c r="E519" s="2"/>
      <c r="F519" s="2"/>
      <c r="G519" s="27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91"/>
      <c r="AC519" s="2"/>
      <c r="AD519" s="2"/>
      <c r="AE519" s="291"/>
      <c r="AF519" s="2"/>
      <c r="AG519" s="2"/>
      <c r="AH519" s="2"/>
      <c r="AI519" s="29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14.25" customHeight="1" x14ac:dyDescent="0.35">
      <c r="A520" s="2"/>
      <c r="B520" s="2"/>
      <c r="C520" s="2"/>
      <c r="D520" s="2"/>
      <c r="E520" s="2"/>
      <c r="F520" s="2"/>
      <c r="G520" s="27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91"/>
      <c r="AC520" s="2"/>
      <c r="AD520" s="2"/>
      <c r="AE520" s="291"/>
      <c r="AF520" s="2"/>
      <c r="AG520" s="2"/>
      <c r="AH520" s="2"/>
      <c r="AI520" s="29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14.25" customHeight="1" x14ac:dyDescent="0.35">
      <c r="A521" s="2"/>
      <c r="B521" s="2"/>
      <c r="C521" s="2"/>
      <c r="D521" s="2"/>
      <c r="E521" s="2"/>
      <c r="F521" s="2"/>
      <c r="G521" s="27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91"/>
      <c r="AC521" s="2"/>
      <c r="AD521" s="2"/>
      <c r="AE521" s="291"/>
      <c r="AF521" s="2"/>
      <c r="AG521" s="2"/>
      <c r="AH521" s="2"/>
      <c r="AI521" s="29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14.25" customHeight="1" x14ac:dyDescent="0.35">
      <c r="A522" s="2"/>
      <c r="B522" s="2"/>
      <c r="C522" s="2"/>
      <c r="D522" s="2"/>
      <c r="E522" s="2"/>
      <c r="F522" s="2"/>
      <c r="G522" s="27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91"/>
      <c r="AC522" s="2"/>
      <c r="AD522" s="2"/>
      <c r="AE522" s="291"/>
      <c r="AF522" s="2"/>
      <c r="AG522" s="2"/>
      <c r="AH522" s="2"/>
      <c r="AI522" s="29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14.25" customHeight="1" x14ac:dyDescent="0.35">
      <c r="A523" s="2"/>
      <c r="B523" s="2"/>
      <c r="C523" s="2"/>
      <c r="D523" s="2"/>
      <c r="E523" s="2"/>
      <c r="F523" s="2"/>
      <c r="G523" s="27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91"/>
      <c r="AC523" s="2"/>
      <c r="AD523" s="2"/>
      <c r="AE523" s="291"/>
      <c r="AF523" s="2"/>
      <c r="AG523" s="2"/>
      <c r="AH523" s="2"/>
      <c r="AI523" s="29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14.25" customHeight="1" x14ac:dyDescent="0.35">
      <c r="A524" s="2"/>
      <c r="B524" s="2"/>
      <c r="C524" s="2"/>
      <c r="D524" s="2"/>
      <c r="E524" s="2"/>
      <c r="F524" s="2"/>
      <c r="G524" s="27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91"/>
      <c r="AC524" s="2"/>
      <c r="AD524" s="2"/>
      <c r="AE524" s="291"/>
      <c r="AF524" s="2"/>
      <c r="AG524" s="2"/>
      <c r="AH524" s="2"/>
      <c r="AI524" s="29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14.25" customHeight="1" x14ac:dyDescent="0.35">
      <c r="A525" s="2"/>
      <c r="B525" s="2"/>
      <c r="C525" s="2"/>
      <c r="D525" s="2"/>
      <c r="E525" s="2"/>
      <c r="F525" s="2"/>
      <c r="G525" s="27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91"/>
      <c r="AC525" s="2"/>
      <c r="AD525" s="2"/>
      <c r="AE525" s="291"/>
      <c r="AF525" s="2"/>
      <c r="AG525" s="2"/>
      <c r="AH525" s="2"/>
      <c r="AI525" s="29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14.25" customHeight="1" x14ac:dyDescent="0.35">
      <c r="A526" s="2"/>
      <c r="B526" s="2"/>
      <c r="C526" s="2"/>
      <c r="D526" s="2"/>
      <c r="E526" s="2"/>
      <c r="F526" s="2"/>
      <c r="G526" s="27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91"/>
      <c r="AC526" s="2"/>
      <c r="AD526" s="2"/>
      <c r="AE526" s="291"/>
      <c r="AF526" s="2"/>
      <c r="AG526" s="2"/>
      <c r="AH526" s="2"/>
      <c r="AI526" s="29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14.25" customHeight="1" x14ac:dyDescent="0.35">
      <c r="A527" s="2"/>
      <c r="B527" s="2"/>
      <c r="C527" s="2"/>
      <c r="D527" s="2"/>
      <c r="E527" s="2"/>
      <c r="F527" s="2"/>
      <c r="G527" s="27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91"/>
      <c r="AC527" s="2"/>
      <c r="AD527" s="2"/>
      <c r="AE527" s="291"/>
      <c r="AF527" s="2"/>
      <c r="AG527" s="2"/>
      <c r="AH527" s="2"/>
      <c r="AI527" s="29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14.25" customHeight="1" x14ac:dyDescent="0.35">
      <c r="A528" s="2"/>
      <c r="B528" s="2"/>
      <c r="C528" s="2"/>
      <c r="D528" s="2"/>
      <c r="E528" s="2"/>
      <c r="F528" s="2"/>
      <c r="G528" s="27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91"/>
      <c r="AC528" s="2"/>
      <c r="AD528" s="2"/>
      <c r="AE528" s="291"/>
      <c r="AF528" s="2"/>
      <c r="AG528" s="2"/>
      <c r="AH528" s="2"/>
      <c r="AI528" s="29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14.25" customHeight="1" x14ac:dyDescent="0.35">
      <c r="A529" s="2"/>
      <c r="B529" s="2"/>
      <c r="C529" s="2"/>
      <c r="D529" s="2"/>
      <c r="E529" s="2"/>
      <c r="F529" s="2"/>
      <c r="G529" s="27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91"/>
      <c r="AC529" s="2"/>
      <c r="AD529" s="2"/>
      <c r="AE529" s="291"/>
      <c r="AF529" s="2"/>
      <c r="AG529" s="2"/>
      <c r="AH529" s="2"/>
      <c r="AI529" s="29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14.25" customHeight="1" x14ac:dyDescent="0.35">
      <c r="A530" s="2"/>
      <c r="B530" s="2"/>
      <c r="C530" s="2"/>
      <c r="D530" s="2"/>
      <c r="E530" s="2"/>
      <c r="F530" s="2"/>
      <c r="G530" s="27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91"/>
      <c r="AC530" s="2"/>
      <c r="AD530" s="2"/>
      <c r="AE530" s="291"/>
      <c r="AF530" s="2"/>
      <c r="AG530" s="2"/>
      <c r="AH530" s="2"/>
      <c r="AI530" s="29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14.25" customHeight="1" x14ac:dyDescent="0.35">
      <c r="A531" s="2"/>
      <c r="B531" s="2"/>
      <c r="C531" s="2"/>
      <c r="D531" s="2"/>
      <c r="E531" s="2"/>
      <c r="F531" s="2"/>
      <c r="G531" s="27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91"/>
      <c r="AC531" s="2"/>
      <c r="AD531" s="2"/>
      <c r="AE531" s="291"/>
      <c r="AF531" s="2"/>
      <c r="AG531" s="2"/>
      <c r="AH531" s="2"/>
      <c r="AI531" s="29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14.25" customHeight="1" x14ac:dyDescent="0.35">
      <c r="A532" s="2"/>
      <c r="B532" s="2"/>
      <c r="C532" s="2"/>
      <c r="D532" s="2"/>
      <c r="E532" s="2"/>
      <c r="F532" s="2"/>
      <c r="G532" s="27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91"/>
      <c r="AC532" s="2"/>
      <c r="AD532" s="2"/>
      <c r="AE532" s="291"/>
      <c r="AF532" s="2"/>
      <c r="AG532" s="2"/>
      <c r="AH532" s="2"/>
      <c r="AI532" s="29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14.25" customHeight="1" x14ac:dyDescent="0.35">
      <c r="A533" s="2"/>
      <c r="B533" s="2"/>
      <c r="C533" s="2"/>
      <c r="D533" s="2"/>
      <c r="E533" s="2"/>
      <c r="F533" s="2"/>
      <c r="G533" s="27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91"/>
      <c r="AC533" s="2"/>
      <c r="AD533" s="2"/>
      <c r="AE533" s="291"/>
      <c r="AF533" s="2"/>
      <c r="AG533" s="2"/>
      <c r="AH533" s="2"/>
      <c r="AI533" s="29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14.25" customHeight="1" x14ac:dyDescent="0.35">
      <c r="A534" s="2"/>
      <c r="B534" s="2"/>
      <c r="C534" s="2"/>
      <c r="D534" s="2"/>
      <c r="E534" s="2"/>
      <c r="F534" s="2"/>
      <c r="G534" s="27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91"/>
      <c r="AC534" s="2"/>
      <c r="AD534" s="2"/>
      <c r="AE534" s="291"/>
      <c r="AF534" s="2"/>
      <c r="AG534" s="2"/>
      <c r="AH534" s="2"/>
      <c r="AI534" s="29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14.25" customHeight="1" x14ac:dyDescent="0.35">
      <c r="A535" s="2"/>
      <c r="B535" s="2"/>
      <c r="C535" s="2"/>
      <c r="D535" s="2"/>
      <c r="E535" s="2"/>
      <c r="F535" s="2"/>
      <c r="G535" s="27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91"/>
      <c r="AC535" s="2"/>
      <c r="AD535" s="2"/>
      <c r="AE535" s="291"/>
      <c r="AF535" s="2"/>
      <c r="AG535" s="2"/>
      <c r="AH535" s="2"/>
      <c r="AI535" s="29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14.25" customHeight="1" x14ac:dyDescent="0.35">
      <c r="A536" s="2"/>
      <c r="B536" s="2"/>
      <c r="C536" s="2"/>
      <c r="D536" s="2"/>
      <c r="E536" s="2"/>
      <c r="F536" s="2"/>
      <c r="G536" s="27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91"/>
      <c r="AC536" s="2"/>
      <c r="AD536" s="2"/>
      <c r="AE536" s="291"/>
      <c r="AF536" s="2"/>
      <c r="AG536" s="2"/>
      <c r="AH536" s="2"/>
      <c r="AI536" s="29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14.25" customHeight="1" x14ac:dyDescent="0.35">
      <c r="A537" s="2"/>
      <c r="B537" s="2"/>
      <c r="C537" s="2"/>
      <c r="D537" s="2"/>
      <c r="E537" s="2"/>
      <c r="F537" s="2"/>
      <c r="G537" s="27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91"/>
      <c r="AC537" s="2"/>
      <c r="AD537" s="2"/>
      <c r="AE537" s="291"/>
      <c r="AF537" s="2"/>
      <c r="AG537" s="2"/>
      <c r="AH537" s="2"/>
      <c r="AI537" s="29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14.25" customHeight="1" x14ac:dyDescent="0.35">
      <c r="A538" s="2"/>
      <c r="B538" s="2"/>
      <c r="C538" s="2"/>
      <c r="D538" s="2"/>
      <c r="E538" s="2"/>
      <c r="F538" s="2"/>
      <c r="G538" s="27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91"/>
      <c r="AC538" s="2"/>
      <c r="AD538" s="2"/>
      <c r="AE538" s="291"/>
      <c r="AF538" s="2"/>
      <c r="AG538" s="2"/>
      <c r="AH538" s="2"/>
      <c r="AI538" s="29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14.25" customHeight="1" x14ac:dyDescent="0.35">
      <c r="A539" s="2"/>
      <c r="B539" s="2"/>
      <c r="C539" s="2"/>
      <c r="D539" s="2"/>
      <c r="E539" s="2"/>
      <c r="F539" s="2"/>
      <c r="G539" s="27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91"/>
      <c r="AC539" s="2"/>
      <c r="AD539" s="2"/>
      <c r="AE539" s="291"/>
      <c r="AF539" s="2"/>
      <c r="AG539" s="2"/>
      <c r="AH539" s="2"/>
      <c r="AI539" s="29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14.25" customHeight="1" x14ac:dyDescent="0.35">
      <c r="A540" s="2"/>
      <c r="B540" s="2"/>
      <c r="C540" s="2"/>
      <c r="D540" s="2"/>
      <c r="E540" s="2"/>
      <c r="F540" s="2"/>
      <c r="G540" s="27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91"/>
      <c r="AC540" s="2"/>
      <c r="AD540" s="2"/>
      <c r="AE540" s="291"/>
      <c r="AF540" s="2"/>
      <c r="AG540" s="2"/>
      <c r="AH540" s="2"/>
      <c r="AI540" s="29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14.25" customHeight="1" x14ac:dyDescent="0.35">
      <c r="A541" s="2"/>
      <c r="B541" s="2"/>
      <c r="C541" s="2"/>
      <c r="D541" s="2"/>
      <c r="E541" s="2"/>
      <c r="F541" s="2"/>
      <c r="G541" s="27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91"/>
      <c r="AC541" s="2"/>
      <c r="AD541" s="2"/>
      <c r="AE541" s="291"/>
      <c r="AF541" s="2"/>
      <c r="AG541" s="2"/>
      <c r="AH541" s="2"/>
      <c r="AI541" s="29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14.25" customHeight="1" x14ac:dyDescent="0.35">
      <c r="A542" s="2"/>
      <c r="B542" s="2"/>
      <c r="C542" s="2"/>
      <c r="D542" s="2"/>
      <c r="E542" s="2"/>
      <c r="F542" s="2"/>
      <c r="G542" s="27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91"/>
      <c r="AC542" s="2"/>
      <c r="AD542" s="2"/>
      <c r="AE542" s="291"/>
      <c r="AF542" s="2"/>
      <c r="AG542" s="2"/>
      <c r="AH542" s="2"/>
      <c r="AI542" s="29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14.25" customHeight="1" x14ac:dyDescent="0.35">
      <c r="A543" s="2"/>
      <c r="B543" s="2"/>
      <c r="C543" s="2"/>
      <c r="D543" s="2"/>
      <c r="E543" s="2"/>
      <c r="F543" s="2"/>
      <c r="G543" s="27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91"/>
      <c r="AC543" s="2"/>
      <c r="AD543" s="2"/>
      <c r="AE543" s="291"/>
      <c r="AF543" s="2"/>
      <c r="AG543" s="2"/>
      <c r="AH543" s="2"/>
      <c r="AI543" s="29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14.25" customHeight="1" x14ac:dyDescent="0.35">
      <c r="A544" s="2"/>
      <c r="B544" s="2"/>
      <c r="C544" s="2"/>
      <c r="D544" s="2"/>
      <c r="E544" s="2"/>
      <c r="F544" s="2"/>
      <c r="G544" s="27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91"/>
      <c r="AC544" s="2"/>
      <c r="AD544" s="2"/>
      <c r="AE544" s="291"/>
      <c r="AF544" s="2"/>
      <c r="AG544" s="2"/>
      <c r="AH544" s="2"/>
      <c r="AI544" s="29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14.25" customHeight="1" x14ac:dyDescent="0.35">
      <c r="A545" s="2"/>
      <c r="B545" s="2"/>
      <c r="C545" s="2"/>
      <c r="D545" s="2"/>
      <c r="E545" s="2"/>
      <c r="F545" s="2"/>
      <c r="G545" s="27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91"/>
      <c r="AC545" s="2"/>
      <c r="AD545" s="2"/>
      <c r="AE545" s="291"/>
      <c r="AF545" s="2"/>
      <c r="AG545" s="2"/>
      <c r="AH545" s="2"/>
      <c r="AI545" s="29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14.25" customHeight="1" x14ac:dyDescent="0.35">
      <c r="A546" s="2"/>
      <c r="B546" s="2"/>
      <c r="C546" s="2"/>
      <c r="D546" s="2"/>
      <c r="E546" s="2"/>
      <c r="F546" s="2"/>
      <c r="G546" s="27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91"/>
      <c r="AC546" s="2"/>
      <c r="AD546" s="2"/>
      <c r="AE546" s="291"/>
      <c r="AF546" s="2"/>
      <c r="AG546" s="2"/>
      <c r="AH546" s="2"/>
      <c r="AI546" s="29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14.25" customHeight="1" x14ac:dyDescent="0.35">
      <c r="A547" s="2"/>
      <c r="B547" s="2"/>
      <c r="C547" s="2"/>
      <c r="D547" s="2"/>
      <c r="E547" s="2"/>
      <c r="F547" s="2"/>
      <c r="G547" s="27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91"/>
      <c r="AC547" s="2"/>
      <c r="AD547" s="2"/>
      <c r="AE547" s="291"/>
      <c r="AF547" s="2"/>
      <c r="AG547" s="2"/>
      <c r="AH547" s="2"/>
      <c r="AI547" s="29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14.25" customHeight="1" x14ac:dyDescent="0.35">
      <c r="A548" s="2"/>
      <c r="B548" s="2"/>
      <c r="C548" s="2"/>
      <c r="D548" s="2"/>
      <c r="E548" s="2"/>
      <c r="F548" s="2"/>
      <c r="G548" s="27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91"/>
      <c r="AC548" s="2"/>
      <c r="AD548" s="2"/>
      <c r="AE548" s="291"/>
      <c r="AF548" s="2"/>
      <c r="AG548" s="2"/>
      <c r="AH548" s="2"/>
      <c r="AI548" s="29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14.25" customHeight="1" x14ac:dyDescent="0.35">
      <c r="A549" s="2"/>
      <c r="B549" s="2"/>
      <c r="C549" s="2"/>
      <c r="D549" s="2"/>
      <c r="E549" s="2"/>
      <c r="F549" s="2"/>
      <c r="G549" s="27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91"/>
      <c r="AC549" s="2"/>
      <c r="AD549" s="2"/>
      <c r="AE549" s="291"/>
      <c r="AF549" s="2"/>
      <c r="AG549" s="2"/>
      <c r="AH549" s="2"/>
      <c r="AI549" s="29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14.25" customHeight="1" x14ac:dyDescent="0.35">
      <c r="A550" s="2"/>
      <c r="B550" s="2"/>
      <c r="C550" s="2"/>
      <c r="D550" s="2"/>
      <c r="E550" s="2"/>
      <c r="F550" s="2"/>
      <c r="G550" s="27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91"/>
      <c r="AC550" s="2"/>
      <c r="AD550" s="2"/>
      <c r="AE550" s="291"/>
      <c r="AF550" s="2"/>
      <c r="AG550" s="2"/>
      <c r="AH550" s="2"/>
      <c r="AI550" s="29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14.25" customHeight="1" x14ac:dyDescent="0.35">
      <c r="A551" s="2"/>
      <c r="B551" s="2"/>
      <c r="C551" s="2"/>
      <c r="D551" s="2"/>
      <c r="E551" s="2"/>
      <c r="F551" s="2"/>
      <c r="G551" s="27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91"/>
      <c r="AC551" s="2"/>
      <c r="AD551" s="2"/>
      <c r="AE551" s="291"/>
      <c r="AF551" s="2"/>
      <c r="AG551" s="2"/>
      <c r="AH551" s="2"/>
      <c r="AI551" s="29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14.25" customHeight="1" x14ac:dyDescent="0.35">
      <c r="A552" s="2"/>
      <c r="B552" s="2"/>
      <c r="C552" s="2"/>
      <c r="D552" s="2"/>
      <c r="E552" s="2"/>
      <c r="F552" s="2"/>
      <c r="G552" s="27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91"/>
      <c r="AC552" s="2"/>
      <c r="AD552" s="2"/>
      <c r="AE552" s="291"/>
      <c r="AF552" s="2"/>
      <c r="AG552" s="2"/>
      <c r="AH552" s="2"/>
      <c r="AI552" s="29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14.25" customHeight="1" x14ac:dyDescent="0.35">
      <c r="A553" s="2"/>
      <c r="B553" s="2"/>
      <c r="C553" s="2"/>
      <c r="D553" s="2"/>
      <c r="E553" s="2"/>
      <c r="F553" s="2"/>
      <c r="G553" s="27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91"/>
      <c r="AC553" s="2"/>
      <c r="AD553" s="2"/>
      <c r="AE553" s="291"/>
      <c r="AF553" s="2"/>
      <c r="AG553" s="2"/>
      <c r="AH553" s="2"/>
      <c r="AI553" s="29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14.25" customHeight="1" x14ac:dyDescent="0.35">
      <c r="A554" s="2"/>
      <c r="B554" s="2"/>
      <c r="C554" s="2"/>
      <c r="D554" s="2"/>
      <c r="E554" s="2"/>
      <c r="F554" s="2"/>
      <c r="G554" s="27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91"/>
      <c r="AC554" s="2"/>
      <c r="AD554" s="2"/>
      <c r="AE554" s="291"/>
      <c r="AF554" s="2"/>
      <c r="AG554" s="2"/>
      <c r="AH554" s="2"/>
      <c r="AI554" s="29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14.25" customHeight="1" x14ac:dyDescent="0.35">
      <c r="A555" s="2"/>
      <c r="B555" s="2"/>
      <c r="C555" s="2"/>
      <c r="D555" s="2"/>
      <c r="E555" s="2"/>
      <c r="F555" s="2"/>
      <c r="G555" s="27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91"/>
      <c r="AC555" s="2"/>
      <c r="AD555" s="2"/>
      <c r="AE555" s="291"/>
      <c r="AF555" s="2"/>
      <c r="AG555" s="2"/>
      <c r="AH555" s="2"/>
      <c r="AI555" s="29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14.25" customHeight="1" x14ac:dyDescent="0.35">
      <c r="A556" s="2"/>
      <c r="B556" s="2"/>
      <c r="C556" s="2"/>
      <c r="D556" s="2"/>
      <c r="E556" s="2"/>
      <c r="F556" s="2"/>
      <c r="G556" s="27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91"/>
      <c r="AC556" s="2"/>
      <c r="AD556" s="2"/>
      <c r="AE556" s="291"/>
      <c r="AF556" s="2"/>
      <c r="AG556" s="2"/>
      <c r="AH556" s="2"/>
      <c r="AI556" s="29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14.25" customHeight="1" x14ac:dyDescent="0.35">
      <c r="A557" s="2"/>
      <c r="B557" s="2"/>
      <c r="C557" s="2"/>
      <c r="D557" s="2"/>
      <c r="E557" s="2"/>
      <c r="F557" s="2"/>
      <c r="G557" s="27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91"/>
      <c r="AC557" s="2"/>
      <c r="AD557" s="2"/>
      <c r="AE557" s="291"/>
      <c r="AF557" s="2"/>
      <c r="AG557" s="2"/>
      <c r="AH557" s="2"/>
      <c r="AI557" s="29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14.25" customHeight="1" x14ac:dyDescent="0.35">
      <c r="A558" s="2"/>
      <c r="B558" s="2"/>
      <c r="C558" s="2"/>
      <c r="D558" s="2"/>
      <c r="E558" s="2"/>
      <c r="F558" s="2"/>
      <c r="G558" s="27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91"/>
      <c r="AC558" s="2"/>
      <c r="AD558" s="2"/>
      <c r="AE558" s="291"/>
      <c r="AF558" s="2"/>
      <c r="AG558" s="2"/>
      <c r="AH558" s="2"/>
      <c r="AI558" s="29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14.25" customHeight="1" x14ac:dyDescent="0.35">
      <c r="A559" s="2"/>
      <c r="B559" s="2"/>
      <c r="C559" s="2"/>
      <c r="D559" s="2"/>
      <c r="E559" s="2"/>
      <c r="F559" s="2"/>
      <c r="G559" s="27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91"/>
      <c r="AC559" s="2"/>
      <c r="AD559" s="2"/>
      <c r="AE559" s="291"/>
      <c r="AF559" s="2"/>
      <c r="AG559" s="2"/>
      <c r="AH559" s="2"/>
      <c r="AI559" s="29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14.25" customHeight="1" x14ac:dyDescent="0.35">
      <c r="A560" s="2"/>
      <c r="B560" s="2"/>
      <c r="C560" s="2"/>
      <c r="D560" s="2"/>
      <c r="E560" s="2"/>
      <c r="F560" s="2"/>
      <c r="G560" s="27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91"/>
      <c r="AC560" s="2"/>
      <c r="AD560" s="2"/>
      <c r="AE560" s="291"/>
      <c r="AF560" s="2"/>
      <c r="AG560" s="2"/>
      <c r="AH560" s="2"/>
      <c r="AI560" s="29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14.25" customHeight="1" x14ac:dyDescent="0.35">
      <c r="A561" s="2"/>
      <c r="B561" s="2"/>
      <c r="C561" s="2"/>
      <c r="D561" s="2"/>
      <c r="E561" s="2"/>
      <c r="F561" s="2"/>
      <c r="G561" s="27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91"/>
      <c r="AC561" s="2"/>
      <c r="AD561" s="2"/>
      <c r="AE561" s="291"/>
      <c r="AF561" s="2"/>
      <c r="AG561" s="2"/>
      <c r="AH561" s="2"/>
      <c r="AI561" s="29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14.25" customHeight="1" x14ac:dyDescent="0.35">
      <c r="A562" s="2"/>
      <c r="B562" s="2"/>
      <c r="C562" s="2"/>
      <c r="D562" s="2"/>
      <c r="E562" s="2"/>
      <c r="F562" s="2"/>
      <c r="G562" s="27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91"/>
      <c r="AC562" s="2"/>
      <c r="AD562" s="2"/>
      <c r="AE562" s="291"/>
      <c r="AF562" s="2"/>
      <c r="AG562" s="2"/>
      <c r="AH562" s="2"/>
      <c r="AI562" s="29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14.25" customHeight="1" x14ac:dyDescent="0.35">
      <c r="A563" s="2"/>
      <c r="B563" s="2"/>
      <c r="C563" s="2"/>
      <c r="D563" s="2"/>
      <c r="E563" s="2"/>
      <c r="F563" s="2"/>
      <c r="G563" s="27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91"/>
      <c r="AC563" s="2"/>
      <c r="AD563" s="2"/>
      <c r="AE563" s="291"/>
      <c r="AF563" s="2"/>
      <c r="AG563" s="2"/>
      <c r="AH563" s="2"/>
      <c r="AI563" s="29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14.25" customHeight="1" x14ac:dyDescent="0.35">
      <c r="A564" s="2"/>
      <c r="B564" s="2"/>
      <c r="C564" s="2"/>
      <c r="D564" s="2"/>
      <c r="E564" s="2"/>
      <c r="F564" s="2"/>
      <c r="G564" s="27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91"/>
      <c r="AC564" s="2"/>
      <c r="AD564" s="2"/>
      <c r="AE564" s="291"/>
      <c r="AF564" s="2"/>
      <c r="AG564" s="2"/>
      <c r="AH564" s="2"/>
      <c r="AI564" s="29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14.25" customHeight="1" x14ac:dyDescent="0.35">
      <c r="A565" s="2"/>
      <c r="B565" s="2"/>
      <c r="C565" s="2"/>
      <c r="D565" s="2"/>
      <c r="E565" s="2"/>
      <c r="F565" s="2"/>
      <c r="G565" s="27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91"/>
      <c r="AC565" s="2"/>
      <c r="AD565" s="2"/>
      <c r="AE565" s="291"/>
      <c r="AF565" s="2"/>
      <c r="AG565" s="2"/>
      <c r="AH565" s="2"/>
      <c r="AI565" s="29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14.25" customHeight="1" x14ac:dyDescent="0.35">
      <c r="A566" s="2"/>
      <c r="B566" s="2"/>
      <c r="C566" s="2"/>
      <c r="D566" s="2"/>
      <c r="E566" s="2"/>
      <c r="F566" s="2"/>
      <c r="G566" s="27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91"/>
      <c r="AC566" s="2"/>
      <c r="AD566" s="2"/>
      <c r="AE566" s="291"/>
      <c r="AF566" s="2"/>
      <c r="AG566" s="2"/>
      <c r="AH566" s="2"/>
      <c r="AI566" s="29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14.25" customHeight="1" x14ac:dyDescent="0.35">
      <c r="A567" s="2"/>
      <c r="B567" s="2"/>
      <c r="C567" s="2"/>
      <c r="D567" s="2"/>
      <c r="E567" s="2"/>
      <c r="F567" s="2"/>
      <c r="G567" s="27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91"/>
      <c r="AC567" s="2"/>
      <c r="AD567" s="2"/>
      <c r="AE567" s="291"/>
      <c r="AF567" s="2"/>
      <c r="AG567" s="2"/>
      <c r="AH567" s="2"/>
      <c r="AI567" s="29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14.25" customHeight="1" x14ac:dyDescent="0.35">
      <c r="A568" s="2"/>
      <c r="B568" s="2"/>
      <c r="C568" s="2"/>
      <c r="D568" s="2"/>
      <c r="E568" s="2"/>
      <c r="F568" s="2"/>
      <c r="G568" s="27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91"/>
      <c r="AC568" s="2"/>
      <c r="AD568" s="2"/>
      <c r="AE568" s="291"/>
      <c r="AF568" s="2"/>
      <c r="AG568" s="2"/>
      <c r="AH568" s="2"/>
      <c r="AI568" s="29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14.25" customHeight="1" x14ac:dyDescent="0.35">
      <c r="A569" s="2"/>
      <c r="B569" s="2"/>
      <c r="C569" s="2"/>
      <c r="D569" s="2"/>
      <c r="E569" s="2"/>
      <c r="F569" s="2"/>
      <c r="G569" s="27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91"/>
      <c r="AC569" s="2"/>
      <c r="AD569" s="2"/>
      <c r="AE569" s="291"/>
      <c r="AF569" s="2"/>
      <c r="AG569" s="2"/>
      <c r="AH569" s="2"/>
      <c r="AI569" s="29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14.25" customHeight="1" x14ac:dyDescent="0.35">
      <c r="A570" s="2"/>
      <c r="B570" s="2"/>
      <c r="C570" s="2"/>
      <c r="D570" s="2"/>
      <c r="E570" s="2"/>
      <c r="F570" s="2"/>
      <c r="G570" s="27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91"/>
      <c r="AC570" s="2"/>
      <c r="AD570" s="2"/>
      <c r="AE570" s="291"/>
      <c r="AF570" s="2"/>
      <c r="AG570" s="2"/>
      <c r="AH570" s="2"/>
      <c r="AI570" s="29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14.25" customHeight="1" x14ac:dyDescent="0.35">
      <c r="A571" s="2"/>
      <c r="B571" s="2"/>
      <c r="C571" s="2"/>
      <c r="D571" s="2"/>
      <c r="E571" s="2"/>
      <c r="F571" s="2"/>
      <c r="G571" s="27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91"/>
      <c r="AC571" s="2"/>
      <c r="AD571" s="2"/>
      <c r="AE571" s="291"/>
      <c r="AF571" s="2"/>
      <c r="AG571" s="2"/>
      <c r="AH571" s="2"/>
      <c r="AI571" s="29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14.25" customHeight="1" x14ac:dyDescent="0.35">
      <c r="A572" s="2"/>
      <c r="B572" s="2"/>
      <c r="C572" s="2"/>
      <c r="D572" s="2"/>
      <c r="E572" s="2"/>
      <c r="F572" s="2"/>
      <c r="G572" s="27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91"/>
      <c r="AC572" s="2"/>
      <c r="AD572" s="2"/>
      <c r="AE572" s="291"/>
      <c r="AF572" s="2"/>
      <c r="AG572" s="2"/>
      <c r="AH572" s="2"/>
      <c r="AI572" s="29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14.25" customHeight="1" x14ac:dyDescent="0.35">
      <c r="A573" s="2"/>
      <c r="B573" s="2"/>
      <c r="C573" s="2"/>
      <c r="D573" s="2"/>
      <c r="E573" s="2"/>
      <c r="F573" s="2"/>
      <c r="G573" s="27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91"/>
      <c r="AC573" s="2"/>
      <c r="AD573" s="2"/>
      <c r="AE573" s="291"/>
      <c r="AF573" s="2"/>
      <c r="AG573" s="2"/>
      <c r="AH573" s="2"/>
      <c r="AI573" s="29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14.25" customHeight="1" x14ac:dyDescent="0.35">
      <c r="A574" s="2"/>
      <c r="B574" s="2"/>
      <c r="C574" s="2"/>
      <c r="D574" s="2"/>
      <c r="E574" s="2"/>
      <c r="F574" s="2"/>
      <c r="G574" s="27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91"/>
      <c r="AC574" s="2"/>
      <c r="AD574" s="2"/>
      <c r="AE574" s="291"/>
      <c r="AF574" s="2"/>
      <c r="AG574" s="2"/>
      <c r="AH574" s="2"/>
      <c r="AI574" s="29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14.25" customHeight="1" x14ac:dyDescent="0.35">
      <c r="A575" s="2"/>
      <c r="B575" s="2"/>
      <c r="C575" s="2"/>
      <c r="D575" s="2"/>
      <c r="E575" s="2"/>
      <c r="F575" s="2"/>
      <c r="G575" s="27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91"/>
      <c r="AC575" s="2"/>
      <c r="AD575" s="2"/>
      <c r="AE575" s="291"/>
      <c r="AF575" s="2"/>
      <c r="AG575" s="2"/>
      <c r="AH575" s="2"/>
      <c r="AI575" s="29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14.25" customHeight="1" x14ac:dyDescent="0.35">
      <c r="A576" s="2"/>
      <c r="B576" s="2"/>
      <c r="C576" s="2"/>
      <c r="D576" s="2"/>
      <c r="E576" s="2"/>
      <c r="F576" s="2"/>
      <c r="G576" s="27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91"/>
      <c r="AC576" s="2"/>
      <c r="AD576" s="2"/>
      <c r="AE576" s="291"/>
      <c r="AF576" s="2"/>
      <c r="AG576" s="2"/>
      <c r="AH576" s="2"/>
      <c r="AI576" s="29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14.25" customHeight="1" x14ac:dyDescent="0.35">
      <c r="A577" s="2"/>
      <c r="B577" s="2"/>
      <c r="C577" s="2"/>
      <c r="D577" s="2"/>
      <c r="E577" s="2"/>
      <c r="F577" s="2"/>
      <c r="G577" s="27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91"/>
      <c r="AC577" s="2"/>
      <c r="AD577" s="2"/>
      <c r="AE577" s="291"/>
      <c r="AF577" s="2"/>
      <c r="AG577" s="2"/>
      <c r="AH577" s="2"/>
      <c r="AI577" s="29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14.25" customHeight="1" x14ac:dyDescent="0.35">
      <c r="A578" s="2"/>
      <c r="B578" s="2"/>
      <c r="C578" s="2"/>
      <c r="D578" s="2"/>
      <c r="E578" s="2"/>
      <c r="F578" s="2"/>
      <c r="G578" s="27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91"/>
      <c r="AC578" s="2"/>
      <c r="AD578" s="2"/>
      <c r="AE578" s="291"/>
      <c r="AF578" s="2"/>
      <c r="AG578" s="2"/>
      <c r="AH578" s="2"/>
      <c r="AI578" s="29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14.25" customHeight="1" x14ac:dyDescent="0.35">
      <c r="A579" s="2"/>
      <c r="B579" s="2"/>
      <c r="C579" s="2"/>
      <c r="D579" s="2"/>
      <c r="E579" s="2"/>
      <c r="F579" s="2"/>
      <c r="G579" s="27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91"/>
      <c r="AC579" s="2"/>
      <c r="AD579" s="2"/>
      <c r="AE579" s="291"/>
      <c r="AF579" s="2"/>
      <c r="AG579" s="2"/>
      <c r="AH579" s="2"/>
      <c r="AI579" s="29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14.25" customHeight="1" x14ac:dyDescent="0.35">
      <c r="A580" s="2"/>
      <c r="B580" s="2"/>
      <c r="C580" s="2"/>
      <c r="D580" s="2"/>
      <c r="E580" s="2"/>
      <c r="F580" s="2"/>
      <c r="G580" s="27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91"/>
      <c r="AC580" s="2"/>
      <c r="AD580" s="2"/>
      <c r="AE580" s="291"/>
      <c r="AF580" s="2"/>
      <c r="AG580" s="2"/>
      <c r="AH580" s="2"/>
      <c r="AI580" s="29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14.25" customHeight="1" x14ac:dyDescent="0.35">
      <c r="A581" s="2"/>
      <c r="B581" s="2"/>
      <c r="C581" s="2"/>
      <c r="D581" s="2"/>
      <c r="E581" s="2"/>
      <c r="F581" s="2"/>
      <c r="G581" s="27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91"/>
      <c r="AC581" s="2"/>
      <c r="AD581" s="2"/>
      <c r="AE581" s="291"/>
      <c r="AF581" s="2"/>
      <c r="AG581" s="2"/>
      <c r="AH581" s="2"/>
      <c r="AI581" s="29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14.25" customHeight="1" x14ac:dyDescent="0.35">
      <c r="A582" s="2"/>
      <c r="B582" s="2"/>
      <c r="C582" s="2"/>
      <c r="D582" s="2"/>
      <c r="E582" s="2"/>
      <c r="F582" s="2"/>
      <c r="G582" s="27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91"/>
      <c r="AC582" s="2"/>
      <c r="AD582" s="2"/>
      <c r="AE582" s="291"/>
      <c r="AF582" s="2"/>
      <c r="AG582" s="2"/>
      <c r="AH582" s="2"/>
      <c r="AI582" s="29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14.25" customHeight="1" x14ac:dyDescent="0.35">
      <c r="A583" s="2"/>
      <c r="B583" s="2"/>
      <c r="C583" s="2"/>
      <c r="D583" s="2"/>
      <c r="E583" s="2"/>
      <c r="F583" s="2"/>
      <c r="G583" s="27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91"/>
      <c r="AC583" s="2"/>
      <c r="AD583" s="2"/>
      <c r="AE583" s="291"/>
      <c r="AF583" s="2"/>
      <c r="AG583" s="2"/>
      <c r="AH583" s="2"/>
      <c r="AI583" s="29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14.25" customHeight="1" x14ac:dyDescent="0.35">
      <c r="A584" s="2"/>
      <c r="B584" s="2"/>
      <c r="C584" s="2"/>
      <c r="D584" s="2"/>
      <c r="E584" s="2"/>
      <c r="F584" s="2"/>
      <c r="G584" s="27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91"/>
      <c r="AC584" s="2"/>
      <c r="AD584" s="2"/>
      <c r="AE584" s="291"/>
      <c r="AF584" s="2"/>
      <c r="AG584" s="2"/>
      <c r="AH584" s="2"/>
      <c r="AI584" s="29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14.25" customHeight="1" x14ac:dyDescent="0.35">
      <c r="A585" s="2"/>
      <c r="B585" s="2"/>
      <c r="C585" s="2"/>
      <c r="D585" s="2"/>
      <c r="E585" s="2"/>
      <c r="F585" s="2"/>
      <c r="G585" s="27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91"/>
      <c r="AC585" s="2"/>
      <c r="AD585" s="2"/>
      <c r="AE585" s="291"/>
      <c r="AF585" s="2"/>
      <c r="AG585" s="2"/>
      <c r="AH585" s="2"/>
      <c r="AI585" s="29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14.25" customHeight="1" x14ac:dyDescent="0.35">
      <c r="A586" s="2"/>
      <c r="B586" s="2"/>
      <c r="C586" s="2"/>
      <c r="D586" s="2"/>
      <c r="E586" s="2"/>
      <c r="F586" s="2"/>
      <c r="G586" s="27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91"/>
      <c r="AC586" s="2"/>
      <c r="AD586" s="2"/>
      <c r="AE586" s="291"/>
      <c r="AF586" s="2"/>
      <c r="AG586" s="2"/>
      <c r="AH586" s="2"/>
      <c r="AI586" s="29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14.25" customHeight="1" x14ac:dyDescent="0.35">
      <c r="A587" s="2"/>
      <c r="B587" s="2"/>
      <c r="C587" s="2"/>
      <c r="D587" s="2"/>
      <c r="E587" s="2"/>
      <c r="F587" s="2"/>
      <c r="G587" s="27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91"/>
      <c r="AC587" s="2"/>
      <c r="AD587" s="2"/>
      <c r="AE587" s="291"/>
      <c r="AF587" s="2"/>
      <c r="AG587" s="2"/>
      <c r="AH587" s="2"/>
      <c r="AI587" s="29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14.25" customHeight="1" x14ac:dyDescent="0.35">
      <c r="A588" s="2"/>
      <c r="B588" s="2"/>
      <c r="C588" s="2"/>
      <c r="D588" s="2"/>
      <c r="E588" s="2"/>
      <c r="F588" s="2"/>
      <c r="G588" s="27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91"/>
      <c r="AC588" s="2"/>
      <c r="AD588" s="2"/>
      <c r="AE588" s="291"/>
      <c r="AF588" s="2"/>
      <c r="AG588" s="2"/>
      <c r="AH588" s="2"/>
      <c r="AI588" s="29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14.25" customHeight="1" x14ac:dyDescent="0.35">
      <c r="A589" s="2"/>
      <c r="B589" s="2"/>
      <c r="C589" s="2"/>
      <c r="D589" s="2"/>
      <c r="E589" s="2"/>
      <c r="F589" s="2"/>
      <c r="G589" s="27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91"/>
      <c r="AC589" s="2"/>
      <c r="AD589" s="2"/>
      <c r="AE589" s="291"/>
      <c r="AF589" s="2"/>
      <c r="AG589" s="2"/>
      <c r="AH589" s="2"/>
      <c r="AI589" s="29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14.25" customHeight="1" x14ac:dyDescent="0.35">
      <c r="A590" s="2"/>
      <c r="B590" s="2"/>
      <c r="C590" s="2"/>
      <c r="D590" s="2"/>
      <c r="E590" s="2"/>
      <c r="F590" s="2"/>
      <c r="G590" s="27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91"/>
      <c r="AC590" s="2"/>
      <c r="AD590" s="2"/>
      <c r="AE590" s="291"/>
      <c r="AF590" s="2"/>
      <c r="AG590" s="2"/>
      <c r="AH590" s="2"/>
      <c r="AI590" s="29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14.25" customHeight="1" x14ac:dyDescent="0.35">
      <c r="A591" s="2"/>
      <c r="B591" s="2"/>
      <c r="C591" s="2"/>
      <c r="D591" s="2"/>
      <c r="E591" s="2"/>
      <c r="F591" s="2"/>
      <c r="G591" s="27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91"/>
      <c r="AC591" s="2"/>
      <c r="AD591" s="2"/>
      <c r="AE591" s="291"/>
      <c r="AF591" s="2"/>
      <c r="AG591" s="2"/>
      <c r="AH591" s="2"/>
      <c r="AI591" s="29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14.25" customHeight="1" x14ac:dyDescent="0.35">
      <c r="A592" s="2"/>
      <c r="B592" s="2"/>
      <c r="C592" s="2"/>
      <c r="D592" s="2"/>
      <c r="E592" s="2"/>
      <c r="F592" s="2"/>
      <c r="G592" s="27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91"/>
      <c r="AC592" s="2"/>
      <c r="AD592" s="2"/>
      <c r="AE592" s="291"/>
      <c r="AF592" s="2"/>
      <c r="AG592" s="2"/>
      <c r="AH592" s="2"/>
      <c r="AI592" s="29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14.25" customHeight="1" x14ac:dyDescent="0.35">
      <c r="A593" s="2"/>
      <c r="B593" s="2"/>
      <c r="C593" s="2"/>
      <c r="D593" s="2"/>
      <c r="E593" s="2"/>
      <c r="F593" s="2"/>
      <c r="G593" s="27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91"/>
      <c r="AC593" s="2"/>
      <c r="AD593" s="2"/>
      <c r="AE593" s="291"/>
      <c r="AF593" s="2"/>
      <c r="AG593" s="2"/>
      <c r="AH593" s="2"/>
      <c r="AI593" s="29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14.25" customHeight="1" x14ac:dyDescent="0.35">
      <c r="A594" s="2"/>
      <c r="B594" s="2"/>
      <c r="C594" s="2"/>
      <c r="D594" s="2"/>
      <c r="E594" s="2"/>
      <c r="F594" s="2"/>
      <c r="G594" s="27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91"/>
      <c r="AC594" s="2"/>
      <c r="AD594" s="2"/>
      <c r="AE594" s="291"/>
      <c r="AF594" s="2"/>
      <c r="AG594" s="2"/>
      <c r="AH594" s="2"/>
      <c r="AI594" s="29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14.25" customHeight="1" x14ac:dyDescent="0.35">
      <c r="A595" s="2"/>
      <c r="B595" s="2"/>
      <c r="C595" s="2"/>
      <c r="D595" s="2"/>
      <c r="E595" s="2"/>
      <c r="F595" s="2"/>
      <c r="G595" s="27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91"/>
      <c r="AC595" s="2"/>
      <c r="AD595" s="2"/>
      <c r="AE595" s="291"/>
      <c r="AF595" s="2"/>
      <c r="AG595" s="2"/>
      <c r="AH595" s="2"/>
      <c r="AI595" s="29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14.25" customHeight="1" x14ac:dyDescent="0.35">
      <c r="A596" s="2"/>
      <c r="B596" s="2"/>
      <c r="C596" s="2"/>
      <c r="D596" s="2"/>
      <c r="E596" s="2"/>
      <c r="F596" s="2"/>
      <c r="G596" s="27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91"/>
      <c r="AC596" s="2"/>
      <c r="AD596" s="2"/>
      <c r="AE596" s="291"/>
      <c r="AF596" s="2"/>
      <c r="AG596" s="2"/>
      <c r="AH596" s="2"/>
      <c r="AI596" s="29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14.25" customHeight="1" x14ac:dyDescent="0.35">
      <c r="A597" s="2"/>
      <c r="B597" s="2"/>
      <c r="C597" s="2"/>
      <c r="D597" s="2"/>
      <c r="E597" s="2"/>
      <c r="F597" s="2"/>
      <c r="G597" s="27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91"/>
      <c r="AC597" s="2"/>
      <c r="AD597" s="2"/>
      <c r="AE597" s="291"/>
      <c r="AF597" s="2"/>
      <c r="AG597" s="2"/>
      <c r="AH597" s="2"/>
      <c r="AI597" s="29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14.25" customHeight="1" x14ac:dyDescent="0.35">
      <c r="A598" s="2"/>
      <c r="B598" s="2"/>
      <c r="C598" s="2"/>
      <c r="D598" s="2"/>
      <c r="E598" s="2"/>
      <c r="F598" s="2"/>
      <c r="G598" s="27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91"/>
      <c r="AC598" s="2"/>
      <c r="AD598" s="2"/>
      <c r="AE598" s="291"/>
      <c r="AF598" s="2"/>
      <c r="AG598" s="2"/>
      <c r="AH598" s="2"/>
      <c r="AI598" s="29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14.25" customHeight="1" x14ac:dyDescent="0.35">
      <c r="A599" s="2"/>
      <c r="B599" s="2"/>
      <c r="C599" s="2"/>
      <c r="D599" s="2"/>
      <c r="E599" s="2"/>
      <c r="F599" s="2"/>
      <c r="G599" s="27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91"/>
      <c r="AC599" s="2"/>
      <c r="AD599" s="2"/>
      <c r="AE599" s="291"/>
      <c r="AF599" s="2"/>
      <c r="AG599" s="2"/>
      <c r="AH599" s="2"/>
      <c r="AI599" s="29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14.25" customHeight="1" x14ac:dyDescent="0.35">
      <c r="A600" s="2"/>
      <c r="B600" s="2"/>
      <c r="C600" s="2"/>
      <c r="D600" s="2"/>
      <c r="E600" s="2"/>
      <c r="F600" s="2"/>
      <c r="G600" s="27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91"/>
      <c r="AC600" s="2"/>
      <c r="AD600" s="2"/>
      <c r="AE600" s="291"/>
      <c r="AF600" s="2"/>
      <c r="AG600" s="2"/>
      <c r="AH600" s="2"/>
      <c r="AI600" s="29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14.25" customHeight="1" x14ac:dyDescent="0.35">
      <c r="A601" s="2"/>
      <c r="B601" s="2"/>
      <c r="C601" s="2"/>
      <c r="D601" s="2"/>
      <c r="E601" s="2"/>
      <c r="F601" s="2"/>
      <c r="G601" s="27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91"/>
      <c r="AC601" s="2"/>
      <c r="AD601" s="2"/>
      <c r="AE601" s="291"/>
      <c r="AF601" s="2"/>
      <c r="AG601" s="2"/>
      <c r="AH601" s="2"/>
      <c r="AI601" s="29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14.25" customHeight="1" x14ac:dyDescent="0.35">
      <c r="A602" s="2"/>
      <c r="B602" s="2"/>
      <c r="C602" s="2"/>
      <c r="D602" s="2"/>
      <c r="E602" s="2"/>
      <c r="F602" s="2"/>
      <c r="G602" s="27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91"/>
      <c r="AC602" s="2"/>
      <c r="AD602" s="2"/>
      <c r="AE602" s="291"/>
      <c r="AF602" s="2"/>
      <c r="AG602" s="2"/>
      <c r="AH602" s="2"/>
      <c r="AI602" s="29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14.25" customHeight="1" x14ac:dyDescent="0.35">
      <c r="A603" s="2"/>
      <c r="B603" s="2"/>
      <c r="C603" s="2"/>
      <c r="D603" s="2"/>
      <c r="E603" s="2"/>
      <c r="F603" s="2"/>
      <c r="G603" s="27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91"/>
      <c r="AC603" s="2"/>
      <c r="AD603" s="2"/>
      <c r="AE603" s="291"/>
      <c r="AF603" s="2"/>
      <c r="AG603" s="2"/>
      <c r="AH603" s="2"/>
      <c r="AI603" s="29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14.25" customHeight="1" x14ac:dyDescent="0.35">
      <c r="A604" s="2"/>
      <c r="B604" s="2"/>
      <c r="C604" s="2"/>
      <c r="D604" s="2"/>
      <c r="E604" s="2"/>
      <c r="F604" s="2"/>
      <c r="G604" s="27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91"/>
      <c r="AC604" s="2"/>
      <c r="AD604" s="2"/>
      <c r="AE604" s="291"/>
      <c r="AF604" s="2"/>
      <c r="AG604" s="2"/>
      <c r="AH604" s="2"/>
      <c r="AI604" s="29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14.25" customHeight="1" x14ac:dyDescent="0.35">
      <c r="A605" s="2"/>
      <c r="B605" s="2"/>
      <c r="C605" s="2"/>
      <c r="D605" s="2"/>
      <c r="E605" s="2"/>
      <c r="F605" s="2"/>
      <c r="G605" s="27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91"/>
      <c r="AC605" s="2"/>
      <c r="AD605" s="2"/>
      <c r="AE605" s="291"/>
      <c r="AF605" s="2"/>
      <c r="AG605" s="2"/>
      <c r="AH605" s="2"/>
      <c r="AI605" s="29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14.25" customHeight="1" x14ac:dyDescent="0.35">
      <c r="A606" s="2"/>
      <c r="B606" s="2"/>
      <c r="C606" s="2"/>
      <c r="D606" s="2"/>
      <c r="E606" s="2"/>
      <c r="F606" s="2"/>
      <c r="G606" s="27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91"/>
      <c r="AC606" s="2"/>
      <c r="AD606" s="2"/>
      <c r="AE606" s="291"/>
      <c r="AF606" s="2"/>
      <c r="AG606" s="2"/>
      <c r="AH606" s="2"/>
      <c r="AI606" s="29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14.25" customHeight="1" x14ac:dyDescent="0.35">
      <c r="A607" s="2"/>
      <c r="B607" s="2"/>
      <c r="C607" s="2"/>
      <c r="D607" s="2"/>
      <c r="E607" s="2"/>
      <c r="F607" s="2"/>
      <c r="G607" s="27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91"/>
      <c r="AC607" s="2"/>
      <c r="AD607" s="2"/>
      <c r="AE607" s="291"/>
      <c r="AF607" s="2"/>
      <c r="AG607" s="2"/>
      <c r="AH607" s="2"/>
      <c r="AI607" s="29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14.25" customHeight="1" x14ac:dyDescent="0.35">
      <c r="A608" s="2"/>
      <c r="B608" s="2"/>
      <c r="C608" s="2"/>
      <c r="D608" s="2"/>
      <c r="E608" s="2"/>
      <c r="F608" s="2"/>
      <c r="G608" s="27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91"/>
      <c r="AC608" s="2"/>
      <c r="AD608" s="2"/>
      <c r="AE608" s="291"/>
      <c r="AF608" s="2"/>
      <c r="AG608" s="2"/>
      <c r="AH608" s="2"/>
      <c r="AI608" s="29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14.25" customHeight="1" x14ac:dyDescent="0.35">
      <c r="A609" s="2"/>
      <c r="B609" s="2"/>
      <c r="C609" s="2"/>
      <c r="D609" s="2"/>
      <c r="E609" s="2"/>
      <c r="F609" s="2"/>
      <c r="G609" s="27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91"/>
      <c r="AC609" s="2"/>
      <c r="AD609" s="2"/>
      <c r="AE609" s="291"/>
      <c r="AF609" s="2"/>
      <c r="AG609" s="2"/>
      <c r="AH609" s="2"/>
      <c r="AI609" s="29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14.25" customHeight="1" x14ac:dyDescent="0.35">
      <c r="A610" s="2"/>
      <c r="B610" s="2"/>
      <c r="C610" s="2"/>
      <c r="D610" s="2"/>
      <c r="E610" s="2"/>
      <c r="F610" s="2"/>
      <c r="G610" s="27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91"/>
      <c r="AC610" s="2"/>
      <c r="AD610" s="2"/>
      <c r="AE610" s="291"/>
      <c r="AF610" s="2"/>
      <c r="AG610" s="2"/>
      <c r="AH610" s="2"/>
      <c r="AI610" s="29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14.25" customHeight="1" x14ac:dyDescent="0.35">
      <c r="A611" s="2"/>
      <c r="B611" s="2"/>
      <c r="C611" s="2"/>
      <c r="D611" s="2"/>
      <c r="E611" s="2"/>
      <c r="F611" s="2"/>
      <c r="G611" s="27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91"/>
      <c r="AC611" s="2"/>
      <c r="AD611" s="2"/>
      <c r="AE611" s="291"/>
      <c r="AF611" s="2"/>
      <c r="AG611" s="2"/>
      <c r="AH611" s="2"/>
      <c r="AI611" s="29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14.25" customHeight="1" x14ac:dyDescent="0.35">
      <c r="A612" s="2"/>
      <c r="B612" s="2"/>
      <c r="C612" s="2"/>
      <c r="D612" s="2"/>
      <c r="E612" s="2"/>
      <c r="F612" s="2"/>
      <c r="G612" s="27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91"/>
      <c r="AC612" s="2"/>
      <c r="AD612" s="2"/>
      <c r="AE612" s="291"/>
      <c r="AF612" s="2"/>
      <c r="AG612" s="2"/>
      <c r="AH612" s="2"/>
      <c r="AI612" s="29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14.25" customHeight="1" x14ac:dyDescent="0.35">
      <c r="A613" s="2"/>
      <c r="B613" s="2"/>
      <c r="C613" s="2"/>
      <c r="D613" s="2"/>
      <c r="E613" s="2"/>
      <c r="F613" s="2"/>
      <c r="G613" s="27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91"/>
      <c r="AC613" s="2"/>
      <c r="AD613" s="2"/>
      <c r="AE613" s="291"/>
      <c r="AF613" s="2"/>
      <c r="AG613" s="2"/>
      <c r="AH613" s="2"/>
      <c r="AI613" s="29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14.25" customHeight="1" x14ac:dyDescent="0.35">
      <c r="A614" s="2"/>
      <c r="B614" s="2"/>
      <c r="C614" s="2"/>
      <c r="D614" s="2"/>
      <c r="E614" s="2"/>
      <c r="F614" s="2"/>
      <c r="G614" s="27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91"/>
      <c r="AC614" s="2"/>
      <c r="AD614" s="2"/>
      <c r="AE614" s="291"/>
      <c r="AF614" s="2"/>
      <c r="AG614" s="2"/>
      <c r="AH614" s="2"/>
      <c r="AI614" s="29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14.25" customHeight="1" x14ac:dyDescent="0.35">
      <c r="A615" s="2"/>
      <c r="B615" s="2"/>
      <c r="C615" s="2"/>
      <c r="D615" s="2"/>
      <c r="E615" s="2"/>
      <c r="F615" s="2"/>
      <c r="G615" s="27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91"/>
      <c r="AC615" s="2"/>
      <c r="AD615" s="2"/>
      <c r="AE615" s="291"/>
      <c r="AF615" s="2"/>
      <c r="AG615" s="2"/>
      <c r="AH615" s="2"/>
      <c r="AI615" s="29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14.25" customHeight="1" x14ac:dyDescent="0.35">
      <c r="A616" s="2"/>
      <c r="B616" s="2"/>
      <c r="C616" s="2"/>
      <c r="D616" s="2"/>
      <c r="E616" s="2"/>
      <c r="F616" s="2"/>
      <c r="G616" s="27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91"/>
      <c r="AC616" s="2"/>
      <c r="AD616" s="2"/>
      <c r="AE616" s="291"/>
      <c r="AF616" s="2"/>
      <c r="AG616" s="2"/>
      <c r="AH616" s="2"/>
      <c r="AI616" s="29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14.25" customHeight="1" x14ac:dyDescent="0.35">
      <c r="A617" s="2"/>
      <c r="B617" s="2"/>
      <c r="C617" s="2"/>
      <c r="D617" s="2"/>
      <c r="E617" s="2"/>
      <c r="F617" s="2"/>
      <c r="G617" s="27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91"/>
      <c r="AC617" s="2"/>
      <c r="AD617" s="2"/>
      <c r="AE617" s="291"/>
      <c r="AF617" s="2"/>
      <c r="AG617" s="2"/>
      <c r="AH617" s="2"/>
      <c r="AI617" s="29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14.25" customHeight="1" x14ac:dyDescent="0.35">
      <c r="A618" s="2"/>
      <c r="B618" s="2"/>
      <c r="C618" s="2"/>
      <c r="D618" s="2"/>
      <c r="E618" s="2"/>
      <c r="F618" s="2"/>
      <c r="G618" s="27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91"/>
      <c r="AC618" s="2"/>
      <c r="AD618" s="2"/>
      <c r="AE618" s="291"/>
      <c r="AF618" s="2"/>
      <c r="AG618" s="2"/>
      <c r="AH618" s="2"/>
      <c r="AI618" s="29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14.25" customHeight="1" x14ac:dyDescent="0.35">
      <c r="A619" s="2"/>
      <c r="B619" s="2"/>
      <c r="C619" s="2"/>
      <c r="D619" s="2"/>
      <c r="E619" s="2"/>
      <c r="F619" s="2"/>
      <c r="G619" s="27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91"/>
      <c r="AC619" s="2"/>
      <c r="AD619" s="2"/>
      <c r="AE619" s="291"/>
      <c r="AF619" s="2"/>
      <c r="AG619" s="2"/>
      <c r="AH619" s="2"/>
      <c r="AI619" s="29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14.25" customHeight="1" x14ac:dyDescent="0.35">
      <c r="A620" s="2"/>
      <c r="B620" s="2"/>
      <c r="C620" s="2"/>
      <c r="D620" s="2"/>
      <c r="E620" s="2"/>
      <c r="F620" s="2"/>
      <c r="G620" s="27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91"/>
      <c r="AC620" s="2"/>
      <c r="AD620" s="2"/>
      <c r="AE620" s="291"/>
      <c r="AF620" s="2"/>
      <c r="AG620" s="2"/>
      <c r="AH620" s="2"/>
      <c r="AI620" s="29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14.25" customHeight="1" x14ac:dyDescent="0.35">
      <c r="A621" s="2"/>
      <c r="B621" s="2"/>
      <c r="C621" s="2"/>
      <c r="D621" s="2"/>
      <c r="E621" s="2"/>
      <c r="F621" s="2"/>
      <c r="G621" s="27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91"/>
      <c r="AC621" s="2"/>
      <c r="AD621" s="2"/>
      <c r="AE621" s="291"/>
      <c r="AF621" s="2"/>
      <c r="AG621" s="2"/>
      <c r="AH621" s="2"/>
      <c r="AI621" s="29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14.25" customHeight="1" x14ac:dyDescent="0.35">
      <c r="A622" s="2"/>
      <c r="B622" s="2"/>
      <c r="C622" s="2"/>
      <c r="D622" s="2"/>
      <c r="E622" s="2"/>
      <c r="F622" s="2"/>
      <c r="G622" s="27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91"/>
      <c r="AC622" s="2"/>
      <c r="AD622" s="2"/>
      <c r="AE622" s="291"/>
      <c r="AF622" s="2"/>
      <c r="AG622" s="2"/>
      <c r="AH622" s="2"/>
      <c r="AI622" s="29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14.25" customHeight="1" x14ac:dyDescent="0.35">
      <c r="A623" s="2"/>
      <c r="B623" s="2"/>
      <c r="C623" s="2"/>
      <c r="D623" s="2"/>
      <c r="E623" s="2"/>
      <c r="F623" s="2"/>
      <c r="G623" s="27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91"/>
      <c r="AC623" s="2"/>
      <c r="AD623" s="2"/>
      <c r="AE623" s="291"/>
      <c r="AF623" s="2"/>
      <c r="AG623" s="2"/>
      <c r="AH623" s="2"/>
      <c r="AI623" s="29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14.25" customHeight="1" x14ac:dyDescent="0.35">
      <c r="A624" s="2"/>
      <c r="B624" s="2"/>
      <c r="C624" s="2"/>
      <c r="D624" s="2"/>
      <c r="E624" s="2"/>
      <c r="F624" s="2"/>
      <c r="G624" s="27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91"/>
      <c r="AC624" s="2"/>
      <c r="AD624" s="2"/>
      <c r="AE624" s="291"/>
      <c r="AF624" s="2"/>
      <c r="AG624" s="2"/>
      <c r="AH624" s="2"/>
      <c r="AI624" s="29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14.25" customHeight="1" x14ac:dyDescent="0.35">
      <c r="A625" s="2"/>
      <c r="B625" s="2"/>
      <c r="C625" s="2"/>
      <c r="D625" s="2"/>
      <c r="E625" s="2"/>
      <c r="F625" s="2"/>
      <c r="G625" s="27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91"/>
      <c r="AC625" s="2"/>
      <c r="AD625" s="2"/>
      <c r="AE625" s="291"/>
      <c r="AF625" s="2"/>
      <c r="AG625" s="2"/>
      <c r="AH625" s="2"/>
      <c r="AI625" s="29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14.25" customHeight="1" x14ac:dyDescent="0.35">
      <c r="A626" s="2"/>
      <c r="B626" s="2"/>
      <c r="C626" s="2"/>
      <c r="D626" s="2"/>
      <c r="E626" s="2"/>
      <c r="F626" s="2"/>
      <c r="G626" s="27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91"/>
      <c r="AC626" s="2"/>
      <c r="AD626" s="2"/>
      <c r="AE626" s="291"/>
      <c r="AF626" s="2"/>
      <c r="AG626" s="2"/>
      <c r="AH626" s="2"/>
      <c r="AI626" s="29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14.25" customHeight="1" x14ac:dyDescent="0.35">
      <c r="A627" s="2"/>
      <c r="B627" s="2"/>
      <c r="C627" s="2"/>
      <c r="D627" s="2"/>
      <c r="E627" s="2"/>
      <c r="F627" s="2"/>
      <c r="G627" s="27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91"/>
      <c r="AC627" s="2"/>
      <c r="AD627" s="2"/>
      <c r="AE627" s="291"/>
      <c r="AF627" s="2"/>
      <c r="AG627" s="2"/>
      <c r="AH627" s="2"/>
      <c r="AI627" s="29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14.25" customHeight="1" x14ac:dyDescent="0.35">
      <c r="A628" s="2"/>
      <c r="B628" s="2"/>
      <c r="C628" s="2"/>
      <c r="D628" s="2"/>
      <c r="E628" s="2"/>
      <c r="F628" s="2"/>
      <c r="G628" s="27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91"/>
      <c r="AC628" s="2"/>
      <c r="AD628" s="2"/>
      <c r="AE628" s="291"/>
      <c r="AF628" s="2"/>
      <c r="AG628" s="2"/>
      <c r="AH628" s="2"/>
      <c r="AI628" s="29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14.25" customHeight="1" x14ac:dyDescent="0.35">
      <c r="A629" s="2"/>
      <c r="B629" s="2"/>
      <c r="C629" s="2"/>
      <c r="D629" s="2"/>
      <c r="E629" s="2"/>
      <c r="F629" s="2"/>
      <c r="G629" s="27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91"/>
      <c r="AC629" s="2"/>
      <c r="AD629" s="2"/>
      <c r="AE629" s="291"/>
      <c r="AF629" s="2"/>
      <c r="AG629" s="2"/>
      <c r="AH629" s="2"/>
      <c r="AI629" s="29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14.25" customHeight="1" x14ac:dyDescent="0.35">
      <c r="A630" s="2"/>
      <c r="B630" s="2"/>
      <c r="C630" s="2"/>
      <c r="D630" s="2"/>
      <c r="E630" s="2"/>
      <c r="F630" s="2"/>
      <c r="G630" s="27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91"/>
      <c r="AC630" s="2"/>
      <c r="AD630" s="2"/>
      <c r="AE630" s="291"/>
      <c r="AF630" s="2"/>
      <c r="AG630" s="2"/>
      <c r="AH630" s="2"/>
      <c r="AI630" s="29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14.25" customHeight="1" x14ac:dyDescent="0.35">
      <c r="A631" s="2"/>
      <c r="B631" s="2"/>
      <c r="C631" s="2"/>
      <c r="D631" s="2"/>
      <c r="E631" s="2"/>
      <c r="F631" s="2"/>
      <c r="G631" s="27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91"/>
      <c r="AC631" s="2"/>
      <c r="AD631" s="2"/>
      <c r="AE631" s="291"/>
      <c r="AF631" s="2"/>
      <c r="AG631" s="2"/>
      <c r="AH631" s="2"/>
      <c r="AI631" s="29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14.25" customHeight="1" x14ac:dyDescent="0.35">
      <c r="A632" s="2"/>
      <c r="B632" s="2"/>
      <c r="C632" s="2"/>
      <c r="D632" s="2"/>
      <c r="E632" s="2"/>
      <c r="F632" s="2"/>
      <c r="G632" s="27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91"/>
      <c r="AC632" s="2"/>
      <c r="AD632" s="2"/>
      <c r="AE632" s="291"/>
      <c r="AF632" s="2"/>
      <c r="AG632" s="2"/>
      <c r="AH632" s="2"/>
      <c r="AI632" s="29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14.25" customHeight="1" x14ac:dyDescent="0.35">
      <c r="A633" s="2"/>
      <c r="B633" s="2"/>
      <c r="C633" s="2"/>
      <c r="D633" s="2"/>
      <c r="E633" s="2"/>
      <c r="F633" s="2"/>
      <c r="G633" s="27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91"/>
      <c r="AC633" s="2"/>
      <c r="AD633" s="2"/>
      <c r="AE633" s="291"/>
      <c r="AF633" s="2"/>
      <c r="AG633" s="2"/>
      <c r="AH633" s="2"/>
      <c r="AI633" s="29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14.25" customHeight="1" x14ac:dyDescent="0.35">
      <c r="A634" s="2"/>
      <c r="B634" s="2"/>
      <c r="C634" s="2"/>
      <c r="D634" s="2"/>
      <c r="E634" s="2"/>
      <c r="F634" s="2"/>
      <c r="G634" s="27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91"/>
      <c r="AC634" s="2"/>
      <c r="AD634" s="2"/>
      <c r="AE634" s="291"/>
      <c r="AF634" s="2"/>
      <c r="AG634" s="2"/>
      <c r="AH634" s="2"/>
      <c r="AI634" s="29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14.25" customHeight="1" x14ac:dyDescent="0.35">
      <c r="A635" s="2"/>
      <c r="B635" s="2"/>
      <c r="C635" s="2"/>
      <c r="D635" s="2"/>
      <c r="E635" s="2"/>
      <c r="F635" s="2"/>
      <c r="G635" s="27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91"/>
      <c r="AC635" s="2"/>
      <c r="AD635" s="2"/>
      <c r="AE635" s="291"/>
      <c r="AF635" s="2"/>
      <c r="AG635" s="2"/>
      <c r="AH635" s="2"/>
      <c r="AI635" s="29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14.25" customHeight="1" x14ac:dyDescent="0.35">
      <c r="A636" s="2"/>
      <c r="B636" s="2"/>
      <c r="C636" s="2"/>
      <c r="D636" s="2"/>
      <c r="E636" s="2"/>
      <c r="F636" s="2"/>
      <c r="G636" s="27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91"/>
      <c r="AC636" s="2"/>
      <c r="AD636" s="2"/>
      <c r="AE636" s="291"/>
      <c r="AF636" s="2"/>
      <c r="AG636" s="2"/>
      <c r="AH636" s="2"/>
      <c r="AI636" s="29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14.25" customHeight="1" x14ac:dyDescent="0.35">
      <c r="A637" s="2"/>
      <c r="B637" s="2"/>
      <c r="C637" s="2"/>
      <c r="D637" s="2"/>
      <c r="E637" s="2"/>
      <c r="F637" s="2"/>
      <c r="G637" s="27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91"/>
      <c r="AC637" s="2"/>
      <c r="AD637" s="2"/>
      <c r="AE637" s="291"/>
      <c r="AF637" s="2"/>
      <c r="AG637" s="2"/>
      <c r="AH637" s="2"/>
      <c r="AI637" s="29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14.25" customHeight="1" x14ac:dyDescent="0.35">
      <c r="A638" s="2"/>
      <c r="B638" s="2"/>
      <c r="C638" s="2"/>
      <c r="D638" s="2"/>
      <c r="E638" s="2"/>
      <c r="F638" s="2"/>
      <c r="G638" s="27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91"/>
      <c r="AC638" s="2"/>
      <c r="AD638" s="2"/>
      <c r="AE638" s="291"/>
      <c r="AF638" s="2"/>
      <c r="AG638" s="2"/>
      <c r="AH638" s="2"/>
      <c r="AI638" s="29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14.25" customHeight="1" x14ac:dyDescent="0.35">
      <c r="A639" s="2"/>
      <c r="B639" s="2"/>
      <c r="C639" s="2"/>
      <c r="D639" s="2"/>
      <c r="E639" s="2"/>
      <c r="F639" s="2"/>
      <c r="G639" s="27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91"/>
      <c r="AC639" s="2"/>
      <c r="AD639" s="2"/>
      <c r="AE639" s="291"/>
      <c r="AF639" s="2"/>
      <c r="AG639" s="2"/>
      <c r="AH639" s="2"/>
      <c r="AI639" s="29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14.25" customHeight="1" x14ac:dyDescent="0.35">
      <c r="A640" s="2"/>
      <c r="B640" s="2"/>
      <c r="C640" s="2"/>
      <c r="D640" s="2"/>
      <c r="E640" s="2"/>
      <c r="F640" s="2"/>
      <c r="G640" s="27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91"/>
      <c r="AC640" s="2"/>
      <c r="AD640" s="2"/>
      <c r="AE640" s="291"/>
      <c r="AF640" s="2"/>
      <c r="AG640" s="2"/>
      <c r="AH640" s="2"/>
      <c r="AI640" s="29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14.25" customHeight="1" x14ac:dyDescent="0.35">
      <c r="A641" s="2"/>
      <c r="B641" s="2"/>
      <c r="C641" s="2"/>
      <c r="D641" s="2"/>
      <c r="E641" s="2"/>
      <c r="F641" s="2"/>
      <c r="G641" s="27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91"/>
      <c r="AC641" s="2"/>
      <c r="AD641" s="2"/>
      <c r="AE641" s="291"/>
      <c r="AF641" s="2"/>
      <c r="AG641" s="2"/>
      <c r="AH641" s="2"/>
      <c r="AI641" s="29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14.25" customHeight="1" x14ac:dyDescent="0.35">
      <c r="A642" s="2"/>
      <c r="B642" s="2"/>
      <c r="C642" s="2"/>
      <c r="D642" s="2"/>
      <c r="E642" s="2"/>
      <c r="F642" s="2"/>
      <c r="G642" s="27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91"/>
      <c r="AC642" s="2"/>
      <c r="AD642" s="2"/>
      <c r="AE642" s="291"/>
      <c r="AF642" s="2"/>
      <c r="AG642" s="2"/>
      <c r="AH642" s="2"/>
      <c r="AI642" s="29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14.25" customHeight="1" x14ac:dyDescent="0.35">
      <c r="A643" s="2"/>
      <c r="B643" s="2"/>
      <c r="C643" s="2"/>
      <c r="D643" s="2"/>
      <c r="E643" s="2"/>
      <c r="F643" s="2"/>
      <c r="G643" s="27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91"/>
      <c r="AC643" s="2"/>
      <c r="AD643" s="2"/>
      <c r="AE643" s="291"/>
      <c r="AF643" s="2"/>
      <c r="AG643" s="2"/>
      <c r="AH643" s="2"/>
      <c r="AI643" s="29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14.25" customHeight="1" x14ac:dyDescent="0.35">
      <c r="A644" s="2"/>
      <c r="B644" s="2"/>
      <c r="C644" s="2"/>
      <c r="D644" s="2"/>
      <c r="E644" s="2"/>
      <c r="F644" s="2"/>
      <c r="G644" s="27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91"/>
      <c r="AC644" s="2"/>
      <c r="AD644" s="2"/>
      <c r="AE644" s="291"/>
      <c r="AF644" s="2"/>
      <c r="AG644" s="2"/>
      <c r="AH644" s="2"/>
      <c r="AI644" s="29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14.25" customHeight="1" x14ac:dyDescent="0.35">
      <c r="A645" s="2"/>
      <c r="B645" s="2"/>
      <c r="C645" s="2"/>
      <c r="D645" s="2"/>
      <c r="E645" s="2"/>
      <c r="F645" s="2"/>
      <c r="G645" s="27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91"/>
      <c r="AC645" s="2"/>
      <c r="AD645" s="2"/>
      <c r="AE645" s="291"/>
      <c r="AF645" s="2"/>
      <c r="AG645" s="2"/>
      <c r="AH645" s="2"/>
      <c r="AI645" s="29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14.25" customHeight="1" x14ac:dyDescent="0.35">
      <c r="A646" s="2"/>
      <c r="B646" s="2"/>
      <c r="C646" s="2"/>
      <c r="D646" s="2"/>
      <c r="E646" s="2"/>
      <c r="F646" s="2"/>
      <c r="G646" s="27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91"/>
      <c r="AC646" s="2"/>
      <c r="AD646" s="2"/>
      <c r="AE646" s="291"/>
      <c r="AF646" s="2"/>
      <c r="AG646" s="2"/>
      <c r="AH646" s="2"/>
      <c r="AI646" s="29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14.25" customHeight="1" x14ac:dyDescent="0.35">
      <c r="A647" s="2"/>
      <c r="B647" s="2"/>
      <c r="C647" s="2"/>
      <c r="D647" s="2"/>
      <c r="E647" s="2"/>
      <c r="F647" s="2"/>
      <c r="G647" s="27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91"/>
      <c r="AC647" s="2"/>
      <c r="AD647" s="2"/>
      <c r="AE647" s="291"/>
      <c r="AF647" s="2"/>
      <c r="AG647" s="2"/>
      <c r="AH647" s="2"/>
      <c r="AI647" s="29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14.25" customHeight="1" x14ac:dyDescent="0.35">
      <c r="A648" s="2"/>
      <c r="B648" s="2"/>
      <c r="C648" s="2"/>
      <c r="D648" s="2"/>
      <c r="E648" s="2"/>
      <c r="F648" s="2"/>
      <c r="G648" s="27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91"/>
      <c r="AC648" s="2"/>
      <c r="AD648" s="2"/>
      <c r="AE648" s="291"/>
      <c r="AF648" s="2"/>
      <c r="AG648" s="2"/>
      <c r="AH648" s="2"/>
      <c r="AI648" s="29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14.25" customHeight="1" x14ac:dyDescent="0.35">
      <c r="A649" s="2"/>
      <c r="B649" s="2"/>
      <c r="C649" s="2"/>
      <c r="D649" s="2"/>
      <c r="E649" s="2"/>
      <c r="F649" s="2"/>
      <c r="G649" s="27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91"/>
      <c r="AC649" s="2"/>
      <c r="AD649" s="2"/>
      <c r="AE649" s="291"/>
      <c r="AF649" s="2"/>
      <c r="AG649" s="2"/>
      <c r="AH649" s="2"/>
      <c r="AI649" s="29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14.25" customHeight="1" x14ac:dyDescent="0.35">
      <c r="A650" s="2"/>
      <c r="B650" s="2"/>
      <c r="C650" s="2"/>
      <c r="D650" s="2"/>
      <c r="E650" s="2"/>
      <c r="F650" s="2"/>
      <c r="G650" s="27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91"/>
      <c r="AC650" s="2"/>
      <c r="AD650" s="2"/>
      <c r="AE650" s="291"/>
      <c r="AF650" s="2"/>
      <c r="AG650" s="2"/>
      <c r="AH650" s="2"/>
      <c r="AI650" s="29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14.25" customHeight="1" x14ac:dyDescent="0.35">
      <c r="A651" s="2"/>
      <c r="B651" s="2"/>
      <c r="C651" s="2"/>
      <c r="D651" s="2"/>
      <c r="E651" s="2"/>
      <c r="F651" s="2"/>
      <c r="G651" s="27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91"/>
      <c r="AC651" s="2"/>
      <c r="AD651" s="2"/>
      <c r="AE651" s="291"/>
      <c r="AF651" s="2"/>
      <c r="AG651" s="2"/>
      <c r="AH651" s="2"/>
      <c r="AI651" s="29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14.25" customHeight="1" x14ac:dyDescent="0.35">
      <c r="A652" s="2"/>
      <c r="B652" s="2"/>
      <c r="C652" s="2"/>
      <c r="D652" s="2"/>
      <c r="E652" s="2"/>
      <c r="F652" s="2"/>
      <c r="G652" s="27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91"/>
      <c r="AC652" s="2"/>
      <c r="AD652" s="2"/>
      <c r="AE652" s="291"/>
      <c r="AF652" s="2"/>
      <c r="AG652" s="2"/>
      <c r="AH652" s="2"/>
      <c r="AI652" s="29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14.25" customHeight="1" x14ac:dyDescent="0.35">
      <c r="A653" s="2"/>
      <c r="B653" s="2"/>
      <c r="C653" s="2"/>
      <c r="D653" s="2"/>
      <c r="E653" s="2"/>
      <c r="F653" s="2"/>
      <c r="G653" s="27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91"/>
      <c r="AC653" s="2"/>
      <c r="AD653" s="2"/>
      <c r="AE653" s="291"/>
      <c r="AF653" s="2"/>
      <c r="AG653" s="2"/>
      <c r="AH653" s="2"/>
      <c r="AI653" s="29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14.25" customHeight="1" x14ac:dyDescent="0.35">
      <c r="A654" s="2"/>
      <c r="B654" s="2"/>
      <c r="C654" s="2"/>
      <c r="D654" s="2"/>
      <c r="E654" s="2"/>
      <c r="F654" s="2"/>
      <c r="G654" s="27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91"/>
      <c r="AC654" s="2"/>
      <c r="AD654" s="2"/>
      <c r="AE654" s="291"/>
      <c r="AF654" s="2"/>
      <c r="AG654" s="2"/>
      <c r="AH654" s="2"/>
      <c r="AI654" s="29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14.25" customHeight="1" x14ac:dyDescent="0.35">
      <c r="A655" s="2"/>
      <c r="B655" s="2"/>
      <c r="C655" s="2"/>
      <c r="D655" s="2"/>
      <c r="E655" s="2"/>
      <c r="F655" s="2"/>
      <c r="G655" s="27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91"/>
      <c r="AC655" s="2"/>
      <c r="AD655" s="2"/>
      <c r="AE655" s="291"/>
      <c r="AF655" s="2"/>
      <c r="AG655" s="2"/>
      <c r="AH655" s="2"/>
      <c r="AI655" s="29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14.25" customHeight="1" x14ac:dyDescent="0.35">
      <c r="A656" s="2"/>
      <c r="B656" s="2"/>
      <c r="C656" s="2"/>
      <c r="D656" s="2"/>
      <c r="E656" s="2"/>
      <c r="F656" s="2"/>
      <c r="G656" s="27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91"/>
      <c r="AC656" s="2"/>
      <c r="AD656" s="2"/>
      <c r="AE656" s="291"/>
      <c r="AF656" s="2"/>
      <c r="AG656" s="2"/>
      <c r="AH656" s="2"/>
      <c r="AI656" s="29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14.25" customHeight="1" x14ac:dyDescent="0.35">
      <c r="A657" s="2"/>
      <c r="B657" s="2"/>
      <c r="C657" s="2"/>
      <c r="D657" s="2"/>
      <c r="E657" s="2"/>
      <c r="F657" s="2"/>
      <c r="G657" s="27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91"/>
      <c r="AC657" s="2"/>
      <c r="AD657" s="2"/>
      <c r="AE657" s="291"/>
      <c r="AF657" s="2"/>
      <c r="AG657" s="2"/>
      <c r="AH657" s="2"/>
      <c r="AI657" s="29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14.25" customHeight="1" x14ac:dyDescent="0.35">
      <c r="A658" s="2"/>
      <c r="B658" s="2"/>
      <c r="C658" s="2"/>
      <c r="D658" s="2"/>
      <c r="E658" s="2"/>
      <c r="F658" s="2"/>
      <c r="G658" s="27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91"/>
      <c r="AC658" s="2"/>
      <c r="AD658" s="2"/>
      <c r="AE658" s="291"/>
      <c r="AF658" s="2"/>
      <c r="AG658" s="2"/>
      <c r="AH658" s="2"/>
      <c r="AI658" s="29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14.25" customHeight="1" x14ac:dyDescent="0.35">
      <c r="A659" s="2"/>
      <c r="B659" s="2"/>
      <c r="C659" s="2"/>
      <c r="D659" s="2"/>
      <c r="E659" s="2"/>
      <c r="F659" s="2"/>
      <c r="G659" s="27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91"/>
      <c r="AC659" s="2"/>
      <c r="AD659" s="2"/>
      <c r="AE659" s="291"/>
      <c r="AF659" s="2"/>
      <c r="AG659" s="2"/>
      <c r="AH659" s="2"/>
      <c r="AI659" s="29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14.25" customHeight="1" x14ac:dyDescent="0.35">
      <c r="A660" s="2"/>
      <c r="B660" s="2"/>
      <c r="C660" s="2"/>
      <c r="D660" s="2"/>
      <c r="E660" s="2"/>
      <c r="F660" s="2"/>
      <c r="G660" s="27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91"/>
      <c r="AC660" s="2"/>
      <c r="AD660" s="2"/>
      <c r="AE660" s="291"/>
      <c r="AF660" s="2"/>
      <c r="AG660" s="2"/>
      <c r="AH660" s="2"/>
      <c r="AI660" s="29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14.25" customHeight="1" x14ac:dyDescent="0.35">
      <c r="A661" s="2"/>
      <c r="B661" s="2"/>
      <c r="C661" s="2"/>
      <c r="D661" s="2"/>
      <c r="E661" s="2"/>
      <c r="F661" s="2"/>
      <c r="G661" s="27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91"/>
      <c r="AC661" s="2"/>
      <c r="AD661" s="2"/>
      <c r="AE661" s="291"/>
      <c r="AF661" s="2"/>
      <c r="AG661" s="2"/>
      <c r="AH661" s="2"/>
      <c r="AI661" s="29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14.25" customHeight="1" x14ac:dyDescent="0.35">
      <c r="A662" s="2"/>
      <c r="B662" s="2"/>
      <c r="C662" s="2"/>
      <c r="D662" s="2"/>
      <c r="E662" s="2"/>
      <c r="F662" s="2"/>
      <c r="G662" s="27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91"/>
      <c r="AC662" s="2"/>
      <c r="AD662" s="2"/>
      <c r="AE662" s="291"/>
      <c r="AF662" s="2"/>
      <c r="AG662" s="2"/>
      <c r="AH662" s="2"/>
      <c r="AI662" s="29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14.25" customHeight="1" x14ac:dyDescent="0.35">
      <c r="A663" s="2"/>
      <c r="B663" s="2"/>
      <c r="C663" s="2"/>
      <c r="D663" s="2"/>
      <c r="E663" s="2"/>
      <c r="F663" s="2"/>
      <c r="G663" s="27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91"/>
      <c r="AC663" s="2"/>
      <c r="AD663" s="2"/>
      <c r="AE663" s="291"/>
      <c r="AF663" s="2"/>
      <c r="AG663" s="2"/>
      <c r="AH663" s="2"/>
      <c r="AI663" s="29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14.25" customHeight="1" x14ac:dyDescent="0.35">
      <c r="A664" s="2"/>
      <c r="B664" s="2"/>
      <c r="C664" s="2"/>
      <c r="D664" s="2"/>
      <c r="E664" s="2"/>
      <c r="F664" s="2"/>
      <c r="G664" s="27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91"/>
      <c r="AC664" s="2"/>
      <c r="AD664" s="2"/>
      <c r="AE664" s="291"/>
      <c r="AF664" s="2"/>
      <c r="AG664" s="2"/>
      <c r="AH664" s="2"/>
      <c r="AI664" s="29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14.25" customHeight="1" x14ac:dyDescent="0.35">
      <c r="A665" s="2"/>
      <c r="B665" s="2"/>
      <c r="C665" s="2"/>
      <c r="D665" s="2"/>
      <c r="E665" s="2"/>
      <c r="F665" s="2"/>
      <c r="G665" s="27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91"/>
      <c r="AC665" s="2"/>
      <c r="AD665" s="2"/>
      <c r="AE665" s="291"/>
      <c r="AF665" s="2"/>
      <c r="AG665" s="2"/>
      <c r="AH665" s="2"/>
      <c r="AI665" s="29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14.25" customHeight="1" x14ac:dyDescent="0.35">
      <c r="A666" s="2"/>
      <c r="B666" s="2"/>
      <c r="C666" s="2"/>
      <c r="D666" s="2"/>
      <c r="E666" s="2"/>
      <c r="F666" s="2"/>
      <c r="G666" s="27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91"/>
      <c r="AC666" s="2"/>
      <c r="AD666" s="2"/>
      <c r="AE666" s="291"/>
      <c r="AF666" s="2"/>
      <c r="AG666" s="2"/>
      <c r="AH666" s="2"/>
      <c r="AI666" s="29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14.25" customHeight="1" x14ac:dyDescent="0.35">
      <c r="A667" s="2"/>
      <c r="B667" s="2"/>
      <c r="C667" s="2"/>
      <c r="D667" s="2"/>
      <c r="E667" s="2"/>
      <c r="F667" s="2"/>
      <c r="G667" s="27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91"/>
      <c r="AC667" s="2"/>
      <c r="AD667" s="2"/>
      <c r="AE667" s="291"/>
      <c r="AF667" s="2"/>
      <c r="AG667" s="2"/>
      <c r="AH667" s="2"/>
      <c r="AI667" s="29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14.25" customHeight="1" x14ac:dyDescent="0.35">
      <c r="A668" s="2"/>
      <c r="B668" s="2"/>
      <c r="C668" s="2"/>
      <c r="D668" s="2"/>
      <c r="E668" s="2"/>
      <c r="F668" s="2"/>
      <c r="G668" s="27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91"/>
      <c r="AC668" s="2"/>
      <c r="AD668" s="2"/>
      <c r="AE668" s="291"/>
      <c r="AF668" s="2"/>
      <c r="AG668" s="2"/>
      <c r="AH668" s="2"/>
      <c r="AI668" s="29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14.25" customHeight="1" x14ac:dyDescent="0.35">
      <c r="A669" s="2"/>
      <c r="B669" s="2"/>
      <c r="C669" s="2"/>
      <c r="D669" s="2"/>
      <c r="E669" s="2"/>
      <c r="F669" s="2"/>
      <c r="G669" s="27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91"/>
      <c r="AC669" s="2"/>
      <c r="AD669" s="2"/>
      <c r="AE669" s="291"/>
      <c r="AF669" s="2"/>
      <c r="AG669" s="2"/>
      <c r="AH669" s="2"/>
      <c r="AI669" s="29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14.25" customHeight="1" x14ac:dyDescent="0.35">
      <c r="A670" s="2"/>
      <c r="B670" s="2"/>
      <c r="C670" s="2"/>
      <c r="D670" s="2"/>
      <c r="E670" s="2"/>
      <c r="F670" s="2"/>
      <c r="G670" s="27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91"/>
      <c r="AC670" s="2"/>
      <c r="AD670" s="2"/>
      <c r="AE670" s="291"/>
      <c r="AF670" s="2"/>
      <c r="AG670" s="2"/>
      <c r="AH670" s="2"/>
      <c r="AI670" s="29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14.25" customHeight="1" x14ac:dyDescent="0.35">
      <c r="A671" s="2"/>
      <c r="B671" s="2"/>
      <c r="C671" s="2"/>
      <c r="D671" s="2"/>
      <c r="E671" s="2"/>
      <c r="F671" s="2"/>
      <c r="G671" s="27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91"/>
      <c r="AC671" s="2"/>
      <c r="AD671" s="2"/>
      <c r="AE671" s="291"/>
      <c r="AF671" s="2"/>
      <c r="AG671" s="2"/>
      <c r="AH671" s="2"/>
      <c r="AI671" s="29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14.25" customHeight="1" x14ac:dyDescent="0.35">
      <c r="A672" s="2"/>
      <c r="B672" s="2"/>
      <c r="C672" s="2"/>
      <c r="D672" s="2"/>
      <c r="E672" s="2"/>
      <c r="F672" s="2"/>
      <c r="G672" s="27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91"/>
      <c r="AC672" s="2"/>
      <c r="AD672" s="2"/>
      <c r="AE672" s="291"/>
      <c r="AF672" s="2"/>
      <c r="AG672" s="2"/>
      <c r="AH672" s="2"/>
      <c r="AI672" s="29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14.25" customHeight="1" x14ac:dyDescent="0.35">
      <c r="A673" s="2"/>
      <c r="B673" s="2"/>
      <c r="C673" s="2"/>
      <c r="D673" s="2"/>
      <c r="E673" s="2"/>
      <c r="F673" s="2"/>
      <c r="G673" s="27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91"/>
      <c r="AC673" s="2"/>
      <c r="AD673" s="2"/>
      <c r="AE673" s="291"/>
      <c r="AF673" s="2"/>
      <c r="AG673" s="2"/>
      <c r="AH673" s="2"/>
      <c r="AI673" s="29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14.25" customHeight="1" x14ac:dyDescent="0.35">
      <c r="A674" s="2"/>
      <c r="B674" s="2"/>
      <c r="C674" s="2"/>
      <c r="D674" s="2"/>
      <c r="E674" s="2"/>
      <c r="F674" s="2"/>
      <c r="G674" s="27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91"/>
      <c r="AC674" s="2"/>
      <c r="AD674" s="2"/>
      <c r="AE674" s="291"/>
      <c r="AF674" s="2"/>
      <c r="AG674" s="2"/>
      <c r="AH674" s="2"/>
      <c r="AI674" s="29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14.25" customHeight="1" x14ac:dyDescent="0.35">
      <c r="A675" s="2"/>
      <c r="B675" s="2"/>
      <c r="C675" s="2"/>
      <c r="D675" s="2"/>
      <c r="E675" s="2"/>
      <c r="F675" s="2"/>
      <c r="G675" s="27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91"/>
      <c r="AC675" s="2"/>
      <c r="AD675" s="2"/>
      <c r="AE675" s="291"/>
      <c r="AF675" s="2"/>
      <c r="AG675" s="2"/>
      <c r="AH675" s="2"/>
      <c r="AI675" s="29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14.25" customHeight="1" x14ac:dyDescent="0.35">
      <c r="A676" s="2"/>
      <c r="B676" s="2"/>
      <c r="C676" s="2"/>
      <c r="D676" s="2"/>
      <c r="E676" s="2"/>
      <c r="F676" s="2"/>
      <c r="G676" s="27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91"/>
      <c r="AC676" s="2"/>
      <c r="AD676" s="2"/>
      <c r="AE676" s="291"/>
      <c r="AF676" s="2"/>
      <c r="AG676" s="2"/>
      <c r="AH676" s="2"/>
      <c r="AI676" s="29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14.25" customHeight="1" x14ac:dyDescent="0.35">
      <c r="A677" s="2"/>
      <c r="B677" s="2"/>
      <c r="C677" s="2"/>
      <c r="D677" s="2"/>
      <c r="E677" s="2"/>
      <c r="F677" s="2"/>
      <c r="G677" s="27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91"/>
      <c r="AC677" s="2"/>
      <c r="AD677" s="2"/>
      <c r="AE677" s="291"/>
      <c r="AF677" s="2"/>
      <c r="AG677" s="2"/>
      <c r="AH677" s="2"/>
      <c r="AI677" s="29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14.25" customHeight="1" x14ac:dyDescent="0.35">
      <c r="A678" s="2"/>
      <c r="B678" s="2"/>
      <c r="C678" s="2"/>
      <c r="D678" s="2"/>
      <c r="E678" s="2"/>
      <c r="F678" s="2"/>
      <c r="G678" s="27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91"/>
      <c r="AC678" s="2"/>
      <c r="AD678" s="2"/>
      <c r="AE678" s="291"/>
      <c r="AF678" s="2"/>
      <c r="AG678" s="2"/>
      <c r="AH678" s="2"/>
      <c r="AI678" s="29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14.25" customHeight="1" x14ac:dyDescent="0.35">
      <c r="A679" s="2"/>
      <c r="B679" s="2"/>
      <c r="C679" s="2"/>
      <c r="D679" s="2"/>
      <c r="E679" s="2"/>
      <c r="F679" s="2"/>
      <c r="G679" s="27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91"/>
      <c r="AC679" s="2"/>
      <c r="AD679" s="2"/>
      <c r="AE679" s="291"/>
      <c r="AF679" s="2"/>
      <c r="AG679" s="2"/>
      <c r="AH679" s="2"/>
      <c r="AI679" s="29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14.25" customHeight="1" x14ac:dyDescent="0.35">
      <c r="A680" s="2"/>
      <c r="B680" s="2"/>
      <c r="C680" s="2"/>
      <c r="D680" s="2"/>
      <c r="E680" s="2"/>
      <c r="F680" s="2"/>
      <c r="G680" s="27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91"/>
      <c r="AC680" s="2"/>
      <c r="AD680" s="2"/>
      <c r="AE680" s="291"/>
      <c r="AF680" s="2"/>
      <c r="AG680" s="2"/>
      <c r="AH680" s="2"/>
      <c r="AI680" s="29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14.25" customHeight="1" x14ac:dyDescent="0.35">
      <c r="A681" s="2"/>
      <c r="B681" s="2"/>
      <c r="C681" s="2"/>
      <c r="D681" s="2"/>
      <c r="E681" s="2"/>
      <c r="F681" s="2"/>
      <c r="G681" s="27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91"/>
      <c r="AC681" s="2"/>
      <c r="AD681" s="2"/>
      <c r="AE681" s="291"/>
      <c r="AF681" s="2"/>
      <c r="AG681" s="2"/>
      <c r="AH681" s="2"/>
      <c r="AI681" s="29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14.25" customHeight="1" x14ac:dyDescent="0.35">
      <c r="A682" s="2"/>
      <c r="B682" s="2"/>
      <c r="C682" s="2"/>
      <c r="D682" s="2"/>
      <c r="E682" s="2"/>
      <c r="F682" s="2"/>
      <c r="G682" s="27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91"/>
      <c r="AC682" s="2"/>
      <c r="AD682" s="2"/>
      <c r="AE682" s="291"/>
      <c r="AF682" s="2"/>
      <c r="AG682" s="2"/>
      <c r="AH682" s="2"/>
      <c r="AI682" s="29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14.25" customHeight="1" x14ac:dyDescent="0.35">
      <c r="A683" s="2"/>
      <c r="B683" s="2"/>
      <c r="C683" s="2"/>
      <c r="D683" s="2"/>
      <c r="E683" s="2"/>
      <c r="F683" s="2"/>
      <c r="G683" s="27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91"/>
      <c r="AC683" s="2"/>
      <c r="AD683" s="2"/>
      <c r="AE683" s="291"/>
      <c r="AF683" s="2"/>
      <c r="AG683" s="2"/>
      <c r="AH683" s="2"/>
      <c r="AI683" s="29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14.25" customHeight="1" x14ac:dyDescent="0.35">
      <c r="A684" s="2"/>
      <c r="B684" s="2"/>
      <c r="C684" s="2"/>
      <c r="D684" s="2"/>
      <c r="E684" s="2"/>
      <c r="F684" s="2"/>
      <c r="G684" s="27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91"/>
      <c r="AC684" s="2"/>
      <c r="AD684" s="2"/>
      <c r="AE684" s="291"/>
      <c r="AF684" s="2"/>
      <c r="AG684" s="2"/>
      <c r="AH684" s="2"/>
      <c r="AI684" s="29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14.25" customHeight="1" x14ac:dyDescent="0.35">
      <c r="A685" s="2"/>
      <c r="B685" s="2"/>
      <c r="C685" s="2"/>
      <c r="D685" s="2"/>
      <c r="E685" s="2"/>
      <c r="F685" s="2"/>
      <c r="G685" s="27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91"/>
      <c r="AC685" s="2"/>
      <c r="AD685" s="2"/>
      <c r="AE685" s="291"/>
      <c r="AF685" s="2"/>
      <c r="AG685" s="2"/>
      <c r="AH685" s="2"/>
      <c r="AI685" s="29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14.25" customHeight="1" x14ac:dyDescent="0.35">
      <c r="A686" s="2"/>
      <c r="B686" s="2"/>
      <c r="C686" s="2"/>
      <c r="D686" s="2"/>
      <c r="E686" s="2"/>
      <c r="F686" s="2"/>
      <c r="G686" s="27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91"/>
      <c r="AC686" s="2"/>
      <c r="AD686" s="2"/>
      <c r="AE686" s="291"/>
      <c r="AF686" s="2"/>
      <c r="AG686" s="2"/>
      <c r="AH686" s="2"/>
      <c r="AI686" s="29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14.25" customHeight="1" x14ac:dyDescent="0.35">
      <c r="A687" s="2"/>
      <c r="B687" s="2"/>
      <c r="C687" s="2"/>
      <c r="D687" s="2"/>
      <c r="E687" s="2"/>
      <c r="F687" s="2"/>
      <c r="G687" s="27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91"/>
      <c r="AC687" s="2"/>
      <c r="AD687" s="2"/>
      <c r="AE687" s="291"/>
      <c r="AF687" s="2"/>
      <c r="AG687" s="2"/>
      <c r="AH687" s="2"/>
      <c r="AI687" s="29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14.25" customHeight="1" x14ac:dyDescent="0.35">
      <c r="A688" s="2"/>
      <c r="B688" s="2"/>
      <c r="C688" s="2"/>
      <c r="D688" s="2"/>
      <c r="E688" s="2"/>
      <c r="F688" s="2"/>
      <c r="G688" s="27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91"/>
      <c r="AC688" s="2"/>
      <c r="AD688" s="2"/>
      <c r="AE688" s="291"/>
      <c r="AF688" s="2"/>
      <c r="AG688" s="2"/>
      <c r="AH688" s="2"/>
      <c r="AI688" s="29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14.25" customHeight="1" x14ac:dyDescent="0.35">
      <c r="A689" s="2"/>
      <c r="B689" s="2"/>
      <c r="C689" s="2"/>
      <c r="D689" s="2"/>
      <c r="E689" s="2"/>
      <c r="F689" s="2"/>
      <c r="G689" s="27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91"/>
      <c r="AC689" s="2"/>
      <c r="AD689" s="2"/>
      <c r="AE689" s="291"/>
      <c r="AF689" s="2"/>
      <c r="AG689" s="2"/>
      <c r="AH689" s="2"/>
      <c r="AI689" s="29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14.25" customHeight="1" x14ac:dyDescent="0.35">
      <c r="A690" s="2"/>
      <c r="B690" s="2"/>
      <c r="C690" s="2"/>
      <c r="D690" s="2"/>
      <c r="E690" s="2"/>
      <c r="F690" s="2"/>
      <c r="G690" s="27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91"/>
      <c r="AC690" s="2"/>
      <c r="AD690" s="2"/>
      <c r="AE690" s="291"/>
      <c r="AF690" s="2"/>
      <c r="AG690" s="2"/>
      <c r="AH690" s="2"/>
      <c r="AI690" s="29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14.25" customHeight="1" x14ac:dyDescent="0.35">
      <c r="A691" s="2"/>
      <c r="B691" s="2"/>
      <c r="C691" s="2"/>
      <c r="D691" s="2"/>
      <c r="E691" s="2"/>
      <c r="F691" s="2"/>
      <c r="G691" s="27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91"/>
      <c r="AC691" s="2"/>
      <c r="AD691" s="2"/>
      <c r="AE691" s="291"/>
      <c r="AF691" s="2"/>
      <c r="AG691" s="2"/>
      <c r="AH691" s="2"/>
      <c r="AI691" s="29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14.25" customHeight="1" x14ac:dyDescent="0.35">
      <c r="A692" s="2"/>
      <c r="B692" s="2"/>
      <c r="C692" s="2"/>
      <c r="D692" s="2"/>
      <c r="E692" s="2"/>
      <c r="F692" s="2"/>
      <c r="G692" s="27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91"/>
      <c r="AC692" s="2"/>
      <c r="AD692" s="2"/>
      <c r="AE692" s="291"/>
      <c r="AF692" s="2"/>
      <c r="AG692" s="2"/>
      <c r="AH692" s="2"/>
      <c r="AI692" s="29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14.25" customHeight="1" x14ac:dyDescent="0.35">
      <c r="A693" s="2"/>
      <c r="B693" s="2"/>
      <c r="C693" s="2"/>
      <c r="D693" s="2"/>
      <c r="E693" s="2"/>
      <c r="F693" s="2"/>
      <c r="G693" s="27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91"/>
      <c r="AC693" s="2"/>
      <c r="AD693" s="2"/>
      <c r="AE693" s="291"/>
      <c r="AF693" s="2"/>
      <c r="AG693" s="2"/>
      <c r="AH693" s="2"/>
      <c r="AI693" s="29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14.25" customHeight="1" x14ac:dyDescent="0.35">
      <c r="A694" s="2"/>
      <c r="B694" s="2"/>
      <c r="C694" s="2"/>
      <c r="D694" s="2"/>
      <c r="E694" s="2"/>
      <c r="F694" s="2"/>
      <c r="G694" s="27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91"/>
      <c r="AC694" s="2"/>
      <c r="AD694" s="2"/>
      <c r="AE694" s="291"/>
      <c r="AF694" s="2"/>
      <c r="AG694" s="2"/>
      <c r="AH694" s="2"/>
      <c r="AI694" s="29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14.25" customHeight="1" x14ac:dyDescent="0.35">
      <c r="A695" s="2"/>
      <c r="B695" s="2"/>
      <c r="C695" s="2"/>
      <c r="D695" s="2"/>
      <c r="E695" s="2"/>
      <c r="F695" s="2"/>
      <c r="G695" s="27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91"/>
      <c r="AC695" s="2"/>
      <c r="AD695" s="2"/>
      <c r="AE695" s="291"/>
      <c r="AF695" s="2"/>
      <c r="AG695" s="2"/>
      <c r="AH695" s="2"/>
      <c r="AI695" s="29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14.25" customHeight="1" x14ac:dyDescent="0.35">
      <c r="A696" s="2"/>
      <c r="B696" s="2"/>
      <c r="C696" s="2"/>
      <c r="D696" s="2"/>
      <c r="E696" s="2"/>
      <c r="F696" s="2"/>
      <c r="G696" s="27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91"/>
      <c r="AC696" s="2"/>
      <c r="AD696" s="2"/>
      <c r="AE696" s="291"/>
      <c r="AF696" s="2"/>
      <c r="AG696" s="2"/>
      <c r="AH696" s="2"/>
      <c r="AI696" s="29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14.25" customHeight="1" x14ac:dyDescent="0.35">
      <c r="A697" s="2"/>
      <c r="B697" s="2"/>
      <c r="C697" s="2"/>
      <c r="D697" s="2"/>
      <c r="E697" s="2"/>
      <c r="F697" s="2"/>
      <c r="G697" s="27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91"/>
      <c r="AC697" s="2"/>
      <c r="AD697" s="2"/>
      <c r="AE697" s="291"/>
      <c r="AF697" s="2"/>
      <c r="AG697" s="2"/>
      <c r="AH697" s="2"/>
      <c r="AI697" s="29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14.25" customHeight="1" x14ac:dyDescent="0.35">
      <c r="A698" s="2"/>
      <c r="B698" s="2"/>
      <c r="C698" s="2"/>
      <c r="D698" s="2"/>
      <c r="E698" s="2"/>
      <c r="F698" s="2"/>
      <c r="G698" s="27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91"/>
      <c r="AC698" s="2"/>
      <c r="AD698" s="2"/>
      <c r="AE698" s="291"/>
      <c r="AF698" s="2"/>
      <c r="AG698" s="2"/>
      <c r="AH698" s="2"/>
      <c r="AI698" s="29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14.25" customHeight="1" x14ac:dyDescent="0.35">
      <c r="A699" s="2"/>
      <c r="B699" s="2"/>
      <c r="C699" s="2"/>
      <c r="D699" s="2"/>
      <c r="E699" s="2"/>
      <c r="F699" s="2"/>
      <c r="G699" s="27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91"/>
      <c r="AC699" s="2"/>
      <c r="AD699" s="2"/>
      <c r="AE699" s="291"/>
      <c r="AF699" s="2"/>
      <c r="AG699" s="2"/>
      <c r="AH699" s="2"/>
      <c r="AI699" s="29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14.25" customHeight="1" x14ac:dyDescent="0.35">
      <c r="A700" s="2"/>
      <c r="B700" s="2"/>
      <c r="C700" s="2"/>
      <c r="D700" s="2"/>
      <c r="E700" s="2"/>
      <c r="F700" s="2"/>
      <c r="G700" s="27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91"/>
      <c r="AC700" s="2"/>
      <c r="AD700" s="2"/>
      <c r="AE700" s="291"/>
      <c r="AF700" s="2"/>
      <c r="AG700" s="2"/>
      <c r="AH700" s="2"/>
      <c r="AI700" s="29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14.25" customHeight="1" x14ac:dyDescent="0.35">
      <c r="A701" s="2"/>
      <c r="B701" s="2"/>
      <c r="C701" s="2"/>
      <c r="D701" s="2"/>
      <c r="E701" s="2"/>
      <c r="F701" s="2"/>
      <c r="G701" s="27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91"/>
      <c r="AC701" s="2"/>
      <c r="AD701" s="2"/>
      <c r="AE701" s="291"/>
      <c r="AF701" s="2"/>
      <c r="AG701" s="2"/>
      <c r="AH701" s="2"/>
      <c r="AI701" s="29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14.25" customHeight="1" x14ac:dyDescent="0.35">
      <c r="A702" s="2"/>
      <c r="B702" s="2"/>
      <c r="C702" s="2"/>
      <c r="D702" s="2"/>
      <c r="E702" s="2"/>
      <c r="F702" s="2"/>
      <c r="G702" s="27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91"/>
      <c r="AC702" s="2"/>
      <c r="AD702" s="2"/>
      <c r="AE702" s="291"/>
      <c r="AF702" s="2"/>
      <c r="AG702" s="2"/>
      <c r="AH702" s="2"/>
      <c r="AI702" s="29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14.25" customHeight="1" x14ac:dyDescent="0.35">
      <c r="A703" s="2"/>
      <c r="B703" s="2"/>
      <c r="C703" s="2"/>
      <c r="D703" s="2"/>
      <c r="E703" s="2"/>
      <c r="F703" s="2"/>
      <c r="G703" s="27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91"/>
      <c r="AC703" s="2"/>
      <c r="AD703" s="2"/>
      <c r="AE703" s="291"/>
      <c r="AF703" s="2"/>
      <c r="AG703" s="2"/>
      <c r="AH703" s="2"/>
      <c r="AI703" s="29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14.25" customHeight="1" x14ac:dyDescent="0.35">
      <c r="A704" s="2"/>
      <c r="B704" s="2"/>
      <c r="C704" s="2"/>
      <c r="D704" s="2"/>
      <c r="E704" s="2"/>
      <c r="F704" s="2"/>
      <c r="G704" s="27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91"/>
      <c r="AC704" s="2"/>
      <c r="AD704" s="2"/>
      <c r="AE704" s="291"/>
      <c r="AF704" s="2"/>
      <c r="AG704" s="2"/>
      <c r="AH704" s="2"/>
      <c r="AI704" s="29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14.25" customHeight="1" x14ac:dyDescent="0.35">
      <c r="A705" s="2"/>
      <c r="B705" s="2"/>
      <c r="C705" s="2"/>
      <c r="D705" s="2"/>
      <c r="E705" s="2"/>
      <c r="F705" s="2"/>
      <c r="G705" s="27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91"/>
      <c r="AC705" s="2"/>
      <c r="AD705" s="2"/>
      <c r="AE705" s="291"/>
      <c r="AF705" s="2"/>
      <c r="AG705" s="2"/>
      <c r="AH705" s="2"/>
      <c r="AI705" s="29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14.25" customHeight="1" x14ac:dyDescent="0.35">
      <c r="A706" s="2"/>
      <c r="B706" s="2"/>
      <c r="C706" s="2"/>
      <c r="D706" s="2"/>
      <c r="E706" s="2"/>
      <c r="F706" s="2"/>
      <c r="G706" s="27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91"/>
      <c r="AC706" s="2"/>
      <c r="AD706" s="2"/>
      <c r="AE706" s="291"/>
      <c r="AF706" s="2"/>
      <c r="AG706" s="2"/>
      <c r="AH706" s="2"/>
      <c r="AI706" s="29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14.25" customHeight="1" x14ac:dyDescent="0.35">
      <c r="A707" s="2"/>
      <c r="B707" s="2"/>
      <c r="C707" s="2"/>
      <c r="D707" s="2"/>
      <c r="E707" s="2"/>
      <c r="F707" s="2"/>
      <c r="G707" s="27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91"/>
      <c r="AC707" s="2"/>
      <c r="AD707" s="2"/>
      <c r="AE707" s="291"/>
      <c r="AF707" s="2"/>
      <c r="AG707" s="2"/>
      <c r="AH707" s="2"/>
      <c r="AI707" s="29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14.25" customHeight="1" x14ac:dyDescent="0.35">
      <c r="A708" s="2"/>
      <c r="B708" s="2"/>
      <c r="C708" s="2"/>
      <c r="D708" s="2"/>
      <c r="E708" s="2"/>
      <c r="F708" s="2"/>
      <c r="G708" s="27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91"/>
      <c r="AC708" s="2"/>
      <c r="AD708" s="2"/>
      <c r="AE708" s="291"/>
      <c r="AF708" s="2"/>
      <c r="AG708" s="2"/>
      <c r="AH708" s="2"/>
      <c r="AI708" s="29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14.25" customHeight="1" x14ac:dyDescent="0.35">
      <c r="A709" s="2"/>
      <c r="B709" s="2"/>
      <c r="C709" s="2"/>
      <c r="D709" s="2"/>
      <c r="E709" s="2"/>
      <c r="F709" s="2"/>
      <c r="G709" s="27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91"/>
      <c r="AC709" s="2"/>
      <c r="AD709" s="2"/>
      <c r="AE709" s="291"/>
      <c r="AF709" s="2"/>
      <c r="AG709" s="2"/>
      <c r="AH709" s="2"/>
      <c r="AI709" s="29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14.25" customHeight="1" x14ac:dyDescent="0.35">
      <c r="A710" s="2"/>
      <c r="B710" s="2"/>
      <c r="C710" s="2"/>
      <c r="D710" s="2"/>
      <c r="E710" s="2"/>
      <c r="F710" s="2"/>
      <c r="G710" s="27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91"/>
      <c r="AC710" s="2"/>
      <c r="AD710" s="2"/>
      <c r="AE710" s="291"/>
      <c r="AF710" s="2"/>
      <c r="AG710" s="2"/>
      <c r="AH710" s="2"/>
      <c r="AI710" s="29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14.25" customHeight="1" x14ac:dyDescent="0.35">
      <c r="A711" s="2"/>
      <c r="B711" s="2"/>
      <c r="C711" s="2"/>
      <c r="D711" s="2"/>
      <c r="E711" s="2"/>
      <c r="F711" s="2"/>
      <c r="G711" s="27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91"/>
      <c r="AC711" s="2"/>
      <c r="AD711" s="2"/>
      <c r="AE711" s="291"/>
      <c r="AF711" s="2"/>
      <c r="AG711" s="2"/>
      <c r="AH711" s="2"/>
      <c r="AI711" s="29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14.25" customHeight="1" x14ac:dyDescent="0.35">
      <c r="A712" s="2"/>
      <c r="B712" s="2"/>
      <c r="C712" s="2"/>
      <c r="D712" s="2"/>
      <c r="E712" s="2"/>
      <c r="F712" s="2"/>
      <c r="G712" s="27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91"/>
      <c r="AC712" s="2"/>
      <c r="AD712" s="2"/>
      <c r="AE712" s="291"/>
      <c r="AF712" s="2"/>
      <c r="AG712" s="2"/>
      <c r="AH712" s="2"/>
      <c r="AI712" s="29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14.25" customHeight="1" x14ac:dyDescent="0.35">
      <c r="A713" s="2"/>
      <c r="B713" s="2"/>
      <c r="C713" s="2"/>
      <c r="D713" s="2"/>
      <c r="E713" s="2"/>
      <c r="F713" s="2"/>
      <c r="G713" s="27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91"/>
      <c r="AC713" s="2"/>
      <c r="AD713" s="2"/>
      <c r="AE713" s="291"/>
      <c r="AF713" s="2"/>
      <c r="AG713" s="2"/>
      <c r="AH713" s="2"/>
      <c r="AI713" s="29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14.25" customHeight="1" x14ac:dyDescent="0.35">
      <c r="A714" s="2"/>
      <c r="B714" s="2"/>
      <c r="C714" s="2"/>
      <c r="D714" s="2"/>
      <c r="E714" s="2"/>
      <c r="F714" s="2"/>
      <c r="G714" s="27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91"/>
      <c r="AC714" s="2"/>
      <c r="AD714" s="2"/>
      <c r="AE714" s="291"/>
      <c r="AF714" s="2"/>
      <c r="AG714" s="2"/>
      <c r="AH714" s="2"/>
      <c r="AI714" s="29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14.25" customHeight="1" x14ac:dyDescent="0.35">
      <c r="A715" s="2"/>
      <c r="B715" s="2"/>
      <c r="C715" s="2"/>
      <c r="D715" s="2"/>
      <c r="E715" s="2"/>
      <c r="F715" s="2"/>
      <c r="G715" s="27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91"/>
      <c r="AC715" s="2"/>
      <c r="AD715" s="2"/>
      <c r="AE715" s="291"/>
      <c r="AF715" s="2"/>
      <c r="AG715" s="2"/>
      <c r="AH715" s="2"/>
      <c r="AI715" s="29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14.25" customHeight="1" x14ac:dyDescent="0.35">
      <c r="A716" s="2"/>
      <c r="B716" s="2"/>
      <c r="C716" s="2"/>
      <c r="D716" s="2"/>
      <c r="E716" s="2"/>
      <c r="F716" s="2"/>
      <c r="G716" s="27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91"/>
      <c r="AC716" s="2"/>
      <c r="AD716" s="2"/>
      <c r="AE716" s="291"/>
      <c r="AF716" s="2"/>
      <c r="AG716" s="2"/>
      <c r="AH716" s="2"/>
      <c r="AI716" s="29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14.25" customHeight="1" x14ac:dyDescent="0.35">
      <c r="A717" s="2"/>
      <c r="B717" s="2"/>
      <c r="C717" s="2"/>
      <c r="D717" s="2"/>
      <c r="E717" s="2"/>
      <c r="F717" s="2"/>
      <c r="G717" s="27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91"/>
      <c r="AC717" s="2"/>
      <c r="AD717" s="2"/>
      <c r="AE717" s="291"/>
      <c r="AF717" s="2"/>
      <c r="AG717" s="2"/>
      <c r="AH717" s="2"/>
      <c r="AI717" s="29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14.25" customHeight="1" x14ac:dyDescent="0.35">
      <c r="A718" s="2"/>
      <c r="B718" s="2"/>
      <c r="C718" s="2"/>
      <c r="D718" s="2"/>
      <c r="E718" s="2"/>
      <c r="F718" s="2"/>
      <c r="G718" s="27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91"/>
      <c r="AC718" s="2"/>
      <c r="AD718" s="2"/>
      <c r="AE718" s="291"/>
      <c r="AF718" s="2"/>
      <c r="AG718" s="2"/>
      <c r="AH718" s="2"/>
      <c r="AI718" s="29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14.25" customHeight="1" x14ac:dyDescent="0.35">
      <c r="A719" s="2"/>
      <c r="B719" s="2"/>
      <c r="C719" s="2"/>
      <c r="D719" s="2"/>
      <c r="E719" s="2"/>
      <c r="F719" s="2"/>
      <c r="G719" s="27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91"/>
      <c r="AC719" s="2"/>
      <c r="AD719" s="2"/>
      <c r="AE719" s="291"/>
      <c r="AF719" s="2"/>
      <c r="AG719" s="2"/>
      <c r="AH719" s="2"/>
      <c r="AI719" s="29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14.25" customHeight="1" x14ac:dyDescent="0.35">
      <c r="A720" s="2"/>
      <c r="B720" s="2"/>
      <c r="C720" s="2"/>
      <c r="D720" s="2"/>
      <c r="E720" s="2"/>
      <c r="F720" s="2"/>
      <c r="G720" s="27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91"/>
      <c r="AC720" s="2"/>
      <c r="AD720" s="2"/>
      <c r="AE720" s="291"/>
      <c r="AF720" s="2"/>
      <c r="AG720" s="2"/>
      <c r="AH720" s="2"/>
      <c r="AI720" s="29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14.25" customHeight="1" x14ac:dyDescent="0.35">
      <c r="A721" s="2"/>
      <c r="B721" s="2"/>
      <c r="C721" s="2"/>
      <c r="D721" s="2"/>
      <c r="E721" s="2"/>
      <c r="F721" s="2"/>
      <c r="G721" s="27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91"/>
      <c r="AC721" s="2"/>
      <c r="AD721" s="2"/>
      <c r="AE721" s="291"/>
      <c r="AF721" s="2"/>
      <c r="AG721" s="2"/>
      <c r="AH721" s="2"/>
      <c r="AI721" s="29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14.25" customHeight="1" x14ac:dyDescent="0.35">
      <c r="A722" s="2"/>
      <c r="B722" s="2"/>
      <c r="C722" s="2"/>
      <c r="D722" s="2"/>
      <c r="E722" s="2"/>
      <c r="F722" s="2"/>
      <c r="G722" s="27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91"/>
      <c r="AC722" s="2"/>
      <c r="AD722" s="2"/>
      <c r="AE722" s="291"/>
      <c r="AF722" s="2"/>
      <c r="AG722" s="2"/>
      <c r="AH722" s="2"/>
      <c r="AI722" s="29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14.25" customHeight="1" x14ac:dyDescent="0.35">
      <c r="A723" s="2"/>
      <c r="B723" s="2"/>
      <c r="C723" s="2"/>
      <c r="D723" s="2"/>
      <c r="E723" s="2"/>
      <c r="F723" s="2"/>
      <c r="G723" s="27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91"/>
      <c r="AC723" s="2"/>
      <c r="AD723" s="2"/>
      <c r="AE723" s="291"/>
      <c r="AF723" s="2"/>
      <c r="AG723" s="2"/>
      <c r="AH723" s="2"/>
      <c r="AI723" s="29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14.25" customHeight="1" x14ac:dyDescent="0.35">
      <c r="A724" s="2"/>
      <c r="B724" s="2"/>
      <c r="C724" s="2"/>
      <c r="D724" s="2"/>
      <c r="E724" s="2"/>
      <c r="F724" s="2"/>
      <c r="G724" s="27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91"/>
      <c r="AC724" s="2"/>
      <c r="AD724" s="2"/>
      <c r="AE724" s="291"/>
      <c r="AF724" s="2"/>
      <c r="AG724" s="2"/>
      <c r="AH724" s="2"/>
      <c r="AI724" s="29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14.25" customHeight="1" x14ac:dyDescent="0.35">
      <c r="A725" s="2"/>
      <c r="B725" s="2"/>
      <c r="C725" s="2"/>
      <c r="D725" s="2"/>
      <c r="E725" s="2"/>
      <c r="F725" s="2"/>
      <c r="G725" s="27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91"/>
      <c r="AC725" s="2"/>
      <c r="AD725" s="2"/>
      <c r="AE725" s="291"/>
      <c r="AF725" s="2"/>
      <c r="AG725" s="2"/>
      <c r="AH725" s="2"/>
      <c r="AI725" s="29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14.25" customHeight="1" x14ac:dyDescent="0.35">
      <c r="A726" s="2"/>
      <c r="B726" s="2"/>
      <c r="C726" s="2"/>
      <c r="D726" s="2"/>
      <c r="E726" s="2"/>
      <c r="F726" s="2"/>
      <c r="G726" s="27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91"/>
      <c r="AC726" s="2"/>
      <c r="AD726" s="2"/>
      <c r="AE726" s="291"/>
      <c r="AF726" s="2"/>
      <c r="AG726" s="2"/>
      <c r="AH726" s="2"/>
      <c r="AI726" s="29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14.25" customHeight="1" x14ac:dyDescent="0.35">
      <c r="A727" s="2"/>
      <c r="B727" s="2"/>
      <c r="C727" s="2"/>
      <c r="D727" s="2"/>
      <c r="E727" s="2"/>
      <c r="F727" s="2"/>
      <c r="G727" s="27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91"/>
      <c r="AC727" s="2"/>
      <c r="AD727" s="2"/>
      <c r="AE727" s="291"/>
      <c r="AF727" s="2"/>
      <c r="AG727" s="2"/>
      <c r="AH727" s="2"/>
      <c r="AI727" s="29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14.25" customHeight="1" x14ac:dyDescent="0.35">
      <c r="A728" s="2"/>
      <c r="B728" s="2"/>
      <c r="C728" s="2"/>
      <c r="D728" s="2"/>
      <c r="E728" s="2"/>
      <c r="F728" s="2"/>
      <c r="G728" s="27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91"/>
      <c r="AC728" s="2"/>
      <c r="AD728" s="2"/>
      <c r="AE728" s="291"/>
      <c r="AF728" s="2"/>
      <c r="AG728" s="2"/>
      <c r="AH728" s="2"/>
      <c r="AI728" s="29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14.25" customHeight="1" x14ac:dyDescent="0.35">
      <c r="A729" s="2"/>
      <c r="B729" s="2"/>
      <c r="C729" s="2"/>
      <c r="D729" s="2"/>
      <c r="E729" s="2"/>
      <c r="F729" s="2"/>
      <c r="G729" s="27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91"/>
      <c r="AC729" s="2"/>
      <c r="AD729" s="2"/>
      <c r="AE729" s="291"/>
      <c r="AF729" s="2"/>
      <c r="AG729" s="2"/>
      <c r="AH729" s="2"/>
      <c r="AI729" s="29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14.25" customHeight="1" x14ac:dyDescent="0.35">
      <c r="A730" s="2"/>
      <c r="B730" s="2"/>
      <c r="C730" s="2"/>
      <c r="D730" s="2"/>
      <c r="E730" s="2"/>
      <c r="F730" s="2"/>
      <c r="G730" s="27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91"/>
      <c r="AC730" s="2"/>
      <c r="AD730" s="2"/>
      <c r="AE730" s="291"/>
      <c r="AF730" s="2"/>
      <c r="AG730" s="2"/>
      <c r="AH730" s="2"/>
      <c r="AI730" s="29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14.25" customHeight="1" x14ac:dyDescent="0.35">
      <c r="A731" s="2"/>
      <c r="B731" s="2"/>
      <c r="C731" s="2"/>
      <c r="D731" s="2"/>
      <c r="E731" s="2"/>
      <c r="F731" s="2"/>
      <c r="G731" s="27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91"/>
      <c r="AC731" s="2"/>
      <c r="AD731" s="2"/>
      <c r="AE731" s="291"/>
      <c r="AF731" s="2"/>
      <c r="AG731" s="2"/>
      <c r="AH731" s="2"/>
      <c r="AI731" s="29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14.25" customHeight="1" x14ac:dyDescent="0.35">
      <c r="A732" s="2"/>
      <c r="B732" s="2"/>
      <c r="C732" s="2"/>
      <c r="D732" s="2"/>
      <c r="E732" s="2"/>
      <c r="F732" s="2"/>
      <c r="G732" s="27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91"/>
      <c r="AC732" s="2"/>
      <c r="AD732" s="2"/>
      <c r="AE732" s="291"/>
      <c r="AF732" s="2"/>
      <c r="AG732" s="2"/>
      <c r="AH732" s="2"/>
      <c r="AI732" s="29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14.25" customHeight="1" x14ac:dyDescent="0.35">
      <c r="A733" s="2"/>
      <c r="B733" s="2"/>
      <c r="C733" s="2"/>
      <c r="D733" s="2"/>
      <c r="E733" s="2"/>
      <c r="F733" s="2"/>
      <c r="G733" s="27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91"/>
      <c r="AC733" s="2"/>
      <c r="AD733" s="2"/>
      <c r="AE733" s="291"/>
      <c r="AF733" s="2"/>
      <c r="AG733" s="2"/>
      <c r="AH733" s="2"/>
      <c r="AI733" s="29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14.25" customHeight="1" x14ac:dyDescent="0.35">
      <c r="A734" s="2"/>
      <c r="B734" s="2"/>
      <c r="C734" s="2"/>
      <c r="D734" s="2"/>
      <c r="E734" s="2"/>
      <c r="F734" s="2"/>
      <c r="G734" s="27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91"/>
      <c r="AC734" s="2"/>
      <c r="AD734" s="2"/>
      <c r="AE734" s="291"/>
      <c r="AF734" s="2"/>
      <c r="AG734" s="2"/>
      <c r="AH734" s="2"/>
      <c r="AI734" s="29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14.25" customHeight="1" x14ac:dyDescent="0.35">
      <c r="A735" s="2"/>
      <c r="B735" s="2"/>
      <c r="C735" s="2"/>
      <c r="D735" s="2"/>
      <c r="E735" s="2"/>
      <c r="F735" s="2"/>
      <c r="G735" s="27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91"/>
      <c r="AC735" s="2"/>
      <c r="AD735" s="2"/>
      <c r="AE735" s="291"/>
      <c r="AF735" s="2"/>
      <c r="AG735" s="2"/>
      <c r="AH735" s="2"/>
      <c r="AI735" s="29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14.25" customHeight="1" x14ac:dyDescent="0.35">
      <c r="A736" s="2"/>
      <c r="B736" s="2"/>
      <c r="C736" s="2"/>
      <c r="D736" s="2"/>
      <c r="E736" s="2"/>
      <c r="F736" s="2"/>
      <c r="G736" s="27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91"/>
      <c r="AC736" s="2"/>
      <c r="AD736" s="2"/>
      <c r="AE736" s="291"/>
      <c r="AF736" s="2"/>
      <c r="AG736" s="2"/>
      <c r="AH736" s="2"/>
      <c r="AI736" s="29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14.25" customHeight="1" x14ac:dyDescent="0.35">
      <c r="A737" s="2"/>
      <c r="B737" s="2"/>
      <c r="C737" s="2"/>
      <c r="D737" s="2"/>
      <c r="E737" s="2"/>
      <c r="F737" s="2"/>
      <c r="G737" s="27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91"/>
      <c r="AC737" s="2"/>
      <c r="AD737" s="2"/>
      <c r="AE737" s="291"/>
      <c r="AF737" s="2"/>
      <c r="AG737" s="2"/>
      <c r="AH737" s="2"/>
      <c r="AI737" s="29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14.25" customHeight="1" x14ac:dyDescent="0.35">
      <c r="A738" s="2"/>
      <c r="B738" s="2"/>
      <c r="C738" s="2"/>
      <c r="D738" s="2"/>
      <c r="E738" s="2"/>
      <c r="F738" s="2"/>
      <c r="G738" s="27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91"/>
      <c r="AC738" s="2"/>
      <c r="AD738" s="2"/>
      <c r="AE738" s="291"/>
      <c r="AF738" s="2"/>
      <c r="AG738" s="2"/>
      <c r="AH738" s="2"/>
      <c r="AI738" s="29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14.25" customHeight="1" x14ac:dyDescent="0.35">
      <c r="A739" s="2"/>
      <c r="B739" s="2"/>
      <c r="C739" s="2"/>
      <c r="D739" s="2"/>
      <c r="E739" s="2"/>
      <c r="F739" s="2"/>
      <c r="G739" s="27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91"/>
      <c r="AC739" s="2"/>
      <c r="AD739" s="2"/>
      <c r="AE739" s="291"/>
      <c r="AF739" s="2"/>
      <c r="AG739" s="2"/>
      <c r="AH739" s="2"/>
      <c r="AI739" s="29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14.25" customHeight="1" x14ac:dyDescent="0.35">
      <c r="A740" s="2"/>
      <c r="B740" s="2"/>
      <c r="C740" s="2"/>
      <c r="D740" s="2"/>
      <c r="E740" s="2"/>
      <c r="F740" s="2"/>
      <c r="G740" s="27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91"/>
      <c r="AC740" s="2"/>
      <c r="AD740" s="2"/>
      <c r="AE740" s="291"/>
      <c r="AF740" s="2"/>
      <c r="AG740" s="2"/>
      <c r="AH740" s="2"/>
      <c r="AI740" s="29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14.25" customHeight="1" x14ac:dyDescent="0.35">
      <c r="A741" s="2"/>
      <c r="B741" s="2"/>
      <c r="C741" s="2"/>
      <c r="D741" s="2"/>
      <c r="E741" s="2"/>
      <c r="F741" s="2"/>
      <c r="G741" s="27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91"/>
      <c r="AC741" s="2"/>
      <c r="AD741" s="2"/>
      <c r="AE741" s="291"/>
      <c r="AF741" s="2"/>
      <c r="AG741" s="2"/>
      <c r="AH741" s="2"/>
      <c r="AI741" s="29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14.25" customHeight="1" x14ac:dyDescent="0.35">
      <c r="A742" s="2"/>
      <c r="B742" s="2"/>
      <c r="C742" s="2"/>
      <c r="D742" s="2"/>
      <c r="E742" s="2"/>
      <c r="F742" s="2"/>
      <c r="G742" s="27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91"/>
      <c r="AC742" s="2"/>
      <c r="AD742" s="2"/>
      <c r="AE742" s="291"/>
      <c r="AF742" s="2"/>
      <c r="AG742" s="2"/>
      <c r="AH742" s="2"/>
      <c r="AI742" s="29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14.25" customHeight="1" x14ac:dyDescent="0.35">
      <c r="A743" s="2"/>
      <c r="B743" s="2"/>
      <c r="C743" s="2"/>
      <c r="D743" s="2"/>
      <c r="E743" s="2"/>
      <c r="F743" s="2"/>
      <c r="G743" s="27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91"/>
      <c r="AC743" s="2"/>
      <c r="AD743" s="2"/>
      <c r="AE743" s="291"/>
      <c r="AF743" s="2"/>
      <c r="AG743" s="2"/>
      <c r="AH743" s="2"/>
      <c r="AI743" s="29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14.25" customHeight="1" x14ac:dyDescent="0.35">
      <c r="A744" s="2"/>
      <c r="B744" s="2"/>
      <c r="C744" s="2"/>
      <c r="D744" s="2"/>
      <c r="E744" s="2"/>
      <c r="F744" s="2"/>
      <c r="G744" s="27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91"/>
      <c r="AC744" s="2"/>
      <c r="AD744" s="2"/>
      <c r="AE744" s="291"/>
      <c r="AF744" s="2"/>
      <c r="AG744" s="2"/>
      <c r="AH744" s="2"/>
      <c r="AI744" s="29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14.25" customHeight="1" x14ac:dyDescent="0.35">
      <c r="A745" s="2"/>
      <c r="B745" s="2"/>
      <c r="C745" s="2"/>
      <c r="D745" s="2"/>
      <c r="E745" s="2"/>
      <c r="F745" s="2"/>
      <c r="G745" s="27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91"/>
      <c r="AC745" s="2"/>
      <c r="AD745" s="2"/>
      <c r="AE745" s="291"/>
      <c r="AF745" s="2"/>
      <c r="AG745" s="2"/>
      <c r="AH745" s="2"/>
      <c r="AI745" s="29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14.25" customHeight="1" x14ac:dyDescent="0.35">
      <c r="A746" s="2"/>
      <c r="B746" s="2"/>
      <c r="C746" s="2"/>
      <c r="D746" s="2"/>
      <c r="E746" s="2"/>
      <c r="F746" s="2"/>
      <c r="G746" s="27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91"/>
      <c r="AC746" s="2"/>
      <c r="AD746" s="2"/>
      <c r="AE746" s="291"/>
      <c r="AF746" s="2"/>
      <c r="AG746" s="2"/>
      <c r="AH746" s="2"/>
      <c r="AI746" s="29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14.25" customHeight="1" x14ac:dyDescent="0.35">
      <c r="A747" s="2"/>
      <c r="B747" s="2"/>
      <c r="C747" s="2"/>
      <c r="D747" s="2"/>
      <c r="E747" s="2"/>
      <c r="F747" s="2"/>
      <c r="G747" s="27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91"/>
      <c r="AC747" s="2"/>
      <c r="AD747" s="2"/>
      <c r="AE747" s="291"/>
      <c r="AF747" s="2"/>
      <c r="AG747" s="2"/>
      <c r="AH747" s="2"/>
      <c r="AI747" s="29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14.25" customHeight="1" x14ac:dyDescent="0.35">
      <c r="A748" s="2"/>
      <c r="B748" s="2"/>
      <c r="C748" s="2"/>
      <c r="D748" s="2"/>
      <c r="E748" s="2"/>
      <c r="F748" s="2"/>
      <c r="G748" s="27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91"/>
      <c r="AC748" s="2"/>
      <c r="AD748" s="2"/>
      <c r="AE748" s="291"/>
      <c r="AF748" s="2"/>
      <c r="AG748" s="2"/>
      <c r="AH748" s="2"/>
      <c r="AI748" s="29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14.25" customHeight="1" x14ac:dyDescent="0.35">
      <c r="A749" s="2"/>
      <c r="B749" s="2"/>
      <c r="C749" s="2"/>
      <c r="D749" s="2"/>
      <c r="E749" s="2"/>
      <c r="F749" s="2"/>
      <c r="G749" s="27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91"/>
      <c r="AC749" s="2"/>
      <c r="AD749" s="2"/>
      <c r="AE749" s="291"/>
      <c r="AF749" s="2"/>
      <c r="AG749" s="2"/>
      <c r="AH749" s="2"/>
      <c r="AI749" s="29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14.25" customHeight="1" x14ac:dyDescent="0.35">
      <c r="A750" s="2"/>
      <c r="B750" s="2"/>
      <c r="C750" s="2"/>
      <c r="D750" s="2"/>
      <c r="E750" s="2"/>
      <c r="F750" s="2"/>
      <c r="G750" s="27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91"/>
      <c r="AC750" s="2"/>
      <c r="AD750" s="2"/>
      <c r="AE750" s="291"/>
      <c r="AF750" s="2"/>
      <c r="AG750" s="2"/>
      <c r="AH750" s="2"/>
      <c r="AI750" s="29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14.25" customHeight="1" x14ac:dyDescent="0.35">
      <c r="A751" s="2"/>
      <c r="B751" s="2"/>
      <c r="C751" s="2"/>
      <c r="D751" s="2"/>
      <c r="E751" s="2"/>
      <c r="F751" s="2"/>
      <c r="G751" s="27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91"/>
      <c r="AC751" s="2"/>
      <c r="AD751" s="2"/>
      <c r="AE751" s="291"/>
      <c r="AF751" s="2"/>
      <c r="AG751" s="2"/>
      <c r="AH751" s="2"/>
      <c r="AI751" s="29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14.25" customHeight="1" x14ac:dyDescent="0.35">
      <c r="A752" s="2"/>
      <c r="B752" s="2"/>
      <c r="C752" s="2"/>
      <c r="D752" s="2"/>
      <c r="E752" s="2"/>
      <c r="F752" s="2"/>
      <c r="G752" s="27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91"/>
      <c r="AC752" s="2"/>
      <c r="AD752" s="2"/>
      <c r="AE752" s="291"/>
      <c r="AF752" s="2"/>
      <c r="AG752" s="2"/>
      <c r="AH752" s="2"/>
      <c r="AI752" s="29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14.25" customHeight="1" x14ac:dyDescent="0.35">
      <c r="A753" s="2"/>
      <c r="B753" s="2"/>
      <c r="C753" s="2"/>
      <c r="D753" s="2"/>
      <c r="E753" s="2"/>
      <c r="F753" s="2"/>
      <c r="G753" s="27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91"/>
      <c r="AC753" s="2"/>
      <c r="AD753" s="2"/>
      <c r="AE753" s="291"/>
      <c r="AF753" s="2"/>
      <c r="AG753" s="2"/>
      <c r="AH753" s="2"/>
      <c r="AI753" s="29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14.25" customHeight="1" x14ac:dyDescent="0.35">
      <c r="A754" s="2"/>
      <c r="B754" s="2"/>
      <c r="C754" s="2"/>
      <c r="D754" s="2"/>
      <c r="E754" s="2"/>
      <c r="F754" s="2"/>
      <c r="G754" s="27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91"/>
      <c r="AC754" s="2"/>
      <c r="AD754" s="2"/>
      <c r="AE754" s="291"/>
      <c r="AF754" s="2"/>
      <c r="AG754" s="2"/>
      <c r="AH754" s="2"/>
      <c r="AI754" s="29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14.25" customHeight="1" x14ac:dyDescent="0.35">
      <c r="A755" s="2"/>
      <c r="B755" s="2"/>
      <c r="C755" s="2"/>
      <c r="D755" s="2"/>
      <c r="E755" s="2"/>
      <c r="F755" s="2"/>
      <c r="G755" s="27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91"/>
      <c r="AC755" s="2"/>
      <c r="AD755" s="2"/>
      <c r="AE755" s="291"/>
      <c r="AF755" s="2"/>
      <c r="AG755" s="2"/>
      <c r="AH755" s="2"/>
      <c r="AI755" s="29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14.25" customHeight="1" x14ac:dyDescent="0.35">
      <c r="A756" s="2"/>
      <c r="B756" s="2"/>
      <c r="C756" s="2"/>
      <c r="D756" s="2"/>
      <c r="E756" s="2"/>
      <c r="F756" s="2"/>
      <c r="G756" s="27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91"/>
      <c r="AC756" s="2"/>
      <c r="AD756" s="2"/>
      <c r="AE756" s="291"/>
      <c r="AF756" s="2"/>
      <c r="AG756" s="2"/>
      <c r="AH756" s="2"/>
      <c r="AI756" s="29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14.25" customHeight="1" x14ac:dyDescent="0.35">
      <c r="A757" s="2"/>
      <c r="B757" s="2"/>
      <c r="C757" s="2"/>
      <c r="D757" s="2"/>
      <c r="E757" s="2"/>
      <c r="F757" s="2"/>
      <c r="G757" s="27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91"/>
      <c r="AC757" s="2"/>
      <c r="AD757" s="2"/>
      <c r="AE757" s="291"/>
      <c r="AF757" s="2"/>
      <c r="AG757" s="2"/>
      <c r="AH757" s="2"/>
      <c r="AI757" s="29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14.25" customHeight="1" x14ac:dyDescent="0.35">
      <c r="A758" s="2"/>
      <c r="B758" s="2"/>
      <c r="C758" s="2"/>
      <c r="D758" s="2"/>
      <c r="E758" s="2"/>
      <c r="F758" s="2"/>
      <c r="G758" s="27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91"/>
      <c r="AC758" s="2"/>
      <c r="AD758" s="2"/>
      <c r="AE758" s="291"/>
      <c r="AF758" s="2"/>
      <c r="AG758" s="2"/>
      <c r="AH758" s="2"/>
      <c r="AI758" s="29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14.25" customHeight="1" x14ac:dyDescent="0.35">
      <c r="A759" s="2"/>
      <c r="B759" s="2"/>
      <c r="C759" s="2"/>
      <c r="D759" s="2"/>
      <c r="E759" s="2"/>
      <c r="F759" s="2"/>
      <c r="G759" s="27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91"/>
      <c r="AC759" s="2"/>
      <c r="AD759" s="2"/>
      <c r="AE759" s="291"/>
      <c r="AF759" s="2"/>
      <c r="AG759" s="2"/>
      <c r="AH759" s="2"/>
      <c r="AI759" s="29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14.25" customHeight="1" x14ac:dyDescent="0.35">
      <c r="A760" s="2"/>
      <c r="B760" s="2"/>
      <c r="C760" s="2"/>
      <c r="D760" s="2"/>
      <c r="E760" s="2"/>
      <c r="F760" s="2"/>
      <c r="G760" s="27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91"/>
      <c r="AC760" s="2"/>
      <c r="AD760" s="2"/>
      <c r="AE760" s="291"/>
      <c r="AF760" s="2"/>
      <c r="AG760" s="2"/>
      <c r="AH760" s="2"/>
      <c r="AI760" s="29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14.25" customHeight="1" x14ac:dyDescent="0.35">
      <c r="A761" s="2"/>
      <c r="B761" s="2"/>
      <c r="C761" s="2"/>
      <c r="D761" s="2"/>
      <c r="E761" s="2"/>
      <c r="F761" s="2"/>
      <c r="G761" s="27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91"/>
      <c r="AC761" s="2"/>
      <c r="AD761" s="2"/>
      <c r="AE761" s="291"/>
      <c r="AF761" s="2"/>
      <c r="AG761" s="2"/>
      <c r="AH761" s="2"/>
      <c r="AI761" s="29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14.25" customHeight="1" x14ac:dyDescent="0.35">
      <c r="A762" s="2"/>
      <c r="B762" s="2"/>
      <c r="C762" s="2"/>
      <c r="D762" s="2"/>
      <c r="E762" s="2"/>
      <c r="F762" s="2"/>
      <c r="G762" s="27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91"/>
      <c r="AC762" s="2"/>
      <c r="AD762" s="2"/>
      <c r="AE762" s="291"/>
      <c r="AF762" s="2"/>
      <c r="AG762" s="2"/>
      <c r="AH762" s="2"/>
      <c r="AI762" s="29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14.25" customHeight="1" x14ac:dyDescent="0.35">
      <c r="A763" s="2"/>
      <c r="B763" s="2"/>
      <c r="C763" s="2"/>
      <c r="D763" s="2"/>
      <c r="E763" s="2"/>
      <c r="F763" s="2"/>
      <c r="G763" s="27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91"/>
      <c r="AC763" s="2"/>
      <c r="AD763" s="2"/>
      <c r="AE763" s="291"/>
      <c r="AF763" s="2"/>
      <c r="AG763" s="2"/>
      <c r="AH763" s="2"/>
      <c r="AI763" s="29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14.25" customHeight="1" x14ac:dyDescent="0.35">
      <c r="A764" s="2"/>
      <c r="B764" s="2"/>
      <c r="C764" s="2"/>
      <c r="D764" s="2"/>
      <c r="E764" s="2"/>
      <c r="F764" s="2"/>
      <c r="G764" s="27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91"/>
      <c r="AC764" s="2"/>
      <c r="AD764" s="2"/>
      <c r="AE764" s="291"/>
      <c r="AF764" s="2"/>
      <c r="AG764" s="2"/>
      <c r="AH764" s="2"/>
      <c r="AI764" s="29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14.25" customHeight="1" x14ac:dyDescent="0.35">
      <c r="A765" s="2"/>
      <c r="B765" s="2"/>
      <c r="C765" s="2"/>
      <c r="D765" s="2"/>
      <c r="E765" s="2"/>
      <c r="F765" s="2"/>
      <c r="G765" s="27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91"/>
      <c r="AC765" s="2"/>
      <c r="AD765" s="2"/>
      <c r="AE765" s="291"/>
      <c r="AF765" s="2"/>
      <c r="AG765" s="2"/>
      <c r="AH765" s="2"/>
      <c r="AI765" s="29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14.25" customHeight="1" x14ac:dyDescent="0.35">
      <c r="A766" s="2"/>
      <c r="B766" s="2"/>
      <c r="C766" s="2"/>
      <c r="D766" s="2"/>
      <c r="E766" s="2"/>
      <c r="F766" s="2"/>
      <c r="G766" s="27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91"/>
      <c r="AC766" s="2"/>
      <c r="AD766" s="2"/>
      <c r="AE766" s="291"/>
      <c r="AF766" s="2"/>
      <c r="AG766" s="2"/>
      <c r="AH766" s="2"/>
      <c r="AI766" s="29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14.25" customHeight="1" x14ac:dyDescent="0.35">
      <c r="A767" s="2"/>
      <c r="B767" s="2"/>
      <c r="C767" s="2"/>
      <c r="D767" s="2"/>
      <c r="E767" s="2"/>
      <c r="F767" s="2"/>
      <c r="G767" s="27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91"/>
      <c r="AC767" s="2"/>
      <c r="AD767" s="2"/>
      <c r="AE767" s="291"/>
      <c r="AF767" s="2"/>
      <c r="AG767" s="2"/>
      <c r="AH767" s="2"/>
      <c r="AI767" s="29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14.25" customHeight="1" x14ac:dyDescent="0.35">
      <c r="A768" s="2"/>
      <c r="B768" s="2"/>
      <c r="C768" s="2"/>
      <c r="D768" s="2"/>
      <c r="E768" s="2"/>
      <c r="F768" s="2"/>
      <c r="G768" s="27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91"/>
      <c r="AC768" s="2"/>
      <c r="AD768" s="2"/>
      <c r="AE768" s="291"/>
      <c r="AF768" s="2"/>
      <c r="AG768" s="2"/>
      <c r="AH768" s="2"/>
      <c r="AI768" s="29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14.25" customHeight="1" x14ac:dyDescent="0.35">
      <c r="A769" s="2"/>
      <c r="B769" s="2"/>
      <c r="C769" s="2"/>
      <c r="D769" s="2"/>
      <c r="E769" s="2"/>
      <c r="F769" s="2"/>
      <c r="G769" s="27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91"/>
      <c r="AC769" s="2"/>
      <c r="AD769" s="2"/>
      <c r="AE769" s="291"/>
      <c r="AF769" s="2"/>
      <c r="AG769" s="2"/>
      <c r="AH769" s="2"/>
      <c r="AI769" s="29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14.25" customHeight="1" x14ac:dyDescent="0.35">
      <c r="A770" s="2"/>
      <c r="B770" s="2"/>
      <c r="C770" s="2"/>
      <c r="D770" s="2"/>
      <c r="E770" s="2"/>
      <c r="F770" s="2"/>
      <c r="G770" s="27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91"/>
      <c r="AC770" s="2"/>
      <c r="AD770" s="2"/>
      <c r="AE770" s="291"/>
      <c r="AF770" s="2"/>
      <c r="AG770" s="2"/>
      <c r="AH770" s="2"/>
      <c r="AI770" s="29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14.25" customHeight="1" x14ac:dyDescent="0.35">
      <c r="A771" s="2"/>
      <c r="B771" s="2"/>
      <c r="C771" s="2"/>
      <c r="D771" s="2"/>
      <c r="E771" s="2"/>
      <c r="F771" s="2"/>
      <c r="G771" s="27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91"/>
      <c r="AC771" s="2"/>
      <c r="AD771" s="2"/>
      <c r="AE771" s="291"/>
      <c r="AF771" s="2"/>
      <c r="AG771" s="2"/>
      <c r="AH771" s="2"/>
      <c r="AI771" s="29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14.25" customHeight="1" x14ac:dyDescent="0.35">
      <c r="A772" s="2"/>
      <c r="B772" s="2"/>
      <c r="C772" s="2"/>
      <c r="D772" s="2"/>
      <c r="E772" s="2"/>
      <c r="F772" s="2"/>
      <c r="G772" s="27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91"/>
      <c r="AC772" s="2"/>
      <c r="AD772" s="2"/>
      <c r="AE772" s="291"/>
      <c r="AF772" s="2"/>
      <c r="AG772" s="2"/>
      <c r="AH772" s="2"/>
      <c r="AI772" s="29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14.25" customHeight="1" x14ac:dyDescent="0.35">
      <c r="A773" s="2"/>
      <c r="B773" s="2"/>
      <c r="C773" s="2"/>
      <c r="D773" s="2"/>
      <c r="E773" s="2"/>
      <c r="F773" s="2"/>
      <c r="G773" s="27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91"/>
      <c r="AC773" s="2"/>
      <c r="AD773" s="2"/>
      <c r="AE773" s="291"/>
      <c r="AF773" s="2"/>
      <c r="AG773" s="2"/>
      <c r="AH773" s="2"/>
      <c r="AI773" s="29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14.25" customHeight="1" x14ac:dyDescent="0.35">
      <c r="A774" s="2"/>
      <c r="B774" s="2"/>
      <c r="C774" s="2"/>
      <c r="D774" s="2"/>
      <c r="E774" s="2"/>
      <c r="F774" s="2"/>
      <c r="G774" s="27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91"/>
      <c r="AC774" s="2"/>
      <c r="AD774" s="2"/>
      <c r="AE774" s="291"/>
      <c r="AF774" s="2"/>
      <c r="AG774" s="2"/>
      <c r="AH774" s="2"/>
      <c r="AI774" s="29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14.25" customHeight="1" x14ac:dyDescent="0.35">
      <c r="A775" s="2"/>
      <c r="B775" s="2"/>
      <c r="C775" s="2"/>
      <c r="D775" s="2"/>
      <c r="E775" s="2"/>
      <c r="F775" s="2"/>
      <c r="G775" s="27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91"/>
      <c r="AC775" s="2"/>
      <c r="AD775" s="2"/>
      <c r="AE775" s="291"/>
      <c r="AF775" s="2"/>
      <c r="AG775" s="2"/>
      <c r="AH775" s="2"/>
      <c r="AI775" s="29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14.25" customHeight="1" x14ac:dyDescent="0.35">
      <c r="A776" s="2"/>
      <c r="B776" s="2"/>
      <c r="C776" s="2"/>
      <c r="D776" s="2"/>
      <c r="E776" s="2"/>
      <c r="F776" s="2"/>
      <c r="G776" s="27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91"/>
      <c r="AC776" s="2"/>
      <c r="AD776" s="2"/>
      <c r="AE776" s="291"/>
      <c r="AF776" s="2"/>
      <c r="AG776" s="2"/>
      <c r="AH776" s="2"/>
      <c r="AI776" s="29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14.25" customHeight="1" x14ac:dyDescent="0.35">
      <c r="A777" s="2"/>
      <c r="B777" s="2"/>
      <c r="C777" s="2"/>
      <c r="D777" s="2"/>
      <c r="E777" s="2"/>
      <c r="F777" s="2"/>
      <c r="G777" s="27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91"/>
      <c r="AC777" s="2"/>
      <c r="AD777" s="2"/>
      <c r="AE777" s="291"/>
      <c r="AF777" s="2"/>
      <c r="AG777" s="2"/>
      <c r="AH777" s="2"/>
      <c r="AI777" s="29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14.25" customHeight="1" x14ac:dyDescent="0.35">
      <c r="A778" s="2"/>
      <c r="B778" s="2"/>
      <c r="C778" s="2"/>
      <c r="D778" s="2"/>
      <c r="E778" s="2"/>
      <c r="F778" s="2"/>
      <c r="G778" s="27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91"/>
      <c r="AC778" s="2"/>
      <c r="AD778" s="2"/>
      <c r="AE778" s="291"/>
      <c r="AF778" s="2"/>
      <c r="AG778" s="2"/>
      <c r="AH778" s="2"/>
      <c r="AI778" s="29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14.25" customHeight="1" x14ac:dyDescent="0.35">
      <c r="A779" s="2"/>
      <c r="B779" s="2"/>
      <c r="C779" s="2"/>
      <c r="D779" s="2"/>
      <c r="E779" s="2"/>
      <c r="F779" s="2"/>
      <c r="G779" s="27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91"/>
      <c r="AC779" s="2"/>
      <c r="AD779" s="2"/>
      <c r="AE779" s="291"/>
      <c r="AF779" s="2"/>
      <c r="AG779" s="2"/>
      <c r="AH779" s="2"/>
      <c r="AI779" s="29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14.25" customHeight="1" x14ac:dyDescent="0.35">
      <c r="A780" s="2"/>
      <c r="B780" s="2"/>
      <c r="C780" s="2"/>
      <c r="D780" s="2"/>
      <c r="E780" s="2"/>
      <c r="F780" s="2"/>
      <c r="G780" s="27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91"/>
      <c r="AC780" s="2"/>
      <c r="AD780" s="2"/>
      <c r="AE780" s="291"/>
      <c r="AF780" s="2"/>
      <c r="AG780" s="2"/>
      <c r="AH780" s="2"/>
      <c r="AI780" s="29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14.25" customHeight="1" x14ac:dyDescent="0.35">
      <c r="A781" s="2"/>
      <c r="B781" s="2"/>
      <c r="C781" s="2"/>
      <c r="D781" s="2"/>
      <c r="E781" s="2"/>
      <c r="F781" s="2"/>
      <c r="G781" s="27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91"/>
      <c r="AC781" s="2"/>
      <c r="AD781" s="2"/>
      <c r="AE781" s="291"/>
      <c r="AF781" s="2"/>
      <c r="AG781" s="2"/>
      <c r="AH781" s="2"/>
      <c r="AI781" s="29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14.25" customHeight="1" x14ac:dyDescent="0.35">
      <c r="A782" s="2"/>
      <c r="B782" s="2"/>
      <c r="C782" s="2"/>
      <c r="D782" s="2"/>
      <c r="E782" s="2"/>
      <c r="F782" s="2"/>
      <c r="G782" s="27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91"/>
      <c r="AC782" s="2"/>
      <c r="AD782" s="2"/>
      <c r="AE782" s="291"/>
      <c r="AF782" s="2"/>
      <c r="AG782" s="2"/>
      <c r="AH782" s="2"/>
      <c r="AI782" s="29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14.25" customHeight="1" x14ac:dyDescent="0.35">
      <c r="A783" s="2"/>
      <c r="B783" s="2"/>
      <c r="C783" s="2"/>
      <c r="D783" s="2"/>
      <c r="E783" s="2"/>
      <c r="F783" s="2"/>
      <c r="G783" s="27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91"/>
      <c r="AC783" s="2"/>
      <c r="AD783" s="2"/>
      <c r="AE783" s="291"/>
      <c r="AF783" s="2"/>
      <c r="AG783" s="2"/>
      <c r="AH783" s="2"/>
      <c r="AI783" s="29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14.25" customHeight="1" x14ac:dyDescent="0.35">
      <c r="A784" s="2"/>
      <c r="B784" s="2"/>
      <c r="C784" s="2"/>
      <c r="D784" s="2"/>
      <c r="E784" s="2"/>
      <c r="F784" s="2"/>
      <c r="G784" s="27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91"/>
      <c r="AC784" s="2"/>
      <c r="AD784" s="2"/>
      <c r="AE784" s="291"/>
      <c r="AF784" s="2"/>
      <c r="AG784" s="2"/>
      <c r="AH784" s="2"/>
      <c r="AI784" s="29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14.25" customHeight="1" x14ac:dyDescent="0.35">
      <c r="A785" s="2"/>
      <c r="B785" s="2"/>
      <c r="C785" s="2"/>
      <c r="D785" s="2"/>
      <c r="E785" s="2"/>
      <c r="F785" s="2"/>
      <c r="G785" s="27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91"/>
      <c r="AC785" s="2"/>
      <c r="AD785" s="2"/>
      <c r="AE785" s="291"/>
      <c r="AF785" s="2"/>
      <c r="AG785" s="2"/>
      <c r="AH785" s="2"/>
      <c r="AI785" s="29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14.25" customHeight="1" x14ac:dyDescent="0.35">
      <c r="A786" s="2"/>
      <c r="B786" s="2"/>
      <c r="C786" s="2"/>
      <c r="D786" s="2"/>
      <c r="E786" s="2"/>
      <c r="F786" s="2"/>
      <c r="G786" s="27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91"/>
      <c r="AC786" s="2"/>
      <c r="AD786" s="2"/>
      <c r="AE786" s="291"/>
      <c r="AF786" s="2"/>
      <c r="AG786" s="2"/>
      <c r="AH786" s="2"/>
      <c r="AI786" s="29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14.25" customHeight="1" x14ac:dyDescent="0.35">
      <c r="A787" s="2"/>
      <c r="B787" s="2"/>
      <c r="C787" s="2"/>
      <c r="D787" s="2"/>
      <c r="E787" s="2"/>
      <c r="F787" s="2"/>
      <c r="G787" s="27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91"/>
      <c r="AC787" s="2"/>
      <c r="AD787" s="2"/>
      <c r="AE787" s="291"/>
      <c r="AF787" s="2"/>
      <c r="AG787" s="2"/>
      <c r="AH787" s="2"/>
      <c r="AI787" s="29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14.25" customHeight="1" x14ac:dyDescent="0.35">
      <c r="A788" s="2"/>
      <c r="B788" s="2"/>
      <c r="C788" s="2"/>
      <c r="D788" s="2"/>
      <c r="E788" s="2"/>
      <c r="F788" s="2"/>
      <c r="G788" s="27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91"/>
      <c r="AC788" s="2"/>
      <c r="AD788" s="2"/>
      <c r="AE788" s="291"/>
      <c r="AF788" s="2"/>
      <c r="AG788" s="2"/>
      <c r="AH788" s="2"/>
      <c r="AI788" s="29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14.25" customHeight="1" x14ac:dyDescent="0.35">
      <c r="A789" s="2"/>
      <c r="B789" s="2"/>
      <c r="C789" s="2"/>
      <c r="D789" s="2"/>
      <c r="E789" s="2"/>
      <c r="F789" s="2"/>
      <c r="G789" s="27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91"/>
      <c r="AC789" s="2"/>
      <c r="AD789" s="2"/>
      <c r="AE789" s="291"/>
      <c r="AF789" s="2"/>
      <c r="AG789" s="2"/>
      <c r="AH789" s="2"/>
      <c r="AI789" s="29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14.25" customHeight="1" x14ac:dyDescent="0.35">
      <c r="A790" s="2"/>
      <c r="B790" s="2"/>
      <c r="C790" s="2"/>
      <c r="D790" s="2"/>
      <c r="E790" s="2"/>
      <c r="F790" s="2"/>
      <c r="G790" s="27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91"/>
      <c r="AC790" s="2"/>
      <c r="AD790" s="2"/>
      <c r="AE790" s="291"/>
      <c r="AF790" s="2"/>
      <c r="AG790" s="2"/>
      <c r="AH790" s="2"/>
      <c r="AI790" s="29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14.25" customHeight="1" x14ac:dyDescent="0.35">
      <c r="A791" s="2"/>
      <c r="B791" s="2"/>
      <c r="C791" s="2"/>
      <c r="D791" s="2"/>
      <c r="E791" s="2"/>
      <c r="F791" s="2"/>
      <c r="G791" s="27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91"/>
      <c r="AC791" s="2"/>
      <c r="AD791" s="2"/>
      <c r="AE791" s="291"/>
      <c r="AF791" s="2"/>
      <c r="AG791" s="2"/>
      <c r="AH791" s="2"/>
      <c r="AI791" s="29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14.25" customHeight="1" x14ac:dyDescent="0.35">
      <c r="A792" s="2"/>
      <c r="B792" s="2"/>
      <c r="C792" s="2"/>
      <c r="D792" s="2"/>
      <c r="E792" s="2"/>
      <c r="F792" s="2"/>
      <c r="G792" s="27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91"/>
      <c r="AC792" s="2"/>
      <c r="AD792" s="2"/>
      <c r="AE792" s="291"/>
      <c r="AF792" s="2"/>
      <c r="AG792" s="2"/>
      <c r="AH792" s="2"/>
      <c r="AI792" s="29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14.25" customHeight="1" x14ac:dyDescent="0.35">
      <c r="A793" s="2"/>
      <c r="B793" s="2"/>
      <c r="C793" s="2"/>
      <c r="D793" s="2"/>
      <c r="E793" s="2"/>
      <c r="F793" s="2"/>
      <c r="G793" s="27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91"/>
      <c r="AC793" s="2"/>
      <c r="AD793" s="2"/>
      <c r="AE793" s="291"/>
      <c r="AF793" s="2"/>
      <c r="AG793" s="2"/>
      <c r="AH793" s="2"/>
      <c r="AI793" s="29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14.25" customHeight="1" x14ac:dyDescent="0.35">
      <c r="A794" s="2"/>
      <c r="B794" s="2"/>
      <c r="C794" s="2"/>
      <c r="D794" s="2"/>
      <c r="E794" s="2"/>
      <c r="F794" s="2"/>
      <c r="G794" s="27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91"/>
      <c r="AC794" s="2"/>
      <c r="AD794" s="2"/>
      <c r="AE794" s="291"/>
      <c r="AF794" s="2"/>
      <c r="AG794" s="2"/>
      <c r="AH794" s="2"/>
      <c r="AI794" s="29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14.25" customHeight="1" x14ac:dyDescent="0.35">
      <c r="A795" s="2"/>
      <c r="B795" s="2"/>
      <c r="C795" s="2"/>
      <c r="D795" s="2"/>
      <c r="E795" s="2"/>
      <c r="F795" s="2"/>
      <c r="G795" s="27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91"/>
      <c r="AC795" s="2"/>
      <c r="AD795" s="2"/>
      <c r="AE795" s="291"/>
      <c r="AF795" s="2"/>
      <c r="AG795" s="2"/>
      <c r="AH795" s="2"/>
      <c r="AI795" s="29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14.25" customHeight="1" x14ac:dyDescent="0.35">
      <c r="A796" s="2"/>
      <c r="B796" s="2"/>
      <c r="C796" s="2"/>
      <c r="D796" s="2"/>
      <c r="E796" s="2"/>
      <c r="F796" s="2"/>
      <c r="G796" s="27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91"/>
      <c r="AC796" s="2"/>
      <c r="AD796" s="2"/>
      <c r="AE796" s="291"/>
      <c r="AF796" s="2"/>
      <c r="AG796" s="2"/>
      <c r="AH796" s="2"/>
      <c r="AI796" s="29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14.25" customHeight="1" x14ac:dyDescent="0.35">
      <c r="A797" s="2"/>
      <c r="B797" s="2"/>
      <c r="C797" s="2"/>
      <c r="D797" s="2"/>
      <c r="E797" s="2"/>
      <c r="F797" s="2"/>
      <c r="G797" s="27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91"/>
      <c r="AC797" s="2"/>
      <c r="AD797" s="2"/>
      <c r="AE797" s="291"/>
      <c r="AF797" s="2"/>
      <c r="AG797" s="2"/>
      <c r="AH797" s="2"/>
      <c r="AI797" s="29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14.25" customHeight="1" x14ac:dyDescent="0.35">
      <c r="A798" s="2"/>
      <c r="B798" s="2"/>
      <c r="C798" s="2"/>
      <c r="D798" s="2"/>
      <c r="E798" s="2"/>
      <c r="F798" s="2"/>
      <c r="G798" s="27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91"/>
      <c r="AC798" s="2"/>
      <c r="AD798" s="2"/>
      <c r="AE798" s="291"/>
      <c r="AF798" s="2"/>
      <c r="AG798" s="2"/>
      <c r="AH798" s="2"/>
      <c r="AI798" s="29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14.25" customHeight="1" x14ac:dyDescent="0.35">
      <c r="A799" s="2"/>
      <c r="B799" s="2"/>
      <c r="C799" s="2"/>
      <c r="D799" s="2"/>
      <c r="E799" s="2"/>
      <c r="F799" s="2"/>
      <c r="G799" s="27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91"/>
      <c r="AC799" s="2"/>
      <c r="AD799" s="2"/>
      <c r="AE799" s="291"/>
      <c r="AF799" s="2"/>
      <c r="AG799" s="2"/>
      <c r="AH799" s="2"/>
      <c r="AI799" s="29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14.25" customHeight="1" x14ac:dyDescent="0.35">
      <c r="A800" s="2"/>
      <c r="B800" s="2"/>
      <c r="C800" s="2"/>
      <c r="D800" s="2"/>
      <c r="E800" s="2"/>
      <c r="F800" s="2"/>
      <c r="G800" s="27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91"/>
      <c r="AC800" s="2"/>
      <c r="AD800" s="2"/>
      <c r="AE800" s="291"/>
      <c r="AF800" s="2"/>
      <c r="AG800" s="2"/>
      <c r="AH800" s="2"/>
      <c r="AI800" s="29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14.25" customHeight="1" x14ac:dyDescent="0.35">
      <c r="A801" s="2"/>
      <c r="B801" s="2"/>
      <c r="C801" s="2"/>
      <c r="D801" s="2"/>
      <c r="E801" s="2"/>
      <c r="F801" s="2"/>
      <c r="G801" s="27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91"/>
      <c r="AC801" s="2"/>
      <c r="AD801" s="2"/>
      <c r="AE801" s="291"/>
      <c r="AF801" s="2"/>
      <c r="AG801" s="2"/>
      <c r="AH801" s="2"/>
      <c r="AI801" s="29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14.25" customHeight="1" x14ac:dyDescent="0.35">
      <c r="A802" s="2"/>
      <c r="B802" s="2"/>
      <c r="C802" s="2"/>
      <c r="D802" s="2"/>
      <c r="E802" s="2"/>
      <c r="F802" s="2"/>
      <c r="G802" s="27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91"/>
      <c r="AC802" s="2"/>
      <c r="AD802" s="2"/>
      <c r="AE802" s="291"/>
      <c r="AF802" s="2"/>
      <c r="AG802" s="2"/>
      <c r="AH802" s="2"/>
      <c r="AI802" s="29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14.25" customHeight="1" x14ac:dyDescent="0.35">
      <c r="A803" s="2"/>
      <c r="B803" s="2"/>
      <c r="C803" s="2"/>
      <c r="D803" s="2"/>
      <c r="E803" s="2"/>
      <c r="F803" s="2"/>
      <c r="G803" s="27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91"/>
      <c r="AC803" s="2"/>
      <c r="AD803" s="2"/>
      <c r="AE803" s="291"/>
      <c r="AF803" s="2"/>
      <c r="AG803" s="2"/>
      <c r="AH803" s="2"/>
      <c r="AI803" s="29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14.25" customHeight="1" x14ac:dyDescent="0.35">
      <c r="A804" s="2"/>
      <c r="B804" s="2"/>
      <c r="C804" s="2"/>
      <c r="D804" s="2"/>
      <c r="E804" s="2"/>
      <c r="F804" s="2"/>
      <c r="G804" s="27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91"/>
      <c r="AC804" s="2"/>
      <c r="AD804" s="2"/>
      <c r="AE804" s="291"/>
      <c r="AF804" s="2"/>
      <c r="AG804" s="2"/>
      <c r="AH804" s="2"/>
      <c r="AI804" s="29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14.25" customHeight="1" x14ac:dyDescent="0.35">
      <c r="A805" s="2"/>
      <c r="B805" s="2"/>
      <c r="C805" s="2"/>
      <c r="D805" s="2"/>
      <c r="E805" s="2"/>
      <c r="F805" s="2"/>
      <c r="G805" s="27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91"/>
      <c r="AC805" s="2"/>
      <c r="AD805" s="2"/>
      <c r="AE805" s="291"/>
      <c r="AF805" s="2"/>
      <c r="AG805" s="2"/>
      <c r="AH805" s="2"/>
      <c r="AI805" s="29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14.25" customHeight="1" x14ac:dyDescent="0.35">
      <c r="A806" s="2"/>
      <c r="B806" s="2"/>
      <c r="C806" s="2"/>
      <c r="D806" s="2"/>
      <c r="E806" s="2"/>
      <c r="F806" s="2"/>
      <c r="G806" s="27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91"/>
      <c r="AC806" s="2"/>
      <c r="AD806" s="2"/>
      <c r="AE806" s="291"/>
      <c r="AF806" s="2"/>
      <c r="AG806" s="2"/>
      <c r="AH806" s="2"/>
      <c r="AI806" s="29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14.25" customHeight="1" x14ac:dyDescent="0.35">
      <c r="A807" s="2"/>
      <c r="B807" s="2"/>
      <c r="C807" s="2"/>
      <c r="D807" s="2"/>
      <c r="E807" s="2"/>
      <c r="F807" s="2"/>
      <c r="G807" s="27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91"/>
      <c r="AC807" s="2"/>
      <c r="AD807" s="2"/>
      <c r="AE807" s="291"/>
      <c r="AF807" s="2"/>
      <c r="AG807" s="2"/>
      <c r="AH807" s="2"/>
      <c r="AI807" s="29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14.25" customHeight="1" x14ac:dyDescent="0.35">
      <c r="A808" s="2"/>
      <c r="B808" s="2"/>
      <c r="C808" s="2"/>
      <c r="D808" s="2"/>
      <c r="E808" s="2"/>
      <c r="F808" s="2"/>
      <c r="G808" s="27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91"/>
      <c r="AC808" s="2"/>
      <c r="AD808" s="2"/>
      <c r="AE808" s="291"/>
      <c r="AF808" s="2"/>
      <c r="AG808" s="2"/>
      <c r="AH808" s="2"/>
      <c r="AI808" s="29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14.25" customHeight="1" x14ac:dyDescent="0.35">
      <c r="A809" s="2"/>
      <c r="B809" s="2"/>
      <c r="C809" s="2"/>
      <c r="D809" s="2"/>
      <c r="E809" s="2"/>
      <c r="F809" s="2"/>
      <c r="G809" s="27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91"/>
      <c r="AC809" s="2"/>
      <c r="AD809" s="2"/>
      <c r="AE809" s="291"/>
      <c r="AF809" s="2"/>
      <c r="AG809" s="2"/>
      <c r="AH809" s="2"/>
      <c r="AI809" s="29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14.25" customHeight="1" x14ac:dyDescent="0.35">
      <c r="A810" s="2"/>
      <c r="B810" s="2"/>
      <c r="C810" s="2"/>
      <c r="D810" s="2"/>
      <c r="E810" s="2"/>
      <c r="F810" s="2"/>
      <c r="G810" s="27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91"/>
      <c r="AC810" s="2"/>
      <c r="AD810" s="2"/>
      <c r="AE810" s="291"/>
      <c r="AF810" s="2"/>
      <c r="AG810" s="2"/>
      <c r="AH810" s="2"/>
      <c r="AI810" s="29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14.25" customHeight="1" x14ac:dyDescent="0.35">
      <c r="A811" s="2"/>
      <c r="B811" s="2"/>
      <c r="C811" s="2"/>
      <c r="D811" s="2"/>
      <c r="E811" s="2"/>
      <c r="F811" s="2"/>
      <c r="G811" s="27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91"/>
      <c r="AC811" s="2"/>
      <c r="AD811" s="2"/>
      <c r="AE811" s="291"/>
      <c r="AF811" s="2"/>
      <c r="AG811" s="2"/>
      <c r="AH811" s="2"/>
      <c r="AI811" s="29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14.25" customHeight="1" x14ac:dyDescent="0.35">
      <c r="A812" s="2"/>
      <c r="B812" s="2"/>
      <c r="C812" s="2"/>
      <c r="D812" s="2"/>
      <c r="E812" s="2"/>
      <c r="F812" s="2"/>
      <c r="G812" s="27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91"/>
      <c r="AC812" s="2"/>
      <c r="AD812" s="2"/>
      <c r="AE812" s="291"/>
      <c r="AF812" s="2"/>
      <c r="AG812" s="2"/>
      <c r="AH812" s="2"/>
      <c r="AI812" s="29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14.25" customHeight="1" x14ac:dyDescent="0.35">
      <c r="A813" s="2"/>
      <c r="B813" s="2"/>
      <c r="C813" s="2"/>
      <c r="D813" s="2"/>
      <c r="E813" s="2"/>
      <c r="F813" s="2"/>
      <c r="G813" s="27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91"/>
      <c r="AC813" s="2"/>
      <c r="AD813" s="2"/>
      <c r="AE813" s="291"/>
      <c r="AF813" s="2"/>
      <c r="AG813" s="2"/>
      <c r="AH813" s="2"/>
      <c r="AI813" s="29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14.25" customHeight="1" x14ac:dyDescent="0.35">
      <c r="A814" s="2"/>
      <c r="B814" s="2"/>
      <c r="C814" s="2"/>
      <c r="D814" s="2"/>
      <c r="E814" s="2"/>
      <c r="F814" s="2"/>
      <c r="G814" s="27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91"/>
      <c r="AC814" s="2"/>
      <c r="AD814" s="2"/>
      <c r="AE814" s="291"/>
      <c r="AF814" s="2"/>
      <c r="AG814" s="2"/>
      <c r="AH814" s="2"/>
      <c r="AI814" s="29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14.25" customHeight="1" x14ac:dyDescent="0.35">
      <c r="A815" s="2"/>
      <c r="B815" s="2"/>
      <c r="C815" s="2"/>
      <c r="D815" s="2"/>
      <c r="E815" s="2"/>
      <c r="F815" s="2"/>
      <c r="G815" s="27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91"/>
      <c r="AC815" s="2"/>
      <c r="AD815" s="2"/>
      <c r="AE815" s="291"/>
      <c r="AF815" s="2"/>
      <c r="AG815" s="2"/>
      <c r="AH815" s="2"/>
      <c r="AI815" s="29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14.25" customHeight="1" x14ac:dyDescent="0.35">
      <c r="A816" s="2"/>
      <c r="B816" s="2"/>
      <c r="C816" s="2"/>
      <c r="D816" s="2"/>
      <c r="E816" s="2"/>
      <c r="F816" s="2"/>
      <c r="G816" s="27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91"/>
      <c r="AC816" s="2"/>
      <c r="AD816" s="2"/>
      <c r="AE816" s="291"/>
      <c r="AF816" s="2"/>
      <c r="AG816" s="2"/>
      <c r="AH816" s="2"/>
      <c r="AI816" s="29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14.25" customHeight="1" x14ac:dyDescent="0.35">
      <c r="A817" s="2"/>
      <c r="B817" s="2"/>
      <c r="C817" s="2"/>
      <c r="D817" s="2"/>
      <c r="E817" s="2"/>
      <c r="F817" s="2"/>
      <c r="G817" s="27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91"/>
      <c r="AC817" s="2"/>
      <c r="AD817" s="2"/>
      <c r="AE817" s="291"/>
      <c r="AF817" s="2"/>
      <c r="AG817" s="2"/>
      <c r="AH817" s="2"/>
      <c r="AI817" s="29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14.25" customHeight="1" x14ac:dyDescent="0.35">
      <c r="A818" s="2"/>
      <c r="B818" s="2"/>
      <c r="C818" s="2"/>
      <c r="D818" s="2"/>
      <c r="E818" s="2"/>
      <c r="F818" s="2"/>
      <c r="G818" s="27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91"/>
      <c r="AC818" s="2"/>
      <c r="AD818" s="2"/>
      <c r="AE818" s="291"/>
      <c r="AF818" s="2"/>
      <c r="AG818" s="2"/>
      <c r="AH818" s="2"/>
      <c r="AI818" s="29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14.25" customHeight="1" x14ac:dyDescent="0.35">
      <c r="A819" s="2"/>
      <c r="B819" s="2"/>
      <c r="C819" s="2"/>
      <c r="D819" s="2"/>
      <c r="E819" s="2"/>
      <c r="F819" s="2"/>
      <c r="G819" s="27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91"/>
      <c r="AC819" s="2"/>
      <c r="AD819" s="2"/>
      <c r="AE819" s="291"/>
      <c r="AF819" s="2"/>
      <c r="AG819" s="2"/>
      <c r="AH819" s="2"/>
      <c r="AI819" s="29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14.25" customHeight="1" x14ac:dyDescent="0.35">
      <c r="A820" s="2"/>
      <c r="B820" s="2"/>
      <c r="C820" s="2"/>
      <c r="D820" s="2"/>
      <c r="E820" s="2"/>
      <c r="F820" s="2"/>
      <c r="G820" s="27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91"/>
      <c r="AC820" s="2"/>
      <c r="AD820" s="2"/>
      <c r="AE820" s="291"/>
      <c r="AF820" s="2"/>
      <c r="AG820" s="2"/>
      <c r="AH820" s="2"/>
      <c r="AI820" s="29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14.25" customHeight="1" x14ac:dyDescent="0.35">
      <c r="A821" s="2"/>
      <c r="B821" s="2"/>
      <c r="C821" s="2"/>
      <c r="D821" s="2"/>
      <c r="E821" s="2"/>
      <c r="F821" s="2"/>
      <c r="G821" s="27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91"/>
      <c r="AC821" s="2"/>
      <c r="AD821" s="2"/>
      <c r="AE821" s="291"/>
      <c r="AF821" s="2"/>
      <c r="AG821" s="2"/>
      <c r="AH821" s="2"/>
      <c r="AI821" s="29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14.25" customHeight="1" x14ac:dyDescent="0.35">
      <c r="A822" s="2"/>
      <c r="B822" s="2"/>
      <c r="C822" s="2"/>
      <c r="D822" s="2"/>
      <c r="E822" s="2"/>
      <c r="F822" s="2"/>
      <c r="G822" s="27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91"/>
      <c r="AC822" s="2"/>
      <c r="AD822" s="2"/>
      <c r="AE822" s="291"/>
      <c r="AF822" s="2"/>
      <c r="AG822" s="2"/>
      <c r="AH822" s="2"/>
      <c r="AI822" s="29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14.25" customHeight="1" x14ac:dyDescent="0.35">
      <c r="A823" s="2"/>
      <c r="B823" s="2"/>
      <c r="C823" s="2"/>
      <c r="D823" s="2"/>
      <c r="E823" s="2"/>
      <c r="F823" s="2"/>
      <c r="G823" s="27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91"/>
      <c r="AC823" s="2"/>
      <c r="AD823" s="2"/>
      <c r="AE823" s="291"/>
      <c r="AF823" s="2"/>
      <c r="AG823" s="2"/>
      <c r="AH823" s="2"/>
      <c r="AI823" s="29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14.25" customHeight="1" x14ac:dyDescent="0.35">
      <c r="A824" s="2"/>
      <c r="B824" s="2"/>
      <c r="C824" s="2"/>
      <c r="D824" s="2"/>
      <c r="E824" s="2"/>
      <c r="F824" s="2"/>
      <c r="G824" s="27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91"/>
      <c r="AC824" s="2"/>
      <c r="AD824" s="2"/>
      <c r="AE824" s="291"/>
      <c r="AF824" s="2"/>
      <c r="AG824" s="2"/>
      <c r="AH824" s="2"/>
      <c r="AI824" s="29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14.25" customHeight="1" x14ac:dyDescent="0.35">
      <c r="A825" s="2"/>
      <c r="B825" s="2"/>
      <c r="C825" s="2"/>
      <c r="D825" s="2"/>
      <c r="E825" s="2"/>
      <c r="F825" s="2"/>
      <c r="G825" s="27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91"/>
      <c r="AC825" s="2"/>
      <c r="AD825" s="2"/>
      <c r="AE825" s="291"/>
      <c r="AF825" s="2"/>
      <c r="AG825" s="2"/>
      <c r="AH825" s="2"/>
      <c r="AI825" s="29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14.25" customHeight="1" x14ac:dyDescent="0.35">
      <c r="A826" s="2"/>
      <c r="B826" s="2"/>
      <c r="C826" s="2"/>
      <c r="D826" s="2"/>
      <c r="E826" s="2"/>
      <c r="F826" s="2"/>
      <c r="G826" s="27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91"/>
      <c r="AC826" s="2"/>
      <c r="AD826" s="2"/>
      <c r="AE826" s="291"/>
      <c r="AF826" s="2"/>
      <c r="AG826" s="2"/>
      <c r="AH826" s="2"/>
      <c r="AI826" s="29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14.25" customHeight="1" x14ac:dyDescent="0.35">
      <c r="A827" s="2"/>
      <c r="B827" s="2"/>
      <c r="C827" s="2"/>
      <c r="D827" s="2"/>
      <c r="E827" s="2"/>
      <c r="F827" s="2"/>
      <c r="G827" s="27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91"/>
      <c r="AC827" s="2"/>
      <c r="AD827" s="2"/>
      <c r="AE827" s="291"/>
      <c r="AF827" s="2"/>
      <c r="AG827" s="2"/>
      <c r="AH827" s="2"/>
      <c r="AI827" s="29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14.25" customHeight="1" x14ac:dyDescent="0.35">
      <c r="A828" s="2"/>
      <c r="B828" s="2"/>
      <c r="C828" s="2"/>
      <c r="D828" s="2"/>
      <c r="E828" s="2"/>
      <c r="F828" s="2"/>
      <c r="G828" s="27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91"/>
      <c r="AC828" s="2"/>
      <c r="AD828" s="2"/>
      <c r="AE828" s="291"/>
      <c r="AF828" s="2"/>
      <c r="AG828" s="2"/>
      <c r="AH828" s="2"/>
      <c r="AI828" s="29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14.25" customHeight="1" x14ac:dyDescent="0.35">
      <c r="A829" s="2"/>
      <c r="B829" s="2"/>
      <c r="C829" s="2"/>
      <c r="D829" s="2"/>
      <c r="E829" s="2"/>
      <c r="F829" s="2"/>
      <c r="G829" s="27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91"/>
      <c r="AC829" s="2"/>
      <c r="AD829" s="2"/>
      <c r="AE829" s="291"/>
      <c r="AF829" s="2"/>
      <c r="AG829" s="2"/>
      <c r="AH829" s="2"/>
      <c r="AI829" s="29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14.25" customHeight="1" x14ac:dyDescent="0.35">
      <c r="A830" s="2"/>
      <c r="B830" s="2"/>
      <c r="C830" s="2"/>
      <c r="D830" s="2"/>
      <c r="E830" s="2"/>
      <c r="F830" s="2"/>
      <c r="G830" s="27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91"/>
      <c r="AC830" s="2"/>
      <c r="AD830" s="2"/>
      <c r="AE830" s="291"/>
      <c r="AF830" s="2"/>
      <c r="AG830" s="2"/>
      <c r="AH830" s="2"/>
      <c r="AI830" s="29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14.25" customHeight="1" x14ac:dyDescent="0.35">
      <c r="A831" s="2"/>
      <c r="B831" s="2"/>
      <c r="C831" s="2"/>
      <c r="D831" s="2"/>
      <c r="E831" s="2"/>
      <c r="F831" s="2"/>
      <c r="G831" s="27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91"/>
      <c r="AC831" s="2"/>
      <c r="AD831" s="2"/>
      <c r="AE831" s="291"/>
      <c r="AF831" s="2"/>
      <c r="AG831" s="2"/>
      <c r="AH831" s="2"/>
      <c r="AI831" s="29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14.25" customHeight="1" x14ac:dyDescent="0.35">
      <c r="A832" s="2"/>
      <c r="B832" s="2"/>
      <c r="C832" s="2"/>
      <c r="D832" s="2"/>
      <c r="E832" s="2"/>
      <c r="F832" s="2"/>
      <c r="G832" s="27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91"/>
      <c r="AC832" s="2"/>
      <c r="AD832" s="2"/>
      <c r="AE832" s="291"/>
      <c r="AF832" s="2"/>
      <c r="AG832" s="2"/>
      <c r="AH832" s="2"/>
      <c r="AI832" s="29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14.25" customHeight="1" x14ac:dyDescent="0.35">
      <c r="A833" s="2"/>
      <c r="B833" s="2"/>
      <c r="C833" s="2"/>
      <c r="D833" s="2"/>
      <c r="E833" s="2"/>
      <c r="F833" s="2"/>
      <c r="G833" s="27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91"/>
      <c r="AC833" s="2"/>
      <c r="AD833" s="2"/>
      <c r="AE833" s="291"/>
      <c r="AF833" s="2"/>
      <c r="AG833" s="2"/>
      <c r="AH833" s="2"/>
      <c r="AI833" s="29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14.25" customHeight="1" x14ac:dyDescent="0.35">
      <c r="A834" s="2"/>
      <c r="B834" s="2"/>
      <c r="C834" s="2"/>
      <c r="D834" s="2"/>
      <c r="E834" s="2"/>
      <c r="F834" s="2"/>
      <c r="G834" s="27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91"/>
      <c r="AC834" s="2"/>
      <c r="AD834" s="2"/>
      <c r="AE834" s="291"/>
      <c r="AF834" s="2"/>
      <c r="AG834" s="2"/>
      <c r="AH834" s="2"/>
      <c r="AI834" s="29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14.25" customHeight="1" x14ac:dyDescent="0.35">
      <c r="A835" s="2"/>
      <c r="B835" s="2"/>
      <c r="C835" s="2"/>
      <c r="D835" s="2"/>
      <c r="E835" s="2"/>
      <c r="F835" s="2"/>
      <c r="G835" s="27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91"/>
      <c r="AC835" s="2"/>
      <c r="AD835" s="2"/>
      <c r="AE835" s="291"/>
      <c r="AF835" s="2"/>
      <c r="AG835" s="2"/>
      <c r="AH835" s="2"/>
      <c r="AI835" s="29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14.25" customHeight="1" x14ac:dyDescent="0.35">
      <c r="A836" s="2"/>
      <c r="B836" s="2"/>
      <c r="C836" s="2"/>
      <c r="D836" s="2"/>
      <c r="E836" s="2"/>
      <c r="F836" s="2"/>
      <c r="G836" s="27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91"/>
      <c r="AC836" s="2"/>
      <c r="AD836" s="2"/>
      <c r="AE836" s="291"/>
      <c r="AF836" s="2"/>
      <c r="AG836" s="2"/>
      <c r="AH836" s="2"/>
      <c r="AI836" s="29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14.25" customHeight="1" x14ac:dyDescent="0.35">
      <c r="A837" s="2"/>
      <c r="B837" s="2"/>
      <c r="C837" s="2"/>
      <c r="D837" s="2"/>
      <c r="E837" s="2"/>
      <c r="F837" s="2"/>
      <c r="G837" s="27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91"/>
      <c r="AC837" s="2"/>
      <c r="AD837" s="2"/>
      <c r="AE837" s="291"/>
      <c r="AF837" s="2"/>
      <c r="AG837" s="2"/>
      <c r="AH837" s="2"/>
      <c r="AI837" s="29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14.25" customHeight="1" x14ac:dyDescent="0.35">
      <c r="A838" s="2"/>
      <c r="B838" s="2"/>
      <c r="C838" s="2"/>
      <c r="D838" s="2"/>
      <c r="E838" s="2"/>
      <c r="F838" s="2"/>
      <c r="G838" s="27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91"/>
      <c r="AC838" s="2"/>
      <c r="AD838" s="2"/>
      <c r="AE838" s="291"/>
      <c r="AF838" s="2"/>
      <c r="AG838" s="2"/>
      <c r="AH838" s="2"/>
      <c r="AI838" s="29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14.25" customHeight="1" x14ac:dyDescent="0.35">
      <c r="A839" s="2"/>
      <c r="B839" s="2"/>
      <c r="C839" s="2"/>
      <c r="D839" s="2"/>
      <c r="E839" s="2"/>
      <c r="F839" s="2"/>
      <c r="G839" s="27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91"/>
      <c r="AC839" s="2"/>
      <c r="AD839" s="2"/>
      <c r="AE839" s="291"/>
      <c r="AF839" s="2"/>
      <c r="AG839" s="2"/>
      <c r="AH839" s="2"/>
      <c r="AI839" s="29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14.25" customHeight="1" x14ac:dyDescent="0.35">
      <c r="A840" s="2"/>
      <c r="B840" s="2"/>
      <c r="C840" s="2"/>
      <c r="D840" s="2"/>
      <c r="E840" s="2"/>
      <c r="F840" s="2"/>
      <c r="G840" s="27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91"/>
      <c r="AC840" s="2"/>
      <c r="AD840" s="2"/>
      <c r="AE840" s="291"/>
      <c r="AF840" s="2"/>
      <c r="AG840" s="2"/>
      <c r="AH840" s="2"/>
      <c r="AI840" s="29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14.25" customHeight="1" x14ac:dyDescent="0.35">
      <c r="A841" s="2"/>
      <c r="B841" s="2"/>
      <c r="C841" s="2"/>
      <c r="D841" s="2"/>
      <c r="E841" s="2"/>
      <c r="F841" s="2"/>
      <c r="G841" s="27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91"/>
      <c r="AC841" s="2"/>
      <c r="AD841" s="2"/>
      <c r="AE841" s="291"/>
      <c r="AF841" s="2"/>
      <c r="AG841" s="2"/>
      <c r="AH841" s="2"/>
      <c r="AI841" s="29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14.25" customHeight="1" x14ac:dyDescent="0.35">
      <c r="A842" s="2"/>
      <c r="B842" s="2"/>
      <c r="C842" s="2"/>
      <c r="D842" s="2"/>
      <c r="E842" s="2"/>
      <c r="F842" s="2"/>
      <c r="G842" s="27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91"/>
      <c r="AC842" s="2"/>
      <c r="AD842" s="2"/>
      <c r="AE842" s="291"/>
      <c r="AF842" s="2"/>
      <c r="AG842" s="2"/>
      <c r="AH842" s="2"/>
      <c r="AI842" s="29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14.25" customHeight="1" x14ac:dyDescent="0.35">
      <c r="A843" s="2"/>
      <c r="B843" s="2"/>
      <c r="C843" s="2"/>
      <c r="D843" s="2"/>
      <c r="E843" s="2"/>
      <c r="F843" s="2"/>
      <c r="G843" s="27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91"/>
      <c r="AC843" s="2"/>
      <c r="AD843" s="2"/>
      <c r="AE843" s="291"/>
      <c r="AF843" s="2"/>
      <c r="AG843" s="2"/>
      <c r="AH843" s="2"/>
      <c r="AI843" s="29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14.25" customHeight="1" x14ac:dyDescent="0.35">
      <c r="A844" s="2"/>
      <c r="B844" s="2"/>
      <c r="C844" s="2"/>
      <c r="D844" s="2"/>
      <c r="E844" s="2"/>
      <c r="F844" s="2"/>
      <c r="G844" s="27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91"/>
      <c r="AC844" s="2"/>
      <c r="AD844" s="2"/>
      <c r="AE844" s="291"/>
      <c r="AF844" s="2"/>
      <c r="AG844" s="2"/>
      <c r="AH844" s="2"/>
      <c r="AI844" s="29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14.25" customHeight="1" x14ac:dyDescent="0.35">
      <c r="A845" s="2"/>
      <c r="B845" s="2"/>
      <c r="C845" s="2"/>
      <c r="D845" s="2"/>
      <c r="E845" s="2"/>
      <c r="F845" s="2"/>
      <c r="G845" s="27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91"/>
      <c r="AC845" s="2"/>
      <c r="AD845" s="2"/>
      <c r="AE845" s="291"/>
      <c r="AF845" s="2"/>
      <c r="AG845" s="2"/>
      <c r="AH845" s="2"/>
      <c r="AI845" s="29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14.25" customHeight="1" x14ac:dyDescent="0.35">
      <c r="A846" s="2"/>
      <c r="B846" s="2"/>
      <c r="C846" s="2"/>
      <c r="D846" s="2"/>
      <c r="E846" s="2"/>
      <c r="F846" s="2"/>
      <c r="G846" s="27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91"/>
      <c r="AC846" s="2"/>
      <c r="AD846" s="2"/>
      <c r="AE846" s="291"/>
      <c r="AF846" s="2"/>
      <c r="AG846" s="2"/>
      <c r="AH846" s="2"/>
      <c r="AI846" s="29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14.25" customHeight="1" x14ac:dyDescent="0.35">
      <c r="A847" s="2"/>
      <c r="B847" s="2"/>
      <c r="C847" s="2"/>
      <c r="D847" s="2"/>
      <c r="E847" s="2"/>
      <c r="F847" s="2"/>
      <c r="G847" s="27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91"/>
      <c r="AC847" s="2"/>
      <c r="AD847" s="2"/>
      <c r="AE847" s="291"/>
      <c r="AF847" s="2"/>
      <c r="AG847" s="2"/>
      <c r="AH847" s="2"/>
      <c r="AI847" s="29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14.25" customHeight="1" x14ac:dyDescent="0.35">
      <c r="A848" s="2"/>
      <c r="B848" s="2"/>
      <c r="C848" s="2"/>
      <c r="D848" s="2"/>
      <c r="E848" s="2"/>
      <c r="F848" s="2"/>
      <c r="G848" s="27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91"/>
      <c r="AC848" s="2"/>
      <c r="AD848" s="2"/>
      <c r="AE848" s="291"/>
      <c r="AF848" s="2"/>
      <c r="AG848" s="2"/>
      <c r="AH848" s="2"/>
      <c r="AI848" s="29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14.25" customHeight="1" x14ac:dyDescent="0.35">
      <c r="A849" s="2"/>
      <c r="B849" s="2"/>
      <c r="C849" s="2"/>
      <c r="D849" s="2"/>
      <c r="E849" s="2"/>
      <c r="F849" s="2"/>
      <c r="G849" s="27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91"/>
      <c r="AC849" s="2"/>
      <c r="AD849" s="2"/>
      <c r="AE849" s="291"/>
      <c r="AF849" s="2"/>
      <c r="AG849" s="2"/>
      <c r="AH849" s="2"/>
      <c r="AI849" s="29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14.25" customHeight="1" x14ac:dyDescent="0.35">
      <c r="A850" s="2"/>
      <c r="B850" s="2"/>
      <c r="C850" s="2"/>
      <c r="D850" s="2"/>
      <c r="E850" s="2"/>
      <c r="F850" s="2"/>
      <c r="G850" s="27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91"/>
      <c r="AC850" s="2"/>
      <c r="AD850" s="2"/>
      <c r="AE850" s="291"/>
      <c r="AF850" s="2"/>
      <c r="AG850" s="2"/>
      <c r="AH850" s="2"/>
      <c r="AI850" s="29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14.25" customHeight="1" x14ac:dyDescent="0.35">
      <c r="A851" s="2"/>
      <c r="B851" s="2"/>
      <c r="C851" s="2"/>
      <c r="D851" s="2"/>
      <c r="E851" s="2"/>
      <c r="F851" s="2"/>
      <c r="G851" s="27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91"/>
      <c r="AC851" s="2"/>
      <c r="AD851" s="2"/>
      <c r="AE851" s="291"/>
      <c r="AF851" s="2"/>
      <c r="AG851" s="2"/>
      <c r="AH851" s="2"/>
      <c r="AI851" s="29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14.25" customHeight="1" x14ac:dyDescent="0.35">
      <c r="A852" s="2"/>
      <c r="B852" s="2"/>
      <c r="C852" s="2"/>
      <c r="D852" s="2"/>
      <c r="E852" s="2"/>
      <c r="F852" s="2"/>
      <c r="G852" s="27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91"/>
      <c r="AC852" s="2"/>
      <c r="AD852" s="2"/>
      <c r="AE852" s="291"/>
      <c r="AF852" s="2"/>
      <c r="AG852" s="2"/>
      <c r="AH852" s="2"/>
      <c r="AI852" s="29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14.25" customHeight="1" x14ac:dyDescent="0.35">
      <c r="A853" s="2"/>
      <c r="B853" s="2"/>
      <c r="C853" s="2"/>
      <c r="D853" s="2"/>
      <c r="E853" s="2"/>
      <c r="F853" s="2"/>
      <c r="G853" s="27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91"/>
      <c r="AC853" s="2"/>
      <c r="AD853" s="2"/>
      <c r="AE853" s="291"/>
      <c r="AF853" s="2"/>
      <c r="AG853" s="2"/>
      <c r="AH853" s="2"/>
      <c r="AI853" s="29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14.25" customHeight="1" x14ac:dyDescent="0.35">
      <c r="A854" s="2"/>
      <c r="B854" s="2"/>
      <c r="C854" s="2"/>
      <c r="D854" s="2"/>
      <c r="E854" s="2"/>
      <c r="F854" s="2"/>
      <c r="G854" s="27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91"/>
      <c r="AC854" s="2"/>
      <c r="AD854" s="2"/>
      <c r="AE854" s="291"/>
      <c r="AF854" s="2"/>
      <c r="AG854" s="2"/>
      <c r="AH854" s="2"/>
      <c r="AI854" s="29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14.25" customHeight="1" x14ac:dyDescent="0.35">
      <c r="A855" s="2"/>
      <c r="B855" s="2"/>
      <c r="C855" s="2"/>
      <c r="D855" s="2"/>
      <c r="E855" s="2"/>
      <c r="F855" s="2"/>
      <c r="G855" s="27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91"/>
      <c r="AC855" s="2"/>
      <c r="AD855" s="2"/>
      <c r="AE855" s="291"/>
      <c r="AF855" s="2"/>
      <c r="AG855" s="2"/>
      <c r="AH855" s="2"/>
      <c r="AI855" s="29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14.25" customHeight="1" x14ac:dyDescent="0.35">
      <c r="A856" s="2"/>
      <c r="B856" s="2"/>
      <c r="C856" s="2"/>
      <c r="D856" s="2"/>
      <c r="E856" s="2"/>
      <c r="F856" s="2"/>
      <c r="G856" s="27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91"/>
      <c r="AC856" s="2"/>
      <c r="AD856" s="2"/>
      <c r="AE856" s="291"/>
      <c r="AF856" s="2"/>
      <c r="AG856" s="2"/>
      <c r="AH856" s="2"/>
      <c r="AI856" s="29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14.25" customHeight="1" x14ac:dyDescent="0.35">
      <c r="A857" s="2"/>
      <c r="B857" s="2"/>
      <c r="C857" s="2"/>
      <c r="D857" s="2"/>
      <c r="E857" s="2"/>
      <c r="F857" s="2"/>
      <c r="G857" s="27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91"/>
      <c r="AC857" s="2"/>
      <c r="AD857" s="2"/>
      <c r="AE857" s="291"/>
      <c r="AF857" s="2"/>
      <c r="AG857" s="2"/>
      <c r="AH857" s="2"/>
      <c r="AI857" s="29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14.25" customHeight="1" x14ac:dyDescent="0.35">
      <c r="A858" s="2"/>
      <c r="B858" s="2"/>
      <c r="C858" s="2"/>
      <c r="D858" s="2"/>
      <c r="E858" s="2"/>
      <c r="F858" s="2"/>
      <c r="G858" s="27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91"/>
      <c r="AC858" s="2"/>
      <c r="AD858" s="2"/>
      <c r="AE858" s="291"/>
      <c r="AF858" s="2"/>
      <c r="AG858" s="2"/>
      <c r="AH858" s="2"/>
      <c r="AI858" s="29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14.25" customHeight="1" x14ac:dyDescent="0.35">
      <c r="A859" s="2"/>
      <c r="B859" s="2"/>
      <c r="C859" s="2"/>
      <c r="D859" s="2"/>
      <c r="E859" s="2"/>
      <c r="F859" s="2"/>
      <c r="G859" s="27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91"/>
      <c r="AC859" s="2"/>
      <c r="AD859" s="2"/>
      <c r="AE859" s="291"/>
      <c r="AF859" s="2"/>
      <c r="AG859" s="2"/>
      <c r="AH859" s="2"/>
      <c r="AI859" s="29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14.25" customHeight="1" x14ac:dyDescent="0.35">
      <c r="A860" s="2"/>
      <c r="B860" s="2"/>
      <c r="C860" s="2"/>
      <c r="D860" s="2"/>
      <c r="E860" s="2"/>
      <c r="F860" s="2"/>
      <c r="G860" s="27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91"/>
      <c r="AC860" s="2"/>
      <c r="AD860" s="2"/>
      <c r="AE860" s="291"/>
      <c r="AF860" s="2"/>
      <c r="AG860" s="2"/>
      <c r="AH860" s="2"/>
      <c r="AI860" s="29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14.25" customHeight="1" x14ac:dyDescent="0.35">
      <c r="A861" s="2"/>
      <c r="B861" s="2"/>
      <c r="C861" s="2"/>
      <c r="D861" s="2"/>
      <c r="E861" s="2"/>
      <c r="F861" s="2"/>
      <c r="G861" s="27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91"/>
      <c r="AC861" s="2"/>
      <c r="AD861" s="2"/>
      <c r="AE861" s="291"/>
      <c r="AF861" s="2"/>
      <c r="AG861" s="2"/>
      <c r="AH861" s="2"/>
      <c r="AI861" s="29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14.25" customHeight="1" x14ac:dyDescent="0.35">
      <c r="A862" s="2"/>
      <c r="B862" s="2"/>
      <c r="C862" s="2"/>
      <c r="D862" s="2"/>
      <c r="E862" s="2"/>
      <c r="F862" s="2"/>
      <c r="G862" s="27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91"/>
      <c r="AC862" s="2"/>
      <c r="AD862" s="2"/>
      <c r="AE862" s="291"/>
      <c r="AF862" s="2"/>
      <c r="AG862" s="2"/>
      <c r="AH862" s="2"/>
      <c r="AI862" s="29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14.25" customHeight="1" x14ac:dyDescent="0.35">
      <c r="A863" s="2"/>
      <c r="B863" s="2"/>
      <c r="C863" s="2"/>
      <c r="D863" s="2"/>
      <c r="E863" s="2"/>
      <c r="F863" s="2"/>
      <c r="G863" s="27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91"/>
      <c r="AC863" s="2"/>
      <c r="AD863" s="2"/>
      <c r="AE863" s="291"/>
      <c r="AF863" s="2"/>
      <c r="AG863" s="2"/>
      <c r="AH863" s="2"/>
      <c r="AI863" s="29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14.25" customHeight="1" x14ac:dyDescent="0.35">
      <c r="A864" s="2"/>
      <c r="B864" s="2"/>
      <c r="C864" s="2"/>
      <c r="D864" s="2"/>
      <c r="E864" s="2"/>
      <c r="F864" s="2"/>
      <c r="G864" s="27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91"/>
      <c r="AC864" s="2"/>
      <c r="AD864" s="2"/>
      <c r="AE864" s="291"/>
      <c r="AF864" s="2"/>
      <c r="AG864" s="2"/>
      <c r="AH864" s="2"/>
      <c r="AI864" s="29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14.25" customHeight="1" x14ac:dyDescent="0.35">
      <c r="A865" s="2"/>
      <c r="B865" s="2"/>
      <c r="C865" s="2"/>
      <c r="D865" s="2"/>
      <c r="E865" s="2"/>
      <c r="F865" s="2"/>
      <c r="G865" s="27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91"/>
      <c r="AC865" s="2"/>
      <c r="AD865" s="2"/>
      <c r="AE865" s="291"/>
      <c r="AF865" s="2"/>
      <c r="AG865" s="2"/>
      <c r="AH865" s="2"/>
      <c r="AI865" s="29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14.25" customHeight="1" x14ac:dyDescent="0.35">
      <c r="A866" s="2"/>
      <c r="B866" s="2"/>
      <c r="C866" s="2"/>
      <c r="D866" s="2"/>
      <c r="E866" s="2"/>
      <c r="F866" s="2"/>
      <c r="G866" s="27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91"/>
      <c r="AC866" s="2"/>
      <c r="AD866" s="2"/>
      <c r="AE866" s="291"/>
      <c r="AF866" s="2"/>
      <c r="AG866" s="2"/>
      <c r="AH866" s="2"/>
      <c r="AI866" s="29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14.25" customHeight="1" x14ac:dyDescent="0.35">
      <c r="A867" s="2"/>
      <c r="B867" s="2"/>
      <c r="C867" s="2"/>
      <c r="D867" s="2"/>
      <c r="E867" s="2"/>
      <c r="F867" s="2"/>
      <c r="G867" s="27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91"/>
      <c r="AC867" s="2"/>
      <c r="AD867" s="2"/>
      <c r="AE867" s="291"/>
      <c r="AF867" s="2"/>
      <c r="AG867" s="2"/>
      <c r="AH867" s="2"/>
      <c r="AI867" s="29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14.25" customHeight="1" x14ac:dyDescent="0.35">
      <c r="A868" s="2"/>
      <c r="B868" s="2"/>
      <c r="C868" s="2"/>
      <c r="D868" s="2"/>
      <c r="E868" s="2"/>
      <c r="F868" s="2"/>
      <c r="G868" s="27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91"/>
      <c r="AC868" s="2"/>
      <c r="AD868" s="2"/>
      <c r="AE868" s="291"/>
      <c r="AF868" s="2"/>
      <c r="AG868" s="2"/>
      <c r="AH868" s="2"/>
      <c r="AI868" s="29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14.25" customHeight="1" x14ac:dyDescent="0.35">
      <c r="A869" s="2"/>
      <c r="B869" s="2"/>
      <c r="C869" s="2"/>
      <c r="D869" s="2"/>
      <c r="E869" s="2"/>
      <c r="F869" s="2"/>
      <c r="G869" s="27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91"/>
      <c r="AC869" s="2"/>
      <c r="AD869" s="2"/>
      <c r="AE869" s="291"/>
      <c r="AF869" s="2"/>
      <c r="AG869" s="2"/>
      <c r="AH869" s="2"/>
      <c r="AI869" s="29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14.25" customHeight="1" x14ac:dyDescent="0.35">
      <c r="A870" s="2"/>
      <c r="B870" s="2"/>
      <c r="C870" s="2"/>
      <c r="D870" s="2"/>
      <c r="E870" s="2"/>
      <c r="F870" s="2"/>
      <c r="G870" s="27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91"/>
      <c r="AC870" s="2"/>
      <c r="AD870" s="2"/>
      <c r="AE870" s="291"/>
      <c r="AF870" s="2"/>
      <c r="AG870" s="2"/>
      <c r="AH870" s="2"/>
      <c r="AI870" s="29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14.25" customHeight="1" x14ac:dyDescent="0.35">
      <c r="A871" s="2"/>
      <c r="B871" s="2"/>
      <c r="C871" s="2"/>
      <c r="D871" s="2"/>
      <c r="E871" s="2"/>
      <c r="F871" s="2"/>
      <c r="G871" s="27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91"/>
      <c r="AC871" s="2"/>
      <c r="AD871" s="2"/>
      <c r="AE871" s="291"/>
      <c r="AF871" s="2"/>
      <c r="AG871" s="2"/>
      <c r="AH871" s="2"/>
      <c r="AI871" s="29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14.25" customHeight="1" x14ac:dyDescent="0.35">
      <c r="A872" s="2"/>
      <c r="B872" s="2"/>
      <c r="C872" s="2"/>
      <c r="D872" s="2"/>
      <c r="E872" s="2"/>
      <c r="F872" s="2"/>
      <c r="G872" s="27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91"/>
      <c r="AC872" s="2"/>
      <c r="AD872" s="2"/>
      <c r="AE872" s="291"/>
      <c r="AF872" s="2"/>
      <c r="AG872" s="2"/>
      <c r="AH872" s="2"/>
      <c r="AI872" s="29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14.25" customHeight="1" x14ac:dyDescent="0.35">
      <c r="A873" s="2"/>
      <c r="B873" s="2"/>
      <c r="C873" s="2"/>
      <c r="D873" s="2"/>
      <c r="E873" s="2"/>
      <c r="F873" s="2"/>
      <c r="G873" s="27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91"/>
      <c r="AC873" s="2"/>
      <c r="AD873" s="2"/>
      <c r="AE873" s="291"/>
      <c r="AF873" s="2"/>
      <c r="AG873" s="2"/>
      <c r="AH873" s="2"/>
      <c r="AI873" s="29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14.25" customHeight="1" x14ac:dyDescent="0.35">
      <c r="A874" s="2"/>
      <c r="B874" s="2"/>
      <c r="C874" s="2"/>
      <c r="D874" s="2"/>
      <c r="E874" s="2"/>
      <c r="F874" s="2"/>
      <c r="G874" s="27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91"/>
      <c r="AC874" s="2"/>
      <c r="AD874" s="2"/>
      <c r="AE874" s="291"/>
      <c r="AF874" s="2"/>
      <c r="AG874" s="2"/>
      <c r="AH874" s="2"/>
      <c r="AI874" s="29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14.25" customHeight="1" x14ac:dyDescent="0.35">
      <c r="A875" s="2"/>
      <c r="B875" s="2"/>
      <c r="C875" s="2"/>
      <c r="D875" s="2"/>
      <c r="E875" s="2"/>
      <c r="F875" s="2"/>
      <c r="G875" s="27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91"/>
      <c r="AC875" s="2"/>
      <c r="AD875" s="2"/>
      <c r="AE875" s="291"/>
      <c r="AF875" s="2"/>
      <c r="AG875" s="2"/>
      <c r="AH875" s="2"/>
      <c r="AI875" s="29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14.25" customHeight="1" x14ac:dyDescent="0.35">
      <c r="A876" s="2"/>
      <c r="B876" s="2"/>
      <c r="C876" s="2"/>
      <c r="D876" s="2"/>
      <c r="E876" s="2"/>
      <c r="F876" s="2"/>
      <c r="G876" s="27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91"/>
      <c r="AC876" s="2"/>
      <c r="AD876" s="2"/>
      <c r="AE876" s="291"/>
      <c r="AF876" s="2"/>
      <c r="AG876" s="2"/>
      <c r="AH876" s="2"/>
      <c r="AI876" s="29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14.25" customHeight="1" x14ac:dyDescent="0.35">
      <c r="A877" s="2"/>
      <c r="B877" s="2"/>
      <c r="C877" s="2"/>
      <c r="D877" s="2"/>
      <c r="E877" s="2"/>
      <c r="F877" s="2"/>
      <c r="G877" s="27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91"/>
      <c r="AC877" s="2"/>
      <c r="AD877" s="2"/>
      <c r="AE877" s="291"/>
      <c r="AF877" s="2"/>
      <c r="AG877" s="2"/>
      <c r="AH877" s="2"/>
      <c r="AI877" s="29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14.25" customHeight="1" x14ac:dyDescent="0.35">
      <c r="A878" s="2"/>
      <c r="B878" s="2"/>
      <c r="C878" s="2"/>
      <c r="D878" s="2"/>
      <c r="E878" s="2"/>
      <c r="F878" s="2"/>
      <c r="G878" s="27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91"/>
      <c r="AC878" s="2"/>
      <c r="AD878" s="2"/>
      <c r="AE878" s="291"/>
      <c r="AF878" s="2"/>
      <c r="AG878" s="2"/>
      <c r="AH878" s="2"/>
      <c r="AI878" s="29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14.25" customHeight="1" x14ac:dyDescent="0.35">
      <c r="A879" s="2"/>
      <c r="B879" s="2"/>
      <c r="C879" s="2"/>
      <c r="D879" s="2"/>
      <c r="E879" s="2"/>
      <c r="F879" s="2"/>
      <c r="G879" s="27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91"/>
      <c r="AC879" s="2"/>
      <c r="AD879" s="2"/>
      <c r="AE879" s="291"/>
      <c r="AF879" s="2"/>
      <c r="AG879" s="2"/>
      <c r="AH879" s="2"/>
      <c r="AI879" s="29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14.25" customHeight="1" x14ac:dyDescent="0.35">
      <c r="A880" s="2"/>
      <c r="B880" s="2"/>
      <c r="C880" s="2"/>
      <c r="D880" s="2"/>
      <c r="E880" s="2"/>
      <c r="F880" s="2"/>
      <c r="G880" s="27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91"/>
      <c r="AC880" s="2"/>
      <c r="AD880" s="2"/>
      <c r="AE880" s="291"/>
      <c r="AF880" s="2"/>
      <c r="AG880" s="2"/>
      <c r="AH880" s="2"/>
      <c r="AI880" s="29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14.25" customHeight="1" x14ac:dyDescent="0.35">
      <c r="A881" s="2"/>
      <c r="B881" s="2"/>
      <c r="C881" s="2"/>
      <c r="D881" s="2"/>
      <c r="E881" s="2"/>
      <c r="F881" s="2"/>
      <c r="G881" s="27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91"/>
      <c r="AC881" s="2"/>
      <c r="AD881" s="2"/>
      <c r="AE881" s="291"/>
      <c r="AF881" s="2"/>
      <c r="AG881" s="2"/>
      <c r="AH881" s="2"/>
      <c r="AI881" s="29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14.25" customHeight="1" x14ac:dyDescent="0.35">
      <c r="A882" s="2"/>
      <c r="B882" s="2"/>
      <c r="C882" s="2"/>
      <c r="D882" s="2"/>
      <c r="E882" s="2"/>
      <c r="F882" s="2"/>
      <c r="G882" s="27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91"/>
      <c r="AC882" s="2"/>
      <c r="AD882" s="2"/>
      <c r="AE882" s="291"/>
      <c r="AF882" s="2"/>
      <c r="AG882" s="2"/>
      <c r="AH882" s="2"/>
      <c r="AI882" s="29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14.25" customHeight="1" x14ac:dyDescent="0.35">
      <c r="A883" s="2"/>
      <c r="B883" s="2"/>
      <c r="C883" s="2"/>
      <c r="D883" s="2"/>
      <c r="E883" s="2"/>
      <c r="F883" s="2"/>
      <c r="G883" s="27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91"/>
      <c r="AC883" s="2"/>
      <c r="AD883" s="2"/>
      <c r="AE883" s="291"/>
      <c r="AF883" s="2"/>
      <c r="AG883" s="2"/>
      <c r="AH883" s="2"/>
      <c r="AI883" s="29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14.25" customHeight="1" x14ac:dyDescent="0.35">
      <c r="A884" s="2"/>
      <c r="B884" s="2"/>
      <c r="C884" s="2"/>
      <c r="D884" s="2"/>
      <c r="E884" s="2"/>
      <c r="F884" s="2"/>
      <c r="G884" s="27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91"/>
      <c r="AC884" s="2"/>
      <c r="AD884" s="2"/>
      <c r="AE884" s="291"/>
      <c r="AF884" s="2"/>
      <c r="AG884" s="2"/>
      <c r="AH884" s="2"/>
      <c r="AI884" s="29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14.25" customHeight="1" x14ac:dyDescent="0.35">
      <c r="A885" s="2"/>
      <c r="B885" s="2"/>
      <c r="C885" s="2"/>
      <c r="D885" s="2"/>
      <c r="E885" s="2"/>
      <c r="F885" s="2"/>
      <c r="G885" s="27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91"/>
      <c r="AC885" s="2"/>
      <c r="AD885" s="2"/>
      <c r="AE885" s="291"/>
      <c r="AF885" s="2"/>
      <c r="AG885" s="2"/>
      <c r="AH885" s="2"/>
      <c r="AI885" s="29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14.25" customHeight="1" x14ac:dyDescent="0.35">
      <c r="A886" s="2"/>
      <c r="B886" s="2"/>
      <c r="C886" s="2"/>
      <c r="D886" s="2"/>
      <c r="E886" s="2"/>
      <c r="F886" s="2"/>
      <c r="G886" s="27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91"/>
      <c r="AC886" s="2"/>
      <c r="AD886" s="2"/>
      <c r="AE886" s="291"/>
      <c r="AF886" s="2"/>
      <c r="AG886" s="2"/>
      <c r="AH886" s="2"/>
      <c r="AI886" s="29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14.25" customHeight="1" x14ac:dyDescent="0.35">
      <c r="A887" s="2"/>
      <c r="B887" s="2"/>
      <c r="C887" s="2"/>
      <c r="D887" s="2"/>
      <c r="E887" s="2"/>
      <c r="F887" s="2"/>
      <c r="G887" s="27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91"/>
      <c r="AC887" s="2"/>
      <c r="AD887" s="2"/>
      <c r="AE887" s="291"/>
      <c r="AF887" s="2"/>
      <c r="AG887" s="2"/>
      <c r="AH887" s="2"/>
      <c r="AI887" s="29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14.25" customHeight="1" x14ac:dyDescent="0.35">
      <c r="A888" s="2"/>
      <c r="B888" s="2"/>
      <c r="C888" s="2"/>
      <c r="D888" s="2"/>
      <c r="E888" s="2"/>
      <c r="F888" s="2"/>
      <c r="G888" s="27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91"/>
      <c r="AC888" s="2"/>
      <c r="AD888" s="2"/>
      <c r="AE888" s="291"/>
      <c r="AF888" s="2"/>
      <c r="AG888" s="2"/>
      <c r="AH888" s="2"/>
      <c r="AI888" s="29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14.25" customHeight="1" x14ac:dyDescent="0.35">
      <c r="A889" s="2"/>
      <c r="B889" s="2"/>
      <c r="C889" s="2"/>
      <c r="D889" s="2"/>
      <c r="E889" s="2"/>
      <c r="F889" s="2"/>
      <c r="G889" s="27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91"/>
      <c r="AC889" s="2"/>
      <c r="AD889" s="2"/>
      <c r="AE889" s="291"/>
      <c r="AF889" s="2"/>
      <c r="AG889" s="2"/>
      <c r="AH889" s="2"/>
      <c r="AI889" s="29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14.25" customHeight="1" x14ac:dyDescent="0.35">
      <c r="A890" s="2"/>
      <c r="B890" s="2"/>
      <c r="C890" s="2"/>
      <c r="D890" s="2"/>
      <c r="E890" s="2"/>
      <c r="F890" s="2"/>
      <c r="G890" s="27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91"/>
      <c r="AC890" s="2"/>
      <c r="AD890" s="2"/>
      <c r="AE890" s="291"/>
      <c r="AF890" s="2"/>
      <c r="AG890" s="2"/>
      <c r="AH890" s="2"/>
      <c r="AI890" s="29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14.25" customHeight="1" x14ac:dyDescent="0.35">
      <c r="A891" s="2"/>
      <c r="B891" s="2"/>
      <c r="C891" s="2"/>
      <c r="D891" s="2"/>
      <c r="E891" s="2"/>
      <c r="F891" s="2"/>
      <c r="G891" s="27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91"/>
      <c r="AC891" s="2"/>
      <c r="AD891" s="2"/>
      <c r="AE891" s="291"/>
      <c r="AF891" s="2"/>
      <c r="AG891" s="2"/>
      <c r="AH891" s="2"/>
      <c r="AI891" s="29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14.25" customHeight="1" x14ac:dyDescent="0.35">
      <c r="A892" s="2"/>
      <c r="B892" s="2"/>
      <c r="C892" s="2"/>
      <c r="D892" s="2"/>
      <c r="E892" s="2"/>
      <c r="F892" s="2"/>
      <c r="G892" s="27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91"/>
      <c r="AC892" s="2"/>
      <c r="AD892" s="2"/>
      <c r="AE892" s="291"/>
      <c r="AF892" s="2"/>
      <c r="AG892" s="2"/>
      <c r="AH892" s="2"/>
      <c r="AI892" s="29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14.25" customHeight="1" x14ac:dyDescent="0.35">
      <c r="A893" s="2"/>
      <c r="B893" s="2"/>
      <c r="C893" s="2"/>
      <c r="D893" s="2"/>
      <c r="E893" s="2"/>
      <c r="F893" s="2"/>
      <c r="G893" s="27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91"/>
      <c r="AC893" s="2"/>
      <c r="AD893" s="2"/>
      <c r="AE893" s="291"/>
      <c r="AF893" s="2"/>
      <c r="AG893" s="2"/>
      <c r="AH893" s="2"/>
      <c r="AI893" s="29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14.25" customHeight="1" x14ac:dyDescent="0.35">
      <c r="A894" s="2"/>
      <c r="B894" s="2"/>
      <c r="C894" s="2"/>
      <c r="D894" s="2"/>
      <c r="E894" s="2"/>
      <c r="F894" s="2"/>
      <c r="G894" s="27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91"/>
      <c r="AC894" s="2"/>
      <c r="AD894" s="2"/>
      <c r="AE894" s="291"/>
      <c r="AF894" s="2"/>
      <c r="AG894" s="2"/>
      <c r="AH894" s="2"/>
      <c r="AI894" s="29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14.25" customHeight="1" x14ac:dyDescent="0.35">
      <c r="A895" s="2"/>
      <c r="B895" s="2"/>
      <c r="C895" s="2"/>
      <c r="D895" s="2"/>
      <c r="E895" s="2"/>
      <c r="F895" s="2"/>
      <c r="G895" s="27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91"/>
      <c r="AC895" s="2"/>
      <c r="AD895" s="2"/>
      <c r="AE895" s="291"/>
      <c r="AF895" s="2"/>
      <c r="AG895" s="2"/>
      <c r="AH895" s="2"/>
      <c r="AI895" s="29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14.25" customHeight="1" x14ac:dyDescent="0.35">
      <c r="A896" s="2"/>
      <c r="B896" s="2"/>
      <c r="C896" s="2"/>
      <c r="D896" s="2"/>
      <c r="E896" s="2"/>
      <c r="F896" s="2"/>
      <c r="G896" s="27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91"/>
      <c r="AC896" s="2"/>
      <c r="AD896" s="2"/>
      <c r="AE896" s="291"/>
      <c r="AF896" s="2"/>
      <c r="AG896" s="2"/>
      <c r="AH896" s="2"/>
      <c r="AI896" s="29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14.25" customHeight="1" x14ac:dyDescent="0.35">
      <c r="A897" s="2"/>
      <c r="B897" s="2"/>
      <c r="C897" s="2"/>
      <c r="D897" s="2"/>
      <c r="E897" s="2"/>
      <c r="F897" s="2"/>
      <c r="G897" s="27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91"/>
      <c r="AC897" s="2"/>
      <c r="AD897" s="2"/>
      <c r="AE897" s="291"/>
      <c r="AF897" s="2"/>
      <c r="AG897" s="2"/>
      <c r="AH897" s="2"/>
      <c r="AI897" s="29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14.25" customHeight="1" x14ac:dyDescent="0.35">
      <c r="A898" s="2"/>
      <c r="B898" s="2"/>
      <c r="C898" s="2"/>
      <c r="D898" s="2"/>
      <c r="E898" s="2"/>
      <c r="F898" s="2"/>
      <c r="G898" s="27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91"/>
      <c r="AC898" s="2"/>
      <c r="AD898" s="2"/>
      <c r="AE898" s="291"/>
      <c r="AF898" s="2"/>
      <c r="AG898" s="2"/>
      <c r="AH898" s="2"/>
      <c r="AI898" s="29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14.25" customHeight="1" x14ac:dyDescent="0.35">
      <c r="A899" s="2"/>
      <c r="B899" s="2"/>
      <c r="C899" s="2"/>
      <c r="D899" s="2"/>
      <c r="E899" s="2"/>
      <c r="F899" s="2"/>
      <c r="G899" s="27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91"/>
      <c r="AC899" s="2"/>
      <c r="AD899" s="2"/>
      <c r="AE899" s="291"/>
      <c r="AF899" s="2"/>
      <c r="AG899" s="2"/>
      <c r="AH899" s="2"/>
      <c r="AI899" s="29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14.25" customHeight="1" x14ac:dyDescent="0.35">
      <c r="A900" s="2"/>
      <c r="B900" s="2"/>
      <c r="C900" s="2"/>
      <c r="D900" s="2"/>
      <c r="E900" s="2"/>
      <c r="F900" s="2"/>
      <c r="G900" s="27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91"/>
      <c r="AC900" s="2"/>
      <c r="AD900" s="2"/>
      <c r="AE900" s="291"/>
      <c r="AF900" s="2"/>
      <c r="AG900" s="2"/>
      <c r="AH900" s="2"/>
      <c r="AI900" s="29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14.25" customHeight="1" x14ac:dyDescent="0.35">
      <c r="A901" s="2"/>
      <c r="B901" s="2"/>
      <c r="C901" s="2"/>
      <c r="D901" s="2"/>
      <c r="E901" s="2"/>
      <c r="F901" s="2"/>
      <c r="G901" s="27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91"/>
      <c r="AC901" s="2"/>
      <c r="AD901" s="2"/>
      <c r="AE901" s="291"/>
      <c r="AF901" s="2"/>
      <c r="AG901" s="2"/>
      <c r="AH901" s="2"/>
      <c r="AI901" s="29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14.25" customHeight="1" x14ac:dyDescent="0.35">
      <c r="A902" s="2"/>
      <c r="B902" s="2"/>
      <c r="C902" s="2"/>
      <c r="D902" s="2"/>
      <c r="E902" s="2"/>
      <c r="F902" s="2"/>
      <c r="G902" s="27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91"/>
      <c r="AC902" s="2"/>
      <c r="AD902" s="2"/>
      <c r="AE902" s="291"/>
      <c r="AF902" s="2"/>
      <c r="AG902" s="2"/>
      <c r="AH902" s="2"/>
      <c r="AI902" s="29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14.25" customHeight="1" x14ac:dyDescent="0.35">
      <c r="A903" s="2"/>
      <c r="B903" s="2"/>
      <c r="C903" s="2"/>
      <c r="D903" s="2"/>
      <c r="E903" s="2"/>
      <c r="F903" s="2"/>
      <c r="G903" s="27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91"/>
      <c r="AC903" s="2"/>
      <c r="AD903" s="2"/>
      <c r="AE903" s="291"/>
      <c r="AF903" s="2"/>
      <c r="AG903" s="2"/>
      <c r="AH903" s="2"/>
      <c r="AI903" s="29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14.25" customHeight="1" x14ac:dyDescent="0.35">
      <c r="A904" s="2"/>
      <c r="B904" s="2"/>
      <c r="C904" s="2"/>
      <c r="D904" s="2"/>
      <c r="E904" s="2"/>
      <c r="F904" s="2"/>
      <c r="G904" s="27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91"/>
      <c r="AC904" s="2"/>
      <c r="AD904" s="2"/>
      <c r="AE904" s="291"/>
      <c r="AF904" s="2"/>
      <c r="AG904" s="2"/>
      <c r="AH904" s="2"/>
      <c r="AI904" s="29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14.25" customHeight="1" x14ac:dyDescent="0.35">
      <c r="A905" s="2"/>
      <c r="B905" s="2"/>
      <c r="C905" s="2"/>
      <c r="D905" s="2"/>
      <c r="E905" s="2"/>
      <c r="F905" s="2"/>
      <c r="G905" s="27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91"/>
      <c r="AC905" s="2"/>
      <c r="AD905" s="2"/>
      <c r="AE905" s="291"/>
      <c r="AF905" s="2"/>
      <c r="AG905" s="2"/>
      <c r="AH905" s="2"/>
      <c r="AI905" s="29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14.25" customHeight="1" x14ac:dyDescent="0.35">
      <c r="A906" s="2"/>
      <c r="B906" s="2"/>
      <c r="C906" s="2"/>
      <c r="D906" s="2"/>
      <c r="E906" s="2"/>
      <c r="F906" s="2"/>
      <c r="G906" s="27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91"/>
      <c r="AC906" s="2"/>
      <c r="AD906" s="2"/>
      <c r="AE906" s="291"/>
      <c r="AF906" s="2"/>
      <c r="AG906" s="2"/>
      <c r="AH906" s="2"/>
      <c r="AI906" s="29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14.25" customHeight="1" x14ac:dyDescent="0.35">
      <c r="A907" s="2"/>
      <c r="B907" s="2"/>
      <c r="C907" s="2"/>
      <c r="D907" s="2"/>
      <c r="E907" s="2"/>
      <c r="F907" s="2"/>
      <c r="G907" s="27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91"/>
      <c r="AC907" s="2"/>
      <c r="AD907" s="2"/>
      <c r="AE907" s="291"/>
      <c r="AF907" s="2"/>
      <c r="AG907" s="2"/>
      <c r="AH907" s="2"/>
      <c r="AI907" s="29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14.25" customHeight="1" x14ac:dyDescent="0.35">
      <c r="A908" s="2"/>
      <c r="B908" s="2"/>
      <c r="C908" s="2"/>
      <c r="D908" s="2"/>
      <c r="E908" s="2"/>
      <c r="F908" s="2"/>
      <c r="G908" s="27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91"/>
      <c r="AC908" s="2"/>
      <c r="AD908" s="2"/>
      <c r="AE908" s="291"/>
      <c r="AF908" s="2"/>
      <c r="AG908" s="2"/>
      <c r="AH908" s="2"/>
      <c r="AI908" s="29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14.25" customHeight="1" x14ac:dyDescent="0.35">
      <c r="A909" s="2"/>
      <c r="B909" s="2"/>
      <c r="C909" s="2"/>
      <c r="D909" s="2"/>
      <c r="E909" s="2"/>
      <c r="F909" s="2"/>
      <c r="G909" s="27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91"/>
      <c r="AC909" s="2"/>
      <c r="AD909" s="2"/>
      <c r="AE909" s="291"/>
      <c r="AF909" s="2"/>
      <c r="AG909" s="2"/>
      <c r="AH909" s="2"/>
      <c r="AI909" s="29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14.25" customHeight="1" x14ac:dyDescent="0.35">
      <c r="A910" s="2"/>
      <c r="B910" s="2"/>
      <c r="C910" s="2"/>
      <c r="D910" s="2"/>
      <c r="E910" s="2"/>
      <c r="F910" s="2"/>
      <c r="G910" s="27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91"/>
      <c r="AC910" s="2"/>
      <c r="AD910" s="2"/>
      <c r="AE910" s="291"/>
      <c r="AF910" s="2"/>
      <c r="AG910" s="2"/>
      <c r="AH910" s="2"/>
      <c r="AI910" s="29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14.25" customHeight="1" x14ac:dyDescent="0.35">
      <c r="A911" s="2"/>
      <c r="B911" s="2"/>
      <c r="C911" s="2"/>
      <c r="D911" s="2"/>
      <c r="E911" s="2"/>
      <c r="F911" s="2"/>
      <c r="G911" s="27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91"/>
      <c r="AC911" s="2"/>
      <c r="AD911" s="2"/>
      <c r="AE911" s="291"/>
      <c r="AF911" s="2"/>
      <c r="AG911" s="2"/>
      <c r="AH911" s="2"/>
      <c r="AI911" s="29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14.25" customHeight="1" x14ac:dyDescent="0.35">
      <c r="A912" s="2"/>
      <c r="B912" s="2"/>
      <c r="C912" s="2"/>
      <c r="D912" s="2"/>
      <c r="E912" s="2"/>
      <c r="F912" s="2"/>
      <c r="G912" s="27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91"/>
      <c r="AC912" s="2"/>
      <c r="AD912" s="2"/>
      <c r="AE912" s="291"/>
      <c r="AF912" s="2"/>
      <c r="AG912" s="2"/>
      <c r="AH912" s="2"/>
      <c r="AI912" s="29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14.25" customHeight="1" x14ac:dyDescent="0.35">
      <c r="A913" s="2"/>
      <c r="B913" s="2"/>
      <c r="C913" s="2"/>
      <c r="D913" s="2"/>
      <c r="E913" s="2"/>
      <c r="F913" s="2"/>
      <c r="G913" s="27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91"/>
      <c r="AC913" s="2"/>
      <c r="AD913" s="2"/>
      <c r="AE913" s="291"/>
      <c r="AF913" s="2"/>
      <c r="AG913" s="2"/>
      <c r="AH913" s="2"/>
      <c r="AI913" s="29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14.25" customHeight="1" x14ac:dyDescent="0.35">
      <c r="A914" s="2"/>
      <c r="B914" s="2"/>
      <c r="C914" s="2"/>
      <c r="D914" s="2"/>
      <c r="E914" s="2"/>
      <c r="F914" s="2"/>
      <c r="G914" s="27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91"/>
      <c r="AC914" s="2"/>
      <c r="AD914" s="2"/>
      <c r="AE914" s="291"/>
      <c r="AF914" s="2"/>
      <c r="AG914" s="2"/>
      <c r="AH914" s="2"/>
      <c r="AI914" s="29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14.25" customHeight="1" x14ac:dyDescent="0.35">
      <c r="A915" s="2"/>
      <c r="B915" s="2"/>
      <c r="C915" s="2"/>
      <c r="D915" s="2"/>
      <c r="E915" s="2"/>
      <c r="F915" s="2"/>
      <c r="G915" s="27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91"/>
      <c r="AC915" s="2"/>
      <c r="AD915" s="2"/>
      <c r="AE915" s="291"/>
      <c r="AF915" s="2"/>
      <c r="AG915" s="2"/>
      <c r="AH915" s="2"/>
      <c r="AI915" s="29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14.25" customHeight="1" x14ac:dyDescent="0.35">
      <c r="A916" s="2"/>
      <c r="B916" s="2"/>
      <c r="C916" s="2"/>
      <c r="D916" s="2"/>
      <c r="E916" s="2"/>
      <c r="F916" s="2"/>
      <c r="G916" s="27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91"/>
      <c r="AC916" s="2"/>
      <c r="AD916" s="2"/>
      <c r="AE916" s="291"/>
      <c r="AF916" s="2"/>
      <c r="AG916" s="2"/>
      <c r="AH916" s="2"/>
      <c r="AI916" s="29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14.25" customHeight="1" x14ac:dyDescent="0.35">
      <c r="A917" s="2"/>
      <c r="B917" s="2"/>
      <c r="C917" s="2"/>
      <c r="D917" s="2"/>
      <c r="E917" s="2"/>
      <c r="F917" s="2"/>
      <c r="G917" s="27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91"/>
      <c r="AC917" s="2"/>
      <c r="AD917" s="2"/>
      <c r="AE917" s="291"/>
      <c r="AF917" s="2"/>
      <c r="AG917" s="2"/>
      <c r="AH917" s="2"/>
      <c r="AI917" s="29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14.25" customHeight="1" x14ac:dyDescent="0.35">
      <c r="A918" s="2"/>
      <c r="B918" s="2"/>
      <c r="C918" s="2"/>
      <c r="D918" s="2"/>
      <c r="E918" s="2"/>
      <c r="F918" s="2"/>
      <c r="G918" s="27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91"/>
      <c r="AC918" s="2"/>
      <c r="AD918" s="2"/>
      <c r="AE918" s="291"/>
      <c r="AF918" s="2"/>
      <c r="AG918" s="2"/>
      <c r="AH918" s="2"/>
      <c r="AI918" s="29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14.25" customHeight="1" x14ac:dyDescent="0.35">
      <c r="A919" s="2"/>
      <c r="B919" s="2"/>
      <c r="C919" s="2"/>
      <c r="D919" s="2"/>
      <c r="E919" s="2"/>
      <c r="F919" s="2"/>
      <c r="G919" s="27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91"/>
      <c r="AC919" s="2"/>
      <c r="AD919" s="2"/>
      <c r="AE919" s="291"/>
      <c r="AF919" s="2"/>
      <c r="AG919" s="2"/>
      <c r="AH919" s="2"/>
      <c r="AI919" s="29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14.25" customHeight="1" x14ac:dyDescent="0.35">
      <c r="A920" s="2"/>
      <c r="B920" s="2"/>
      <c r="C920" s="2"/>
      <c r="D920" s="2"/>
      <c r="E920" s="2"/>
      <c r="F920" s="2"/>
      <c r="G920" s="27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91"/>
      <c r="AC920" s="2"/>
      <c r="AD920" s="2"/>
      <c r="AE920" s="291"/>
      <c r="AF920" s="2"/>
      <c r="AG920" s="2"/>
      <c r="AH920" s="2"/>
      <c r="AI920" s="29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14.25" customHeight="1" x14ac:dyDescent="0.35">
      <c r="A921" s="2"/>
      <c r="B921" s="2"/>
      <c r="C921" s="2"/>
      <c r="D921" s="2"/>
      <c r="E921" s="2"/>
      <c r="F921" s="2"/>
      <c r="G921" s="27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91"/>
      <c r="AC921" s="2"/>
      <c r="AD921" s="2"/>
      <c r="AE921" s="291"/>
      <c r="AF921" s="2"/>
      <c r="AG921" s="2"/>
      <c r="AH921" s="2"/>
      <c r="AI921" s="29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14.25" customHeight="1" x14ac:dyDescent="0.35">
      <c r="A922" s="2"/>
      <c r="B922" s="2"/>
      <c r="C922" s="2"/>
      <c r="D922" s="2"/>
      <c r="E922" s="2"/>
      <c r="F922" s="2"/>
      <c r="G922" s="27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91"/>
      <c r="AC922" s="2"/>
      <c r="AD922" s="2"/>
      <c r="AE922" s="291"/>
      <c r="AF922" s="2"/>
      <c r="AG922" s="2"/>
      <c r="AH922" s="2"/>
      <c r="AI922" s="29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14.25" customHeight="1" x14ac:dyDescent="0.35">
      <c r="A923" s="2"/>
      <c r="B923" s="2"/>
      <c r="C923" s="2"/>
      <c r="D923" s="2"/>
      <c r="E923" s="2"/>
      <c r="F923" s="2"/>
      <c r="G923" s="27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91"/>
      <c r="AC923" s="2"/>
      <c r="AD923" s="2"/>
      <c r="AE923" s="291"/>
      <c r="AF923" s="2"/>
      <c r="AG923" s="2"/>
      <c r="AH923" s="2"/>
      <c r="AI923" s="29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14.25" customHeight="1" x14ac:dyDescent="0.35">
      <c r="A924" s="2"/>
      <c r="B924" s="2"/>
      <c r="C924" s="2"/>
      <c r="D924" s="2"/>
      <c r="E924" s="2"/>
      <c r="F924" s="2"/>
      <c r="G924" s="27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91"/>
      <c r="AC924" s="2"/>
      <c r="AD924" s="2"/>
      <c r="AE924" s="291"/>
      <c r="AF924" s="2"/>
      <c r="AG924" s="2"/>
      <c r="AH924" s="2"/>
      <c r="AI924" s="29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14.25" customHeight="1" x14ac:dyDescent="0.35">
      <c r="A925" s="2"/>
      <c r="B925" s="2"/>
      <c r="C925" s="2"/>
      <c r="D925" s="2"/>
      <c r="E925" s="2"/>
      <c r="F925" s="2"/>
      <c r="G925" s="27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91"/>
      <c r="AC925" s="2"/>
      <c r="AD925" s="2"/>
      <c r="AE925" s="291"/>
      <c r="AF925" s="2"/>
      <c r="AG925" s="2"/>
      <c r="AH925" s="2"/>
      <c r="AI925" s="29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14.25" customHeight="1" x14ac:dyDescent="0.35">
      <c r="A926" s="2"/>
      <c r="B926" s="2"/>
      <c r="C926" s="2"/>
      <c r="D926" s="2"/>
      <c r="E926" s="2"/>
      <c r="F926" s="2"/>
      <c r="G926" s="27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91"/>
      <c r="AC926" s="2"/>
      <c r="AD926" s="2"/>
      <c r="AE926" s="291"/>
      <c r="AF926" s="2"/>
      <c r="AG926" s="2"/>
      <c r="AH926" s="2"/>
      <c r="AI926" s="29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14.25" customHeight="1" x14ac:dyDescent="0.35">
      <c r="A927" s="2"/>
      <c r="B927" s="2"/>
      <c r="C927" s="2"/>
      <c r="D927" s="2"/>
      <c r="E927" s="2"/>
      <c r="F927" s="2"/>
      <c r="G927" s="27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91"/>
      <c r="AC927" s="2"/>
      <c r="AD927" s="2"/>
      <c r="AE927" s="291"/>
      <c r="AF927" s="2"/>
      <c r="AG927" s="2"/>
      <c r="AH927" s="2"/>
      <c r="AI927" s="29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14.25" customHeight="1" x14ac:dyDescent="0.35">
      <c r="A928" s="2"/>
      <c r="B928" s="2"/>
      <c r="C928" s="2"/>
      <c r="D928" s="2"/>
      <c r="E928" s="2"/>
      <c r="F928" s="2"/>
      <c r="G928" s="27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91"/>
      <c r="AC928" s="2"/>
      <c r="AD928" s="2"/>
      <c r="AE928" s="291"/>
      <c r="AF928" s="2"/>
      <c r="AG928" s="2"/>
      <c r="AH928" s="2"/>
      <c r="AI928" s="29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14.25" customHeight="1" x14ac:dyDescent="0.35">
      <c r="A929" s="2"/>
      <c r="B929" s="2"/>
      <c r="C929" s="2"/>
      <c r="D929" s="2"/>
      <c r="E929" s="2"/>
      <c r="F929" s="2"/>
      <c r="G929" s="27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91"/>
      <c r="AC929" s="2"/>
      <c r="AD929" s="2"/>
      <c r="AE929" s="291"/>
      <c r="AF929" s="2"/>
      <c r="AG929" s="2"/>
      <c r="AH929" s="2"/>
      <c r="AI929" s="29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14.25" customHeight="1" x14ac:dyDescent="0.35">
      <c r="A930" s="2"/>
      <c r="B930" s="2"/>
      <c r="C930" s="2"/>
      <c r="D930" s="2"/>
      <c r="E930" s="2"/>
      <c r="F930" s="2"/>
      <c r="G930" s="27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91"/>
      <c r="AC930" s="2"/>
      <c r="AD930" s="2"/>
      <c r="AE930" s="291"/>
      <c r="AF930" s="2"/>
      <c r="AG930" s="2"/>
      <c r="AH930" s="2"/>
      <c r="AI930" s="29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14.25" customHeight="1" x14ac:dyDescent="0.35">
      <c r="A931" s="2"/>
      <c r="B931" s="2"/>
      <c r="C931" s="2"/>
      <c r="D931" s="2"/>
      <c r="E931" s="2"/>
      <c r="F931" s="2"/>
      <c r="G931" s="27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91"/>
      <c r="AC931" s="2"/>
      <c r="AD931" s="2"/>
      <c r="AE931" s="291"/>
      <c r="AF931" s="2"/>
      <c r="AG931" s="2"/>
      <c r="AH931" s="2"/>
      <c r="AI931" s="29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14.25" customHeight="1" x14ac:dyDescent="0.35">
      <c r="A932" s="2"/>
      <c r="B932" s="2"/>
      <c r="C932" s="2"/>
      <c r="D932" s="2"/>
      <c r="E932" s="2"/>
      <c r="F932" s="2"/>
      <c r="G932" s="27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91"/>
      <c r="AC932" s="2"/>
      <c r="AD932" s="2"/>
      <c r="AE932" s="291"/>
      <c r="AF932" s="2"/>
      <c r="AG932" s="2"/>
      <c r="AH932" s="2"/>
      <c r="AI932" s="29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14.25" customHeight="1" x14ac:dyDescent="0.35">
      <c r="A933" s="2"/>
      <c r="B933" s="2"/>
      <c r="C933" s="2"/>
      <c r="D933" s="2"/>
      <c r="E933" s="2"/>
      <c r="F933" s="2"/>
      <c r="G933" s="27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91"/>
      <c r="AC933" s="2"/>
      <c r="AD933" s="2"/>
      <c r="AE933" s="291"/>
      <c r="AF933" s="2"/>
      <c r="AG933" s="2"/>
      <c r="AH933" s="2"/>
      <c r="AI933" s="29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14.25" customHeight="1" x14ac:dyDescent="0.35">
      <c r="A934" s="2"/>
      <c r="B934" s="2"/>
      <c r="C934" s="2"/>
      <c r="D934" s="2"/>
      <c r="E934" s="2"/>
      <c r="F934" s="2"/>
      <c r="G934" s="27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91"/>
      <c r="AC934" s="2"/>
      <c r="AD934" s="2"/>
      <c r="AE934" s="291"/>
      <c r="AF934" s="2"/>
      <c r="AG934" s="2"/>
      <c r="AH934" s="2"/>
      <c r="AI934" s="29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14.25" customHeight="1" x14ac:dyDescent="0.35">
      <c r="A935" s="2"/>
      <c r="B935" s="2"/>
      <c r="C935" s="2"/>
      <c r="D935" s="2"/>
      <c r="E935" s="2"/>
      <c r="F935" s="2"/>
      <c r="G935" s="27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91"/>
      <c r="AC935" s="2"/>
      <c r="AD935" s="2"/>
      <c r="AE935" s="291"/>
      <c r="AF935" s="2"/>
      <c r="AG935" s="2"/>
      <c r="AH935" s="2"/>
      <c r="AI935" s="29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14.25" customHeight="1" x14ac:dyDescent="0.35">
      <c r="A936" s="2"/>
      <c r="B936" s="2"/>
      <c r="C936" s="2"/>
      <c r="D936" s="2"/>
      <c r="E936" s="2"/>
      <c r="F936" s="2"/>
      <c r="G936" s="27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91"/>
      <c r="AC936" s="2"/>
      <c r="AD936" s="2"/>
      <c r="AE936" s="291"/>
      <c r="AF936" s="2"/>
      <c r="AG936" s="2"/>
      <c r="AH936" s="2"/>
      <c r="AI936" s="29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14.25" customHeight="1" x14ac:dyDescent="0.35">
      <c r="A937" s="2"/>
      <c r="B937" s="2"/>
      <c r="C937" s="2"/>
      <c r="D937" s="2"/>
      <c r="E937" s="2"/>
      <c r="F937" s="2"/>
      <c r="G937" s="27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91"/>
      <c r="AC937" s="2"/>
      <c r="AD937" s="2"/>
      <c r="AE937" s="291"/>
      <c r="AF937" s="2"/>
      <c r="AG937" s="2"/>
      <c r="AH937" s="2"/>
      <c r="AI937" s="29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14.25" customHeight="1" x14ac:dyDescent="0.35">
      <c r="A938" s="2"/>
      <c r="B938" s="2"/>
      <c r="C938" s="2"/>
      <c r="D938" s="2"/>
      <c r="E938" s="2"/>
      <c r="F938" s="2"/>
      <c r="G938" s="27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91"/>
      <c r="AC938" s="2"/>
      <c r="AD938" s="2"/>
      <c r="AE938" s="291"/>
      <c r="AF938" s="2"/>
      <c r="AG938" s="2"/>
      <c r="AH938" s="2"/>
      <c r="AI938" s="29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14.25" customHeight="1" x14ac:dyDescent="0.35">
      <c r="A939" s="2"/>
      <c r="B939" s="2"/>
      <c r="C939" s="2"/>
      <c r="D939" s="2"/>
      <c r="E939" s="2"/>
      <c r="F939" s="2"/>
      <c r="G939" s="27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91"/>
      <c r="AC939" s="2"/>
      <c r="AD939" s="2"/>
      <c r="AE939" s="291"/>
      <c r="AF939" s="2"/>
      <c r="AG939" s="2"/>
      <c r="AH939" s="2"/>
      <c r="AI939" s="29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14.25" customHeight="1" x14ac:dyDescent="0.35">
      <c r="A940" s="2"/>
      <c r="B940" s="2"/>
      <c r="C940" s="2"/>
      <c r="D940" s="2"/>
      <c r="E940" s="2"/>
      <c r="F940" s="2"/>
      <c r="G940" s="27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91"/>
      <c r="AC940" s="2"/>
      <c r="AD940" s="2"/>
      <c r="AE940" s="291"/>
      <c r="AF940" s="2"/>
      <c r="AG940" s="2"/>
      <c r="AH940" s="2"/>
      <c r="AI940" s="29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14.25" customHeight="1" x14ac:dyDescent="0.35">
      <c r="A941" s="2"/>
      <c r="B941" s="2"/>
      <c r="C941" s="2"/>
      <c r="D941" s="2"/>
      <c r="E941" s="2"/>
      <c r="F941" s="2"/>
      <c r="G941" s="27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91"/>
      <c r="AC941" s="2"/>
      <c r="AD941" s="2"/>
      <c r="AE941" s="291"/>
      <c r="AF941" s="2"/>
      <c r="AG941" s="2"/>
      <c r="AH941" s="2"/>
      <c r="AI941" s="29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14.25" customHeight="1" x14ac:dyDescent="0.35">
      <c r="A942" s="2"/>
      <c r="B942" s="2"/>
      <c r="C942" s="2"/>
      <c r="D942" s="2"/>
      <c r="E942" s="2"/>
      <c r="F942" s="2"/>
      <c r="G942" s="27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91"/>
      <c r="AC942" s="2"/>
      <c r="AD942" s="2"/>
      <c r="AE942" s="291"/>
      <c r="AF942" s="2"/>
      <c r="AG942" s="2"/>
      <c r="AH942" s="2"/>
      <c r="AI942" s="29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14.25" customHeight="1" x14ac:dyDescent="0.35">
      <c r="A943" s="2"/>
      <c r="B943" s="2"/>
      <c r="C943" s="2"/>
      <c r="D943" s="2"/>
      <c r="E943" s="2"/>
      <c r="F943" s="2"/>
      <c r="G943" s="27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91"/>
      <c r="AC943" s="2"/>
      <c r="AD943" s="2"/>
      <c r="AE943" s="291"/>
      <c r="AF943" s="2"/>
      <c r="AG943" s="2"/>
      <c r="AH943" s="2"/>
      <c r="AI943" s="29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14.25" customHeight="1" x14ac:dyDescent="0.35">
      <c r="A944" s="2"/>
      <c r="B944" s="2"/>
      <c r="C944" s="2"/>
      <c r="D944" s="2"/>
      <c r="E944" s="2"/>
      <c r="F944" s="2"/>
      <c r="G944" s="27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91"/>
      <c r="AC944" s="2"/>
      <c r="AD944" s="2"/>
      <c r="AE944" s="291"/>
      <c r="AF944" s="2"/>
      <c r="AG944" s="2"/>
      <c r="AH944" s="2"/>
      <c r="AI944" s="29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14.25" customHeight="1" x14ac:dyDescent="0.35">
      <c r="A945" s="2"/>
      <c r="B945" s="2"/>
      <c r="C945" s="2"/>
      <c r="D945" s="2"/>
      <c r="E945" s="2"/>
      <c r="F945" s="2"/>
      <c r="G945" s="27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91"/>
      <c r="AC945" s="2"/>
      <c r="AD945" s="2"/>
      <c r="AE945" s="291"/>
      <c r="AF945" s="2"/>
      <c r="AG945" s="2"/>
      <c r="AH945" s="2"/>
      <c r="AI945" s="29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14.25" customHeight="1" x14ac:dyDescent="0.35">
      <c r="A946" s="2"/>
      <c r="B946" s="2"/>
      <c r="C946" s="2"/>
      <c r="D946" s="2"/>
      <c r="E946" s="2"/>
      <c r="F946" s="2"/>
      <c r="G946" s="27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91"/>
      <c r="AC946" s="2"/>
      <c r="AD946" s="2"/>
      <c r="AE946" s="291"/>
      <c r="AF946" s="2"/>
      <c r="AG946" s="2"/>
      <c r="AH946" s="2"/>
      <c r="AI946" s="29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14.25" customHeight="1" x14ac:dyDescent="0.35">
      <c r="A947" s="2"/>
      <c r="B947" s="2"/>
      <c r="C947" s="2"/>
      <c r="D947" s="2"/>
      <c r="E947" s="2"/>
      <c r="F947" s="2"/>
      <c r="G947" s="27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91"/>
      <c r="AC947" s="2"/>
      <c r="AD947" s="2"/>
      <c r="AE947" s="291"/>
      <c r="AF947" s="2"/>
      <c r="AG947" s="2"/>
      <c r="AH947" s="2"/>
      <c r="AI947" s="29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14.25" customHeight="1" x14ac:dyDescent="0.35">
      <c r="A948" s="2"/>
      <c r="B948" s="2"/>
      <c r="C948" s="2"/>
      <c r="D948" s="2"/>
      <c r="E948" s="2"/>
      <c r="F948" s="2"/>
      <c r="G948" s="27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91"/>
      <c r="AC948" s="2"/>
      <c r="AD948" s="2"/>
      <c r="AE948" s="291"/>
      <c r="AF948" s="2"/>
      <c r="AG948" s="2"/>
      <c r="AH948" s="2"/>
      <c r="AI948" s="29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14.25" customHeight="1" x14ac:dyDescent="0.35">
      <c r="A949" s="2"/>
      <c r="B949" s="2"/>
      <c r="C949" s="2"/>
      <c r="D949" s="2"/>
      <c r="E949" s="2"/>
      <c r="F949" s="2"/>
      <c r="G949" s="27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91"/>
      <c r="AC949" s="2"/>
      <c r="AD949" s="2"/>
      <c r="AE949" s="291"/>
      <c r="AF949" s="2"/>
      <c r="AG949" s="2"/>
      <c r="AH949" s="2"/>
      <c r="AI949" s="29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14.25" customHeight="1" x14ac:dyDescent="0.35">
      <c r="A950" s="2"/>
      <c r="B950" s="2"/>
      <c r="C950" s="2"/>
      <c r="D950" s="2"/>
      <c r="E950" s="2"/>
      <c r="F950" s="2"/>
      <c r="G950" s="27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91"/>
      <c r="AC950" s="2"/>
      <c r="AD950" s="2"/>
      <c r="AE950" s="291"/>
      <c r="AF950" s="2"/>
      <c r="AG950" s="2"/>
      <c r="AH950" s="2"/>
      <c r="AI950" s="29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14.25" customHeight="1" x14ac:dyDescent="0.35">
      <c r="A951" s="2"/>
      <c r="B951" s="2"/>
      <c r="C951" s="2"/>
      <c r="D951" s="2"/>
      <c r="E951" s="2"/>
      <c r="F951" s="2"/>
      <c r="G951" s="27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91"/>
      <c r="AC951" s="2"/>
      <c r="AD951" s="2"/>
      <c r="AE951" s="291"/>
      <c r="AF951" s="2"/>
      <c r="AG951" s="2"/>
      <c r="AH951" s="2"/>
      <c r="AI951" s="29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14.25" customHeight="1" x14ac:dyDescent="0.35">
      <c r="A952" s="2"/>
      <c r="B952" s="2"/>
      <c r="C952" s="2"/>
      <c r="D952" s="2"/>
      <c r="E952" s="2"/>
      <c r="F952" s="2"/>
      <c r="G952" s="27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91"/>
      <c r="AC952" s="2"/>
      <c r="AD952" s="2"/>
      <c r="AE952" s="291"/>
      <c r="AF952" s="2"/>
      <c r="AG952" s="2"/>
      <c r="AH952" s="2"/>
      <c r="AI952" s="29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14.25" customHeight="1" x14ac:dyDescent="0.35">
      <c r="A953" s="2"/>
      <c r="B953" s="2"/>
      <c r="C953" s="2"/>
      <c r="D953" s="2"/>
      <c r="E953" s="2"/>
      <c r="F953" s="2"/>
      <c r="G953" s="27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91"/>
      <c r="AC953" s="2"/>
      <c r="AD953" s="2"/>
      <c r="AE953" s="291"/>
      <c r="AF953" s="2"/>
      <c r="AG953" s="2"/>
      <c r="AH953" s="2"/>
      <c r="AI953" s="29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14.25" customHeight="1" x14ac:dyDescent="0.35">
      <c r="A954" s="2"/>
      <c r="B954" s="2"/>
      <c r="C954" s="2"/>
      <c r="D954" s="2"/>
      <c r="E954" s="2"/>
      <c r="F954" s="2"/>
      <c r="G954" s="27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91"/>
      <c r="AC954" s="2"/>
      <c r="AD954" s="2"/>
      <c r="AE954" s="291"/>
      <c r="AF954" s="2"/>
      <c r="AG954" s="2"/>
      <c r="AH954" s="2"/>
      <c r="AI954" s="29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14.25" customHeight="1" x14ac:dyDescent="0.35">
      <c r="A955" s="2"/>
      <c r="B955" s="2"/>
      <c r="C955" s="2"/>
      <c r="D955" s="2"/>
      <c r="E955" s="2"/>
      <c r="F955" s="2"/>
      <c r="G955" s="27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91"/>
      <c r="AC955" s="2"/>
      <c r="AD955" s="2"/>
      <c r="AE955" s="291"/>
      <c r="AF955" s="2"/>
      <c r="AG955" s="2"/>
      <c r="AH955" s="2"/>
      <c r="AI955" s="29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14.25" customHeight="1" x14ac:dyDescent="0.35">
      <c r="A956" s="2"/>
      <c r="B956" s="2"/>
      <c r="C956" s="2"/>
      <c r="D956" s="2"/>
      <c r="E956" s="2"/>
      <c r="F956" s="2"/>
      <c r="G956" s="27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91"/>
      <c r="AC956" s="2"/>
      <c r="AD956" s="2"/>
      <c r="AE956" s="291"/>
      <c r="AF956" s="2"/>
      <c r="AG956" s="2"/>
      <c r="AH956" s="2"/>
      <c r="AI956" s="29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14.25" customHeight="1" x14ac:dyDescent="0.35">
      <c r="A957" s="2"/>
      <c r="B957" s="2"/>
      <c r="C957" s="2"/>
      <c r="D957" s="2"/>
      <c r="E957" s="2"/>
      <c r="F957" s="2"/>
      <c r="G957" s="27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91"/>
      <c r="AC957" s="2"/>
      <c r="AD957" s="2"/>
      <c r="AE957" s="291"/>
      <c r="AF957" s="2"/>
      <c r="AG957" s="2"/>
      <c r="AH957" s="2"/>
      <c r="AI957" s="29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14.25" customHeight="1" x14ac:dyDescent="0.35">
      <c r="A958" s="2"/>
      <c r="B958" s="2"/>
      <c r="C958" s="2"/>
      <c r="D958" s="2"/>
      <c r="E958" s="2"/>
      <c r="F958" s="2"/>
      <c r="G958" s="27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91"/>
      <c r="AC958" s="2"/>
      <c r="AD958" s="2"/>
      <c r="AE958" s="291"/>
      <c r="AF958" s="2"/>
      <c r="AG958" s="2"/>
      <c r="AH958" s="2"/>
      <c r="AI958" s="29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14.25" customHeight="1" x14ac:dyDescent="0.35">
      <c r="A959" s="2"/>
      <c r="B959" s="2"/>
      <c r="C959" s="2"/>
      <c r="D959" s="2"/>
      <c r="E959" s="2"/>
      <c r="F959" s="2"/>
      <c r="G959" s="27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91"/>
      <c r="AC959" s="2"/>
      <c r="AD959" s="2"/>
      <c r="AE959" s="291"/>
      <c r="AF959" s="2"/>
      <c r="AG959" s="2"/>
      <c r="AH959" s="2"/>
      <c r="AI959" s="29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14.25" customHeight="1" x14ac:dyDescent="0.35">
      <c r="A960" s="2"/>
      <c r="B960" s="2"/>
      <c r="C960" s="2"/>
      <c r="D960" s="2"/>
      <c r="E960" s="2"/>
      <c r="F960" s="2"/>
      <c r="G960" s="27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91"/>
      <c r="AC960" s="2"/>
      <c r="AD960" s="2"/>
      <c r="AE960" s="291"/>
      <c r="AF960" s="2"/>
      <c r="AG960" s="2"/>
      <c r="AH960" s="2"/>
      <c r="AI960" s="29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14.25" customHeight="1" x14ac:dyDescent="0.35">
      <c r="A961" s="2"/>
      <c r="B961" s="2"/>
      <c r="C961" s="2"/>
      <c r="D961" s="2"/>
      <c r="E961" s="2"/>
      <c r="F961" s="2"/>
      <c r="G961" s="27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91"/>
      <c r="AC961" s="2"/>
      <c r="AD961" s="2"/>
      <c r="AE961" s="291"/>
      <c r="AF961" s="2"/>
      <c r="AG961" s="2"/>
      <c r="AH961" s="2"/>
      <c r="AI961" s="29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14.25" customHeight="1" x14ac:dyDescent="0.35">
      <c r="A962" s="2"/>
      <c r="B962" s="2"/>
      <c r="C962" s="2"/>
      <c r="D962" s="2"/>
      <c r="E962" s="2"/>
      <c r="F962" s="2"/>
      <c r="G962" s="27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91"/>
      <c r="AC962" s="2"/>
      <c r="AD962" s="2"/>
      <c r="AE962" s="291"/>
      <c r="AF962" s="2"/>
      <c r="AG962" s="2"/>
      <c r="AH962" s="2"/>
      <c r="AI962" s="29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14.25" customHeight="1" x14ac:dyDescent="0.35">
      <c r="A963" s="2"/>
      <c r="B963" s="2"/>
      <c r="C963" s="2"/>
      <c r="D963" s="2"/>
      <c r="E963" s="2"/>
      <c r="F963" s="2"/>
      <c r="G963" s="27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91"/>
      <c r="AC963" s="2"/>
      <c r="AD963" s="2"/>
      <c r="AE963" s="291"/>
      <c r="AF963" s="2"/>
      <c r="AG963" s="2"/>
      <c r="AH963" s="2"/>
      <c r="AI963" s="29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14.25" customHeight="1" x14ac:dyDescent="0.35">
      <c r="A964" s="2"/>
      <c r="B964" s="2"/>
      <c r="C964" s="2"/>
      <c r="D964" s="2"/>
      <c r="E964" s="2"/>
      <c r="F964" s="2"/>
      <c r="G964" s="27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91"/>
      <c r="AC964" s="2"/>
      <c r="AD964" s="2"/>
      <c r="AE964" s="291"/>
      <c r="AF964" s="2"/>
      <c r="AG964" s="2"/>
      <c r="AH964" s="2"/>
      <c r="AI964" s="29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14.25" customHeight="1" x14ac:dyDescent="0.35">
      <c r="A965" s="2"/>
      <c r="B965" s="2"/>
      <c r="C965" s="2"/>
      <c r="D965" s="2"/>
      <c r="E965" s="2"/>
      <c r="F965" s="2"/>
      <c r="G965" s="27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91"/>
      <c r="AC965" s="2"/>
      <c r="AD965" s="2"/>
      <c r="AE965" s="291"/>
      <c r="AF965" s="2"/>
      <c r="AG965" s="2"/>
      <c r="AH965" s="2"/>
      <c r="AI965" s="29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14.25" customHeight="1" x14ac:dyDescent="0.35">
      <c r="A966" s="2"/>
      <c r="B966" s="2"/>
      <c r="C966" s="2"/>
      <c r="D966" s="2"/>
      <c r="E966" s="2"/>
      <c r="F966" s="2"/>
      <c r="G966" s="27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91"/>
      <c r="AC966" s="2"/>
      <c r="AD966" s="2"/>
      <c r="AE966" s="291"/>
      <c r="AF966" s="2"/>
      <c r="AG966" s="2"/>
      <c r="AH966" s="2"/>
      <c r="AI966" s="29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14.25" customHeight="1" x14ac:dyDescent="0.35">
      <c r="A967" s="2"/>
      <c r="B967" s="2"/>
      <c r="C967" s="2"/>
      <c r="D967" s="2"/>
      <c r="E967" s="2"/>
      <c r="F967" s="2"/>
      <c r="G967" s="27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91"/>
      <c r="AC967" s="2"/>
      <c r="AD967" s="2"/>
      <c r="AE967" s="291"/>
      <c r="AF967" s="2"/>
      <c r="AG967" s="2"/>
      <c r="AH967" s="2"/>
      <c r="AI967" s="29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14.25" customHeight="1" x14ac:dyDescent="0.35">
      <c r="A968" s="2"/>
      <c r="B968" s="2"/>
      <c r="C968" s="2"/>
      <c r="D968" s="2"/>
      <c r="E968" s="2"/>
      <c r="F968" s="2"/>
      <c r="G968" s="27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91"/>
      <c r="AC968" s="2"/>
      <c r="AD968" s="2"/>
      <c r="AE968" s="291"/>
      <c r="AF968" s="2"/>
      <c r="AG968" s="2"/>
      <c r="AH968" s="2"/>
      <c r="AI968" s="29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14.25" customHeight="1" x14ac:dyDescent="0.35">
      <c r="A969" s="2"/>
      <c r="B969" s="2"/>
      <c r="C969" s="2"/>
      <c r="D969" s="2"/>
      <c r="E969" s="2"/>
      <c r="F969" s="2"/>
      <c r="G969" s="27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91"/>
      <c r="AC969" s="2"/>
      <c r="AD969" s="2"/>
      <c r="AE969" s="291"/>
      <c r="AF969" s="2"/>
      <c r="AG969" s="2"/>
      <c r="AH969" s="2"/>
      <c r="AI969" s="29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14.25" customHeight="1" x14ac:dyDescent="0.35">
      <c r="A970" s="2"/>
      <c r="B970" s="2"/>
      <c r="C970" s="2"/>
      <c r="D970" s="2"/>
      <c r="E970" s="2"/>
      <c r="F970" s="2"/>
      <c r="G970" s="27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91"/>
      <c r="AC970" s="2"/>
      <c r="AD970" s="2"/>
      <c r="AE970" s="291"/>
      <c r="AF970" s="2"/>
      <c r="AG970" s="2"/>
      <c r="AH970" s="2"/>
      <c r="AI970" s="29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14.25" customHeight="1" x14ac:dyDescent="0.35">
      <c r="A971" s="2"/>
      <c r="B971" s="2"/>
      <c r="C971" s="2"/>
      <c r="D971" s="2"/>
      <c r="E971" s="2"/>
      <c r="F971" s="2"/>
      <c r="G971" s="27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91"/>
      <c r="AC971" s="2"/>
      <c r="AD971" s="2"/>
      <c r="AE971" s="291"/>
      <c r="AF971" s="2"/>
      <c r="AG971" s="2"/>
      <c r="AH971" s="2"/>
      <c r="AI971" s="29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14.25" customHeight="1" x14ac:dyDescent="0.35">
      <c r="A972" s="2"/>
      <c r="B972" s="2"/>
      <c r="C972" s="2"/>
      <c r="D972" s="2"/>
      <c r="E972" s="2"/>
      <c r="F972" s="2"/>
      <c r="G972" s="27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91"/>
      <c r="AC972" s="2"/>
      <c r="AD972" s="2"/>
      <c r="AE972" s="291"/>
      <c r="AF972" s="2"/>
      <c r="AG972" s="2"/>
      <c r="AH972" s="2"/>
      <c r="AI972" s="29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14.25" customHeight="1" x14ac:dyDescent="0.35">
      <c r="A973" s="2"/>
      <c r="B973" s="2"/>
      <c r="C973" s="2"/>
      <c r="D973" s="2"/>
      <c r="E973" s="2"/>
      <c r="F973" s="2"/>
      <c r="G973" s="27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91"/>
      <c r="AC973" s="2"/>
      <c r="AD973" s="2"/>
      <c r="AE973" s="291"/>
      <c r="AF973" s="2"/>
      <c r="AG973" s="2"/>
      <c r="AH973" s="2"/>
      <c r="AI973" s="29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14.25" customHeight="1" x14ac:dyDescent="0.35">
      <c r="A974" s="2"/>
      <c r="B974" s="2"/>
      <c r="C974" s="2"/>
      <c r="D974" s="2"/>
      <c r="E974" s="2"/>
      <c r="F974" s="2"/>
      <c r="G974" s="27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91"/>
      <c r="AC974" s="2"/>
      <c r="AD974" s="2"/>
      <c r="AE974" s="291"/>
      <c r="AF974" s="2"/>
      <c r="AG974" s="2"/>
      <c r="AH974" s="2"/>
      <c r="AI974" s="29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14.25" customHeight="1" x14ac:dyDescent="0.35">
      <c r="A975" s="2"/>
      <c r="B975" s="2"/>
      <c r="C975" s="2"/>
      <c r="D975" s="2"/>
      <c r="E975" s="2"/>
      <c r="F975" s="2"/>
      <c r="G975" s="27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91"/>
      <c r="AC975" s="2"/>
      <c r="AD975" s="2"/>
      <c r="AE975" s="291"/>
      <c r="AF975" s="2"/>
      <c r="AG975" s="2"/>
      <c r="AH975" s="2"/>
      <c r="AI975" s="29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14.25" customHeight="1" x14ac:dyDescent="0.35">
      <c r="A976" s="2"/>
      <c r="B976" s="2"/>
      <c r="C976" s="2"/>
      <c r="D976" s="2"/>
      <c r="E976" s="2"/>
      <c r="F976" s="2"/>
      <c r="G976" s="27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91"/>
      <c r="AC976" s="2"/>
      <c r="AD976" s="2"/>
      <c r="AE976" s="291"/>
      <c r="AF976" s="2"/>
      <c r="AG976" s="2"/>
      <c r="AH976" s="2"/>
      <c r="AI976" s="29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14.25" customHeight="1" x14ac:dyDescent="0.35">
      <c r="A977" s="2"/>
      <c r="B977" s="2"/>
      <c r="C977" s="2"/>
      <c r="D977" s="2"/>
      <c r="E977" s="2"/>
      <c r="F977" s="2"/>
      <c r="G977" s="27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91"/>
      <c r="AC977" s="2"/>
      <c r="AD977" s="2"/>
      <c r="AE977" s="291"/>
      <c r="AF977" s="2"/>
      <c r="AG977" s="2"/>
      <c r="AH977" s="2"/>
      <c r="AI977" s="29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14.25" customHeight="1" x14ac:dyDescent="0.35">
      <c r="A978" s="2"/>
      <c r="B978" s="2"/>
      <c r="C978" s="2"/>
      <c r="D978" s="2"/>
      <c r="E978" s="2"/>
      <c r="F978" s="2"/>
      <c r="G978" s="27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91"/>
      <c r="AC978" s="2"/>
      <c r="AD978" s="2"/>
      <c r="AE978" s="291"/>
      <c r="AF978" s="2"/>
      <c r="AG978" s="2"/>
      <c r="AH978" s="2"/>
      <c r="AI978" s="29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14.25" customHeight="1" x14ac:dyDescent="0.35">
      <c r="A979" s="2"/>
      <c r="B979" s="2"/>
      <c r="C979" s="2"/>
      <c r="D979" s="2"/>
      <c r="E979" s="2"/>
      <c r="F979" s="2"/>
      <c r="G979" s="27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91"/>
      <c r="AC979" s="2"/>
      <c r="AD979" s="2"/>
      <c r="AE979" s="291"/>
      <c r="AF979" s="2"/>
      <c r="AG979" s="2"/>
      <c r="AH979" s="2"/>
      <c r="AI979" s="29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14.25" customHeight="1" x14ac:dyDescent="0.35">
      <c r="A980" s="2"/>
      <c r="B980" s="2"/>
      <c r="C980" s="2"/>
      <c r="D980" s="2"/>
      <c r="E980" s="2"/>
      <c r="F980" s="2"/>
      <c r="G980" s="27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91"/>
      <c r="AC980" s="2"/>
      <c r="AD980" s="2"/>
      <c r="AE980" s="291"/>
      <c r="AF980" s="2"/>
      <c r="AG980" s="2"/>
      <c r="AH980" s="2"/>
      <c r="AI980" s="29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14.25" customHeight="1" x14ac:dyDescent="0.35">
      <c r="A981" s="2"/>
      <c r="B981" s="2"/>
      <c r="C981" s="2"/>
      <c r="D981" s="2"/>
      <c r="E981" s="2"/>
      <c r="F981" s="2"/>
      <c r="G981" s="27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91"/>
      <c r="AC981" s="2"/>
      <c r="AD981" s="2"/>
      <c r="AE981" s="291"/>
      <c r="AF981" s="2"/>
      <c r="AG981" s="2"/>
      <c r="AH981" s="2"/>
      <c r="AI981" s="29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14.25" customHeight="1" x14ac:dyDescent="0.35">
      <c r="A982" s="2"/>
      <c r="B982" s="2"/>
      <c r="C982" s="2"/>
      <c r="D982" s="2"/>
      <c r="E982" s="2"/>
      <c r="F982" s="2"/>
      <c r="G982" s="27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91"/>
      <c r="AC982" s="2"/>
      <c r="AD982" s="2"/>
      <c r="AE982" s="291"/>
      <c r="AF982" s="2"/>
      <c r="AG982" s="2"/>
      <c r="AH982" s="2"/>
      <c r="AI982" s="29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14.25" customHeight="1" x14ac:dyDescent="0.35">
      <c r="A983" s="2"/>
      <c r="B983" s="2"/>
      <c r="C983" s="2"/>
      <c r="D983" s="2"/>
      <c r="E983" s="2"/>
      <c r="F983" s="2"/>
      <c r="G983" s="27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91"/>
      <c r="AC983" s="2"/>
      <c r="AD983" s="2"/>
      <c r="AE983" s="291"/>
      <c r="AF983" s="2"/>
      <c r="AG983" s="2"/>
      <c r="AH983" s="2"/>
      <c r="AI983" s="29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14.25" customHeight="1" x14ac:dyDescent="0.35">
      <c r="A984" s="2"/>
      <c r="B984" s="2"/>
      <c r="C984" s="2"/>
      <c r="D984" s="2"/>
      <c r="E984" s="2"/>
      <c r="F984" s="2"/>
      <c r="G984" s="27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91"/>
      <c r="AC984" s="2"/>
      <c r="AD984" s="2"/>
      <c r="AE984" s="291"/>
      <c r="AF984" s="2"/>
      <c r="AG984" s="2"/>
      <c r="AH984" s="2"/>
      <c r="AI984" s="29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14.25" customHeight="1" x14ac:dyDescent="0.35">
      <c r="A985" s="2"/>
      <c r="B985" s="2"/>
      <c r="C985" s="2"/>
      <c r="D985" s="2"/>
      <c r="E985" s="2"/>
      <c r="F985" s="2"/>
      <c r="G985" s="27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91"/>
      <c r="AC985" s="2"/>
      <c r="AD985" s="2"/>
      <c r="AE985" s="291"/>
      <c r="AF985" s="2"/>
      <c r="AG985" s="2"/>
      <c r="AH985" s="2"/>
      <c r="AI985" s="29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14.25" customHeight="1" x14ac:dyDescent="0.35">
      <c r="A986" s="2"/>
      <c r="B986" s="2"/>
      <c r="C986" s="2"/>
      <c r="D986" s="2"/>
      <c r="E986" s="2"/>
      <c r="F986" s="2"/>
      <c r="G986" s="27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91"/>
      <c r="AC986" s="2"/>
      <c r="AD986" s="2"/>
      <c r="AE986" s="291"/>
      <c r="AF986" s="2"/>
      <c r="AG986" s="2"/>
      <c r="AH986" s="2"/>
      <c r="AI986" s="29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14.25" customHeight="1" x14ac:dyDescent="0.35">
      <c r="A987" s="2"/>
      <c r="B987" s="2"/>
      <c r="C987" s="2"/>
      <c r="D987" s="2"/>
      <c r="E987" s="2"/>
      <c r="F987" s="2"/>
      <c r="G987" s="27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91"/>
      <c r="AC987" s="2"/>
      <c r="AD987" s="2"/>
      <c r="AE987" s="291"/>
      <c r="AF987" s="2"/>
      <c r="AG987" s="2"/>
      <c r="AH987" s="2"/>
      <c r="AI987" s="29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14.25" customHeight="1" x14ac:dyDescent="0.35">
      <c r="A988" s="2"/>
      <c r="B988" s="2"/>
      <c r="C988" s="2"/>
      <c r="D988" s="2"/>
      <c r="E988" s="2"/>
      <c r="F988" s="2"/>
      <c r="G988" s="27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91"/>
      <c r="AC988" s="2"/>
      <c r="AD988" s="2"/>
      <c r="AE988" s="291"/>
      <c r="AF988" s="2"/>
      <c r="AG988" s="2"/>
      <c r="AH988" s="2"/>
      <c r="AI988" s="29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14.25" customHeight="1" x14ac:dyDescent="0.35">
      <c r="A989" s="2"/>
      <c r="B989" s="2"/>
      <c r="C989" s="2"/>
      <c r="D989" s="2"/>
      <c r="E989" s="2"/>
      <c r="F989" s="2"/>
      <c r="G989" s="27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91"/>
      <c r="AC989" s="2"/>
      <c r="AD989" s="2"/>
      <c r="AE989" s="291"/>
      <c r="AF989" s="2"/>
      <c r="AG989" s="2"/>
      <c r="AH989" s="2"/>
      <c r="AI989" s="29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14.25" customHeight="1" x14ac:dyDescent="0.35">
      <c r="A990" s="2"/>
      <c r="B990" s="2"/>
      <c r="C990" s="2"/>
      <c r="D990" s="2"/>
      <c r="E990" s="2"/>
      <c r="F990" s="2"/>
      <c r="G990" s="276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91"/>
      <c r="AC990" s="2"/>
      <c r="AD990" s="2"/>
      <c r="AE990" s="291"/>
      <c r="AF990" s="2"/>
      <c r="AG990" s="2"/>
      <c r="AH990" s="2"/>
      <c r="AI990" s="29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14.25" customHeight="1" x14ac:dyDescent="0.35">
      <c r="A991" s="2"/>
      <c r="B991" s="2"/>
      <c r="C991" s="2"/>
      <c r="D991" s="2"/>
      <c r="E991" s="2"/>
      <c r="F991" s="2"/>
      <c r="G991" s="27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91"/>
      <c r="AC991" s="2"/>
      <c r="AD991" s="2"/>
      <c r="AE991" s="291"/>
      <c r="AF991" s="2"/>
      <c r="AG991" s="2"/>
      <c r="AH991" s="2"/>
      <c r="AI991" s="29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14.25" customHeight="1" x14ac:dyDescent="0.35">
      <c r="A992" s="2"/>
      <c r="B992" s="2"/>
      <c r="C992" s="2"/>
      <c r="D992" s="2"/>
      <c r="E992" s="2"/>
      <c r="F992" s="2"/>
      <c r="G992" s="276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91"/>
      <c r="AC992" s="2"/>
      <c r="AD992" s="2"/>
      <c r="AE992" s="291"/>
      <c r="AF992" s="2"/>
      <c r="AG992" s="2"/>
      <c r="AH992" s="2"/>
      <c r="AI992" s="29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14.25" customHeight="1" x14ac:dyDescent="0.35">
      <c r="A993" s="2"/>
      <c r="B993" s="2"/>
      <c r="C993" s="2"/>
      <c r="D993" s="2"/>
      <c r="E993" s="2"/>
      <c r="F993" s="2"/>
      <c r="G993" s="276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91"/>
      <c r="AC993" s="2"/>
      <c r="AD993" s="2"/>
      <c r="AE993" s="291"/>
      <c r="AF993" s="2"/>
      <c r="AG993" s="2"/>
      <c r="AH993" s="2"/>
      <c r="AI993" s="29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14.25" customHeight="1" x14ac:dyDescent="0.35">
      <c r="A994" s="2"/>
      <c r="B994" s="2"/>
      <c r="C994" s="2"/>
      <c r="D994" s="2"/>
      <c r="E994" s="2"/>
      <c r="F994" s="2"/>
      <c r="G994" s="27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91"/>
      <c r="AC994" s="2"/>
      <c r="AD994" s="2"/>
      <c r="AE994" s="291"/>
      <c r="AF994" s="2"/>
      <c r="AG994" s="2"/>
      <c r="AH994" s="2"/>
      <c r="AI994" s="29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14.25" customHeight="1" x14ac:dyDescent="0.35">
      <c r="A995" s="2"/>
      <c r="B995" s="2"/>
      <c r="C995" s="2"/>
      <c r="D995" s="2"/>
      <c r="E995" s="2"/>
      <c r="F995" s="2"/>
      <c r="G995" s="276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91"/>
      <c r="AC995" s="2"/>
      <c r="AD995" s="2"/>
      <c r="AE995" s="291"/>
      <c r="AF995" s="2"/>
      <c r="AG995" s="2"/>
      <c r="AH995" s="2"/>
      <c r="AI995" s="29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14.25" customHeight="1" x14ac:dyDescent="0.35">
      <c r="A996" s="2"/>
      <c r="B996" s="2"/>
      <c r="C996" s="2"/>
      <c r="D996" s="2"/>
      <c r="E996" s="2"/>
      <c r="F996" s="2"/>
      <c r="G996" s="276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91"/>
      <c r="AC996" s="2"/>
      <c r="AD996" s="2"/>
      <c r="AE996" s="291"/>
      <c r="AF996" s="2"/>
      <c r="AG996" s="2"/>
      <c r="AH996" s="2"/>
      <c r="AI996" s="29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14.25" customHeight="1" x14ac:dyDescent="0.35">
      <c r="A997" s="2"/>
      <c r="B997" s="2"/>
      <c r="C997" s="2"/>
      <c r="D997" s="2"/>
      <c r="E997" s="2"/>
      <c r="F997" s="2"/>
      <c r="G997" s="276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91"/>
      <c r="AC997" s="2"/>
      <c r="AD997" s="2"/>
      <c r="AE997" s="291"/>
      <c r="AF997" s="2"/>
      <c r="AG997" s="2"/>
      <c r="AH997" s="2"/>
      <c r="AI997" s="29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14.25" customHeight="1" x14ac:dyDescent="0.35">
      <c r="A998" s="2"/>
      <c r="B998" s="2"/>
      <c r="C998" s="2"/>
      <c r="D998" s="2"/>
      <c r="E998" s="2"/>
      <c r="F998" s="2"/>
      <c r="G998" s="276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91"/>
      <c r="AC998" s="2"/>
      <c r="AD998" s="2"/>
      <c r="AE998" s="291"/>
      <c r="AF998" s="2"/>
      <c r="AG998" s="2"/>
      <c r="AH998" s="2"/>
      <c r="AI998" s="29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14.25" customHeight="1" x14ac:dyDescent="0.35">
      <c r="A999" s="2"/>
      <c r="B999" s="2"/>
      <c r="C999" s="2"/>
      <c r="D999" s="2"/>
      <c r="E999" s="2"/>
      <c r="F999" s="2"/>
      <c r="G999" s="276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91"/>
      <c r="AC999" s="2"/>
      <c r="AD999" s="2"/>
      <c r="AE999" s="291"/>
      <c r="AF999" s="2"/>
      <c r="AG999" s="2"/>
      <c r="AH999" s="2"/>
      <c r="AI999" s="29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14.25" customHeight="1" x14ac:dyDescent="0.35">
      <c r="A1000" s="2"/>
      <c r="B1000" s="2"/>
      <c r="C1000" s="2"/>
      <c r="D1000" s="2"/>
      <c r="E1000" s="2"/>
      <c r="F1000" s="2"/>
      <c r="G1000" s="27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91"/>
      <c r="AC1000" s="2"/>
      <c r="AD1000" s="2"/>
      <c r="AE1000" s="291"/>
      <c r="AF1000" s="2"/>
      <c r="AG1000" s="2"/>
      <c r="AH1000" s="2"/>
      <c r="AI1000" s="29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</sheetData>
  <mergeCells count="1">
    <mergeCell ref="A1:A3"/>
  </mergeCells>
  <conditionalFormatting sqref="AV3">
    <cfRule type="cellIs" dxfId="11" priority="1" operator="equal">
      <formula>#REF!</formula>
    </cfRule>
  </conditionalFormatting>
  <conditionalFormatting sqref="AV3">
    <cfRule type="cellIs" dxfId="10" priority="2" operator="equal">
      <formula>#REF!</formula>
    </cfRule>
  </conditionalFormatting>
  <conditionalFormatting sqref="AV3">
    <cfRule type="cellIs" dxfId="9" priority="3" operator="equal">
      <formula>#REF!</formula>
    </cfRule>
  </conditionalFormatting>
  <conditionalFormatting sqref="AV3">
    <cfRule type="cellIs" dxfId="8" priority="4" operator="equal">
      <formula>#REF!</formula>
    </cfRule>
  </conditionalFormatting>
  <conditionalFormatting sqref="G3:AU3">
    <cfRule type="cellIs" dxfId="7" priority="5" operator="equal">
      <formula>#REF!</formula>
    </cfRule>
  </conditionalFormatting>
  <conditionalFormatting sqref="G3:AU3">
    <cfRule type="cellIs" dxfId="6" priority="6" operator="equal">
      <formula>#REF!</formula>
    </cfRule>
  </conditionalFormatting>
  <conditionalFormatting sqref="G3:AU3">
    <cfRule type="cellIs" dxfId="5" priority="7" operator="equal">
      <formula>#REF!</formula>
    </cfRule>
  </conditionalFormatting>
  <conditionalFormatting sqref="G3:AU3">
    <cfRule type="cellIs" dxfId="4" priority="8" operator="equal">
      <formula>#REF!</formula>
    </cfRule>
  </conditionalFormatting>
  <conditionalFormatting sqref="D3:AU3">
    <cfRule type="cellIs" dxfId="3" priority="9" operator="equal">
      <formula>#REF!</formula>
    </cfRule>
  </conditionalFormatting>
  <conditionalFormatting sqref="D3:AU3">
    <cfRule type="cellIs" dxfId="2" priority="10" operator="equal">
      <formula>#REF!</formula>
    </cfRule>
  </conditionalFormatting>
  <conditionalFormatting sqref="D3:AU3">
    <cfRule type="cellIs" dxfId="1" priority="11" operator="equal">
      <formula>#REF!</formula>
    </cfRule>
  </conditionalFormatting>
  <conditionalFormatting sqref="D3:AU3">
    <cfRule type="cellIs" dxfId="0" priority="12" operator="equal">
      <formula>#REF!</formula>
    </cfRule>
  </conditionalFormatting>
  <pageMargins left="0.7" right="0.7" top="0.75" bottom="0.75" header="0" footer="0"/>
  <pageSetup orientation="portrait"/>
  <headerFooter>
    <oddHeader>&amp;C000000OVERALL DRAW</oddHeader>
    <oddFooter>&amp;C000000PAGE &amp;P OF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832773-9414-42b9-95c3-36a558d8f74c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TaxCatchAll xmlns="9f6012f1-210b-47d8-98a5-79507b1825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D0D48330F6CE4FB6B3AE62FA39CE46" ma:contentTypeVersion="18" ma:contentTypeDescription="Create a new document." ma:contentTypeScope="" ma:versionID="6029c9b328e49caaf1bfc5e9c1c5d402">
  <xsd:schema xmlns:xsd="http://www.w3.org/2001/XMLSchema" xmlns:xs="http://www.w3.org/2001/XMLSchema" xmlns:p="http://schemas.microsoft.com/office/2006/metadata/properties" xmlns:ns1="http://schemas.microsoft.com/sharepoint/v3" xmlns:ns2="07832773-9414-42b9-95c3-36a558d8f74c" xmlns:ns3="9f6012f1-210b-47d8-98a5-79507b18255d" targetNamespace="http://schemas.microsoft.com/office/2006/metadata/properties" ma:root="true" ma:fieldsID="acdeb425d2a7055c715a7d4969065827" ns1:_="" ns2:_="" ns3:_="">
    <xsd:import namespace="http://schemas.microsoft.com/sharepoint/v3"/>
    <xsd:import namespace="07832773-9414-42b9-95c3-36a558d8f74c"/>
    <xsd:import namespace="9f6012f1-210b-47d8-98a5-79507b182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832773-9414-42b9-95c3-36a558d8f7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44f5b13-403a-4dd3-b9ce-b7b6c8a66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012f1-210b-47d8-98a5-79507b18255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396aa7e-ad57-49d2-b18b-708832d3d098}" ma:internalName="TaxCatchAll" ma:showField="CatchAllData" ma:web="9f6012f1-210b-47d8-98a5-79507b182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75A15F-45E9-4E40-9608-DD37255EAEE1}">
  <ds:schemaRefs>
    <ds:schemaRef ds:uri="http://schemas.microsoft.com/office/2006/metadata/properties"/>
    <ds:schemaRef ds:uri="http://schemas.microsoft.com/office/infopath/2007/PartnerControls"/>
    <ds:schemaRef ds:uri="8cd81f82-41ab-4639-8e19-81de88538f31"/>
    <ds:schemaRef ds:uri="07832773-9414-42b9-95c3-36a558d8f74c"/>
    <ds:schemaRef ds:uri="http://schemas.microsoft.com/sharepoint/v3"/>
    <ds:schemaRef ds:uri="9f6012f1-210b-47d8-98a5-79507b18255d"/>
  </ds:schemaRefs>
</ds:datastoreItem>
</file>

<file path=customXml/itemProps2.xml><?xml version="1.0" encoding="utf-8"?>
<ds:datastoreItem xmlns:ds="http://schemas.openxmlformats.org/officeDocument/2006/customXml" ds:itemID="{16D5587D-C0B5-40D8-B9A6-13D209728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832773-9414-42b9-95c3-36a558d8f74c"/>
    <ds:schemaRef ds:uri="9f6012f1-210b-47d8-98a5-79507b182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A23C80-2BFD-4524-BF38-5AA169F15E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Assumptions</vt:lpstr>
      <vt:lpstr>Development Program</vt:lpstr>
      <vt:lpstr>Parcel Data</vt:lpstr>
      <vt:lpstr>Phase I Financial</vt:lpstr>
      <vt:lpstr>Phase I Draw</vt:lpstr>
      <vt:lpstr>Phase II Financial</vt:lpstr>
      <vt:lpstr>Phase II Draw</vt:lpstr>
      <vt:lpstr>All Components Draw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Long</dc:creator>
  <cp:keywords/>
  <dc:description/>
  <cp:lastModifiedBy>Gretchen Sweeney</cp:lastModifiedBy>
  <cp:revision/>
  <dcterms:created xsi:type="dcterms:W3CDTF">2011-07-11T21:17:46Z</dcterms:created>
  <dcterms:modified xsi:type="dcterms:W3CDTF">2023-02-20T21:03:26Z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388465-aeed-4329-a493-dfb4cee22503_Enabled">
    <vt:lpwstr>true</vt:lpwstr>
  </property>
  <property fmtid="{D5CDD505-2E9C-101B-9397-08002B2CF9AE}" pid="3" name="MSIP_Label_70388465-aeed-4329-a493-dfb4cee22503_SetDate">
    <vt:lpwstr>2022-12-01T14:29:01Z</vt:lpwstr>
  </property>
  <property fmtid="{D5CDD505-2E9C-101B-9397-08002B2CF9AE}" pid="4" name="MSIP_Label_70388465-aeed-4329-a493-dfb4cee22503_Method">
    <vt:lpwstr>Standard</vt:lpwstr>
  </property>
  <property fmtid="{D5CDD505-2E9C-101B-9397-08002B2CF9AE}" pid="5" name="MSIP_Label_70388465-aeed-4329-a493-dfb4cee22503_Name">
    <vt:lpwstr>defa4170-0d19-0005-0004-bc88714345d2</vt:lpwstr>
  </property>
  <property fmtid="{D5CDD505-2E9C-101B-9397-08002B2CF9AE}" pid="6" name="MSIP_Label_70388465-aeed-4329-a493-dfb4cee22503_SiteId">
    <vt:lpwstr>c733f279-2e57-447e-b549-b435d7bcf45e</vt:lpwstr>
  </property>
  <property fmtid="{D5CDD505-2E9C-101B-9397-08002B2CF9AE}" pid="7" name="MSIP_Label_70388465-aeed-4329-a493-dfb4cee22503_ActionId">
    <vt:lpwstr>c09dddd2-dd9a-4658-94bd-9604302b5a94</vt:lpwstr>
  </property>
  <property fmtid="{D5CDD505-2E9C-101B-9397-08002B2CF9AE}" pid="8" name="MSIP_Label_70388465-aeed-4329-a493-dfb4cee22503_ContentBits">
    <vt:lpwstr>0</vt:lpwstr>
  </property>
  <property fmtid="{D5CDD505-2E9C-101B-9397-08002B2CF9AE}" pid="9" name="ContentTypeId">
    <vt:lpwstr>0x0101000882CD9F0005B34788A99EB79B0B9420</vt:lpwstr>
  </property>
  <property fmtid="{D5CDD505-2E9C-101B-9397-08002B2CF9AE}" pid="10" name="MediaServiceImageTags">
    <vt:lpwstr/>
  </property>
</Properties>
</file>