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pn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11"/>
  <workbookPr autoCompressPictures="0"/>
  <mc:AlternateContent xmlns:mc="http://schemas.openxmlformats.org/markup-compatibility/2006">
    <mc:Choice Requires="x15">
      <x15ac:absPath xmlns:x15ac="http://schemas.microsoft.com/office/spreadsheetml/2010/11/ac" url="/Users/hushunyi/Desktop/"/>
    </mc:Choice>
  </mc:AlternateContent>
  <xr:revisionPtr revIDLastSave="0" documentId="13_ncr:1_{C69060C7-3998-3642-9A62-B817C6F009F2}" xr6:coauthVersionLast="47" xr6:coauthVersionMax="47" xr10:uidLastSave="{00000000-0000-0000-0000-000000000000}"/>
  <bookViews>
    <workbookView xWindow="0" yWindow="0" windowWidth="28800" windowHeight="18000" tabRatio="1000" firstSheet="2" activeTab="2" xr2:uid="{00000000-000D-0000-FFFF-FFFF00000000}"/>
  </bookViews>
  <sheets>
    <sheet name="Market Research" sheetId="141" r:id="rId1"/>
    <sheet name="Assumptions" sheetId="142" r:id="rId2"/>
    <sheet name="Development Program" sheetId="140" r:id="rId3"/>
    <sheet name="Types of Development" sheetId="163" r:id="rId4"/>
    <sheet name=" Phase I Financial" sheetId="149" r:id="rId5"/>
    <sheet name="Phase I DRAW" sheetId="105" r:id="rId6"/>
    <sheet name="Phase II Financial" sheetId="152" r:id="rId7"/>
    <sheet name="Phase II DRAW" sheetId="162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___a1" hidden="1">{"Assump",#N/A,TRUE,"Proforma";"first",#N/A,TRUE,"Proforma";"second",#N/A,TRUE,"Proforma";"lease1",#N/A,TRUE,"Proforma";"lease2",#N/A,TRUE,"Proforma"}</definedName>
    <definedName name="__a1" hidden="1">{"Assump",#N/A,TRUE,"Proforma";"first",#N/A,TRUE,"Proforma";"second",#N/A,TRUE,"Proforma";"lease1",#N/A,TRUE,"Proforma";"lease2",#N/A,TRUE,"Proforma"}</definedName>
    <definedName name="_Fill" localSheetId="4" hidden="1">[1]A!#REF!</definedName>
    <definedName name="_Fill" localSheetId="2" hidden="1">[1]A!#REF!</definedName>
    <definedName name="_Fill" localSheetId="6" hidden="1">[1]A!#REF!</definedName>
    <definedName name="_Fill" hidden="1">[1]A!#REF!</definedName>
    <definedName name="_Key1" localSheetId="4" hidden="1">'[2]H-INPUT'!#REF!</definedName>
    <definedName name="_Key1" localSheetId="2" hidden="1">'[2]H-INPUT'!#REF!</definedName>
    <definedName name="_Key1" localSheetId="6" hidden="1">'[2]H-INPUT'!#REF!</definedName>
    <definedName name="_Key1" hidden="1">'[2]H-INPUT'!#REF!</definedName>
    <definedName name="_Key2" localSheetId="4" hidden="1">#REF!</definedName>
    <definedName name="_Key2" localSheetId="2" hidden="1">#REF!</definedName>
    <definedName name="_Key2" localSheetId="6" hidden="1">#REF!</definedName>
    <definedName name="_Key2" hidden="1">#REF!</definedName>
    <definedName name="_Order1" hidden="1">255</definedName>
    <definedName name="_Order2" hidden="1">255</definedName>
    <definedName name="_Sort" localSheetId="4" hidden="1">#REF!</definedName>
    <definedName name="_Sort" localSheetId="2" hidden="1">#REF!</definedName>
    <definedName name="_Sort" localSheetId="6" hidden="1">#REF!</definedName>
    <definedName name="_Sort" hidden="1">#REF!</definedName>
    <definedName name="_Table1_In1" localSheetId="4" hidden="1">#REF!</definedName>
    <definedName name="_Table1_In1" localSheetId="2" hidden="1">#REF!</definedName>
    <definedName name="_Table1_In1" localSheetId="6" hidden="1">#REF!</definedName>
    <definedName name="_Table1_In1" hidden="1">#REF!</definedName>
    <definedName name="_Table1_Out" localSheetId="4" hidden="1">#REF!</definedName>
    <definedName name="_Table1_Out" localSheetId="2" hidden="1">#REF!</definedName>
    <definedName name="_Table1_Out" localSheetId="6" hidden="1">#REF!</definedName>
    <definedName name="_Table1_Out" hidden="1">#REF!</definedName>
    <definedName name="_Table2_Out" localSheetId="4" hidden="1">[3]General!#REF!</definedName>
    <definedName name="_Table2_Out" localSheetId="2" hidden="1">[3]General!#REF!</definedName>
    <definedName name="_Table2_Out" localSheetId="6" hidden="1">[3]General!#REF!</definedName>
    <definedName name="_Table2_Out" hidden="1">[3]General!#REF!</definedName>
    <definedName name="_x1" hidden="1">{#N/A,#N/A,FALSE,"WATCHDSC";#N/A,#N/A,FALSE,"2LOSSMOD";#N/A,#N/A,FALSE,"2LOSS";#N/A,#N/A,FALSE,"DSC";#N/A,#N/A,FALSE,"OPERAT";#N/A,#N/A,FALSE,"ADJUST";#N/A,#N/A,FALSE,"LEASE EXPIRE"}</definedName>
    <definedName name="_x2" hidden="1">{#N/A,#N/A,FALSE,"WATCHDSC";#N/A,#N/A,FALSE,"2LOSSMOD";#N/A,#N/A,FALSE,"2LOSS";#N/A,#N/A,FALSE,"DSC";#N/A,#N/A,FALSE,"OPERAT";#N/A,#N/A,FALSE,"ADJUST";#N/A,#N/A,FALSE,"LEASE EXPIRE"}</definedName>
    <definedName name="_x3" hidden="1">{#N/A,#N/A,FALSE,"WATCHDSC";#N/A,#N/A,FALSE,"2LOSSMOD";#N/A,#N/A,FALSE,"2LOSS";#N/A,#N/A,FALSE,"DSC";#N/A,#N/A,FALSE,"OPERAT";#N/A,#N/A,FALSE,"ADJUST";#N/A,#N/A,FALSE,"LEASE EXPIRE"}</definedName>
    <definedName name="a" hidden="1">{"Assump",#N/A,TRUE,"Proforma";"first",#N/A,TRUE,"Proforma";"second",#N/A,TRUE,"Proforma";"lease1",#N/A,TRUE,"Proforma";"lease2",#N/A,TRUE,"Proforma"}</definedName>
    <definedName name="aa" hidden="1">{#N/A,#N/A,FALSE,"Exec Sum";#N/A,#N/A,FALSE,"Rent Rate Comp";#N/A,#N/A,FALSE,"Rate, NPV Comp";#N/A,#N/A,FALSE,"Opt A NNN";#N/A,#N/A,FALSE,"15-yr Opt. A Sum";#N/A,#N/A,FALSE,"15-yr Opt A Other Costs";#N/A,#N/A,FALSE,"10-yr Opt. A Sum";#N/A,#N/A,FALSE,"10-yr Opt A Other Costs";#N/A,#N/A,FALSE,"NPV Calc"}</definedName>
    <definedName name="AADSFD" localSheetId="4">[4]Frontsheet!#REF!</definedName>
    <definedName name="AADSFD" localSheetId="2">[4]Frontsheet!#REF!</definedName>
    <definedName name="AADSFD" localSheetId="6">[4]Frontsheet!#REF!</definedName>
    <definedName name="AADSFD">[4]Frontsheet!#REF!</definedName>
    <definedName name="ac" localSheetId="4">[4]Frontsheet!#REF!</definedName>
    <definedName name="ac" localSheetId="2">[4]Frontsheet!#REF!</definedName>
    <definedName name="ac" localSheetId="6">[4]Frontsheet!#REF!</definedName>
    <definedName name="ac">[4]Frontsheet!#REF!</definedName>
    <definedName name="alt" localSheetId="4">[4]Frontsheet!#REF!</definedName>
    <definedName name="alt" localSheetId="2">[4]Frontsheet!#REF!</definedName>
    <definedName name="alt" localSheetId="6">[4]Frontsheet!#REF!</definedName>
    <definedName name="alt">[4]Frontsheet!#REF!</definedName>
    <definedName name="anscount" hidden="1">1</definedName>
    <definedName name="ASA" localSheetId="4">[4]Frontsheet!#REF!</definedName>
    <definedName name="ASA" localSheetId="2">[4]Frontsheet!#REF!</definedName>
    <definedName name="ASA" localSheetId="6">[4]Frontsheet!#REF!</definedName>
    <definedName name="ASA">[4]Frontsheet!#REF!</definedName>
    <definedName name="aw" localSheetId="4">[4]Frontsheet!#REF!</definedName>
    <definedName name="aw" localSheetId="2">[4]Frontsheet!#REF!</definedName>
    <definedName name="aw" localSheetId="6">[4]Frontsheet!#REF!</definedName>
    <definedName name="aw">[4]Frontsheet!#REF!</definedName>
    <definedName name="b" hidden="1">{"Assump",#N/A,TRUE,"Proforma";"first",#N/A,TRUE,"Proforma";"second",#N/A,TRUE,"Proforma";"lease1",#N/A,TRUE,"Proforma";"lease2",#N/A,TRUE,"Proforma"}</definedName>
    <definedName name="Body">'[5]Equity Investor Sheet 2538'!$A$7:$J$18</definedName>
    <definedName name="costcode">'[6]Pursuit_Expenses by cost code'!$A$5:$F$155</definedName>
    <definedName name="cs" localSheetId="4">[4]Frontsheet!#REF!</definedName>
    <definedName name="cs" localSheetId="2">[4]Frontsheet!#REF!</definedName>
    <definedName name="cs" localSheetId="6">[4]Frontsheet!#REF!</definedName>
    <definedName name="cs">[4]Frontsheet!#REF!</definedName>
    <definedName name="ct" localSheetId="4">[4]Frontsheet!#REF!</definedName>
    <definedName name="ct" localSheetId="2">[4]Frontsheet!#REF!</definedName>
    <definedName name="ct" localSheetId="6">[4]Frontsheet!#REF!</definedName>
    <definedName name="ct">[4]Frontsheet!#REF!</definedName>
    <definedName name="ddgfeerew" localSheetId="4">[4]Frontsheet!#REF!</definedName>
    <definedName name="ddgfeerew" localSheetId="2">[4]Frontsheet!#REF!</definedName>
    <definedName name="ddgfeerew" localSheetId="6">[4]Frontsheet!#REF!</definedName>
    <definedName name="ddgfeerew">[4]Frontsheet!#REF!</definedName>
    <definedName name="dflt1">'[7]Customize Your Invoice'!$E$22</definedName>
    <definedName name="dflt5">'[7]Customize Your Invoice'!$E$27</definedName>
    <definedName name="dflt6">'[7]Customize Your Invoice'!$D$28</definedName>
    <definedName name="dfsdf" localSheetId="4">[4]Frontsheet!#REF!</definedName>
    <definedName name="dfsdf" localSheetId="2">[4]Frontsheet!#REF!</definedName>
    <definedName name="dfsdf" localSheetId="6">[4]Frontsheet!#REF!</definedName>
    <definedName name="dfsdf">[4]Frontsheet!#REF!</definedName>
    <definedName name="dw" localSheetId="4">[4]Frontsheet!#REF!</definedName>
    <definedName name="dw" localSheetId="2">[4]Frontsheet!#REF!</definedName>
    <definedName name="dw" localSheetId="6">[4]Frontsheet!#REF!</definedName>
    <definedName name="dw">[4]Frontsheet!#REF!</definedName>
    <definedName name="ee" hidden="1">{"Assump",#N/A,TRUE,"Proforma";"first",#N/A,TRUE,"Proforma";"second",#N/A,TRUE,"Proforma";"lease1",#N/A,TRUE,"Proforma";"lease2",#N/A,TRUE,"Proforma"}</definedName>
    <definedName name="el" localSheetId="4">[4]Frontsheet!#REF!</definedName>
    <definedName name="el" localSheetId="2">[4]Frontsheet!#REF!</definedName>
    <definedName name="el" localSheetId="6">[4]Frontsheet!#REF!</definedName>
    <definedName name="el">[4]Frontsheet!#REF!</definedName>
    <definedName name="ellen" hidden="1">{#N/A,#N/A,FALSE,"WATCHDSC";#N/A,#N/A,FALSE,"2LOSSMOD";#N/A,#N/A,FALSE,"2LOSS";#N/A,#N/A,FALSE,"DSC";#N/A,#N/A,FALSE,"OPERAT";#N/A,#N/A,FALSE,"ADJUST";#N/A,#N/A,FALSE,"LEASE EXPIRE"}</definedName>
    <definedName name="erasdf" hidden="1">{"Assump",#N/A,TRUE,"Proforma";"first",#N/A,TRUE,"Proforma";"second",#N/A,TRUE,"Proforma";"lease1",#N/A,TRUE,"Proforma";"lease2",#N/A,TRUE,"Proforma"}</definedName>
    <definedName name="EW" localSheetId="4">[4]Frontsheet!#REF!</definedName>
    <definedName name="EW" localSheetId="2">[4]Frontsheet!#REF!</definedName>
    <definedName name="EW" localSheetId="6">[4]Frontsheet!#REF!</definedName>
    <definedName name="EW">[4]Frontsheet!#REF!</definedName>
    <definedName name="f" localSheetId="4">[4]Frontsheet!#REF!</definedName>
    <definedName name="f" localSheetId="2">[4]Frontsheet!#REF!</definedName>
    <definedName name="f" localSheetId="6">[4]Frontsheet!#REF!</definedName>
    <definedName name="f">[4]Frontsheet!#REF!</definedName>
    <definedName name="fe" localSheetId="4">[4]Frontsheet!#REF!</definedName>
    <definedName name="fe" localSheetId="2">[4]Frontsheet!#REF!</definedName>
    <definedName name="fe" localSheetId="6">[4]Frontsheet!#REF!</definedName>
    <definedName name="fe">[4]Frontsheet!#REF!</definedName>
    <definedName name="FFFFF" localSheetId="4">[4]Frontsheet!#REF!</definedName>
    <definedName name="FFFFF" localSheetId="2">[4]Frontsheet!#REF!</definedName>
    <definedName name="FFFFF" localSheetId="6">[4]Frontsheet!#REF!</definedName>
    <definedName name="FFFFF">[4]Frontsheet!#REF!</definedName>
    <definedName name="FJHJ" localSheetId="4">[4]Frontsheet!#REF!</definedName>
    <definedName name="FJHJ" localSheetId="2">[4]Frontsheet!#REF!</definedName>
    <definedName name="FJHJ" localSheetId="6">[4]Frontsheet!#REF!</definedName>
    <definedName name="FJHJ">[4]Frontsheet!#REF!</definedName>
    <definedName name="fo" localSheetId="4">#REF!</definedName>
    <definedName name="fo" localSheetId="2">#REF!</definedName>
    <definedName name="fo" localSheetId="6">#REF!</definedName>
    <definedName name="fo">#REF!</definedName>
    <definedName name="FORM" localSheetId="4">#REF!</definedName>
    <definedName name="FORM" localSheetId="2">#REF!</definedName>
    <definedName name="FORM" localSheetId="6">#REF!</definedName>
    <definedName name="FORM">#REF!</definedName>
    <definedName name="FURYUR" localSheetId="4">[4]Frontsheet!#REF!</definedName>
    <definedName name="FURYUR" localSheetId="2">[4]Frontsheet!#REF!</definedName>
    <definedName name="FURYUR" localSheetId="6">[4]Frontsheet!#REF!</definedName>
    <definedName name="FURYUR">[4]Frontsheet!#REF!</definedName>
    <definedName name="gl" localSheetId="4">[4]Frontsheet!#REF!</definedName>
    <definedName name="gl" localSheetId="2">[4]Frontsheet!#REF!</definedName>
    <definedName name="gl" localSheetId="6">[4]Frontsheet!#REF!</definedName>
    <definedName name="gl">[4]Frontsheet!#REF!</definedName>
    <definedName name="h" localSheetId="4">[4]Frontsheet!#REF!</definedName>
    <definedName name="h" localSheetId="2">[4]Frontsheet!#REF!</definedName>
    <definedName name="h" localSheetId="6">[4]Frontsheet!#REF!</definedName>
    <definedName name="h">[4]Frontsheet!#REF!</definedName>
    <definedName name="hjkhjlkgg" localSheetId="4">[4]Frontsheet!#REF!</definedName>
    <definedName name="hjkhjlkgg" localSheetId="2">[4]Frontsheet!#REF!</definedName>
    <definedName name="hjkhjlkgg" localSheetId="6">[4]Frontsheet!#REF!</definedName>
    <definedName name="hjkhjlkgg">[4]Frontsheet!#REF!</definedName>
    <definedName name="jkjkl" localSheetId="4">[4]Frontsheet!#REF!</definedName>
    <definedName name="jkjkl" localSheetId="2">[4]Frontsheet!#REF!</definedName>
    <definedName name="jkjkl" localSheetId="6">[4]Frontsheet!#REF!</definedName>
    <definedName name="jkjkl">[4]Frontsheet!#REF!</definedName>
    <definedName name="kb" localSheetId="4">[4]Frontsheet!#REF!</definedName>
    <definedName name="kb" localSheetId="2">[4]Frontsheet!#REF!</definedName>
    <definedName name="kb" localSheetId="6">[4]Frontsheet!#REF!</definedName>
    <definedName name="kb">[4]Frontsheet!#REF!</definedName>
    <definedName name="ke" localSheetId="4">[4]Frontsheet!#REF!</definedName>
    <definedName name="ke" localSheetId="2">[4]Frontsheet!#REF!</definedName>
    <definedName name="ke" localSheetId="6">[4]Frontsheet!#REF!</definedName>
    <definedName name="ke">[4]Frontsheet!#REF!</definedName>
    <definedName name="lk" localSheetId="4">[4]Frontsheet!#REF!</definedName>
    <definedName name="lk" localSheetId="2">[4]Frontsheet!#REF!</definedName>
    <definedName name="lk" localSheetId="6">[4]Frontsheet!#REF!</definedName>
    <definedName name="lk">[4]Frontsheet!#REF!</definedName>
    <definedName name="memo_description">[6]Lists!$D$4:$D$10</definedName>
    <definedName name="ml" localSheetId="4">[4]Frontsheet!#REF!</definedName>
    <definedName name="ml" localSheetId="2">[4]Frontsheet!#REF!</definedName>
    <definedName name="ml" localSheetId="6">[4]Frontsheet!#REF!</definedName>
    <definedName name="ml">[4]Frontsheet!#REF!</definedName>
    <definedName name="mw" localSheetId="4">[4]Frontsheet!#REF!</definedName>
    <definedName name="mw" localSheetId="2">[4]Frontsheet!#REF!</definedName>
    <definedName name="mw" localSheetId="6">[4]Frontsheet!#REF!</definedName>
    <definedName name="mw">[4]Frontsheet!#REF!</definedName>
    <definedName name="NEWDRAW" localSheetId="4">#REF!</definedName>
    <definedName name="NEWDRAW" localSheetId="2">#REF!</definedName>
    <definedName name="NEWDRAW" localSheetId="6">#REF!</definedName>
    <definedName name="NEWDRAW">#REF!</definedName>
    <definedName name="NvsEndTime">36465.4707604167</definedName>
    <definedName name="os" localSheetId="4">[4]Frontsheet!#REF!</definedName>
    <definedName name="os" localSheetId="2">[4]Frontsheet!#REF!</definedName>
    <definedName name="os" localSheetId="6">[4]Frontsheet!#REF!</definedName>
    <definedName name="os">[4]Frontsheet!#REF!</definedName>
    <definedName name="p" localSheetId="4">[4]Frontsheet!#REF!</definedName>
    <definedName name="p" localSheetId="2">[4]Frontsheet!#REF!</definedName>
    <definedName name="p" localSheetId="6">[4]Frontsheet!#REF!</definedName>
    <definedName name="p">[4]Frontsheet!#REF!</definedName>
    <definedName name="pa" localSheetId="4">[4]Frontsheet!#REF!</definedName>
    <definedName name="pa" localSheetId="2">[4]Frontsheet!#REF!</definedName>
    <definedName name="pa" localSheetId="6">[4]Frontsheet!#REF!</definedName>
    <definedName name="pa">[4]Frontsheet!#REF!</definedName>
    <definedName name="PD" localSheetId="4">#REF!</definedName>
    <definedName name="PD" localSheetId="2">#REF!</definedName>
    <definedName name="PD" localSheetId="6">#REF!</definedName>
    <definedName name="PD">#REF!</definedName>
    <definedName name="pipeline_status">[6]Lists!$F$4:$F$8</definedName>
    <definedName name="pp" localSheetId="4">[4]Frontsheet!#REF!</definedName>
    <definedName name="pp" localSheetId="2">[4]Frontsheet!#REF!</definedName>
    <definedName name="pp" localSheetId="6">[4]Frontsheet!#REF!</definedName>
    <definedName name="pp">[4]Frontsheet!#REF!</definedName>
    <definedName name="_xlnm.Print_Area" localSheetId="4">' Phase I Financial'!$A$1:$E$103</definedName>
    <definedName name="_xlnm.Print_Area" localSheetId="2">'Development Program'!$B$5:$N$71</definedName>
    <definedName name="_xlnm.Print_Area" localSheetId="5">'Phase I DRAW'!$A$1:$BQ$50</definedName>
    <definedName name="_xlnm.Print_Area" localSheetId="6">'Phase II Financial'!$A$1:$E$102</definedName>
    <definedName name="_xlnm.Print_Area">#REF!</definedName>
    <definedName name="print_area2" localSheetId="4">#REF!</definedName>
    <definedName name="print_area2" localSheetId="2">#REF!</definedName>
    <definedName name="print_area2" localSheetId="6">#REF!</definedName>
    <definedName name="print_area2">#REF!</definedName>
    <definedName name="print_area3" localSheetId="4">#REF!</definedName>
    <definedName name="print_area3" localSheetId="2">#REF!</definedName>
    <definedName name="print_area3" localSheetId="6">#REF!</definedName>
    <definedName name="print_area3">#REF!</definedName>
    <definedName name="print_area4" localSheetId="4">#REF!</definedName>
    <definedName name="print_area4" localSheetId="2">#REF!</definedName>
    <definedName name="print_area4" localSheetId="6">#REF!</definedName>
    <definedName name="print_area4">#REF!</definedName>
    <definedName name="_xlnm.Print_Titles">#N/A</definedName>
    <definedName name="PROFORMA" localSheetId="4">#REF!</definedName>
    <definedName name="PROFORMA" localSheetId="2">#REF!</definedName>
    <definedName name="PROFORMA" localSheetId="6">#REF!</definedName>
    <definedName name="PROFORMA">#REF!</definedName>
    <definedName name="Promote_dev_1">[6]Input!$E$330</definedName>
    <definedName name="Property_Types">'[8]Deal Assumptions'!$G$345:$Z$345</definedName>
    <definedName name="pt" localSheetId="4">[4]Frontsheet!#REF!</definedName>
    <definedName name="pt" localSheetId="2">[4]Frontsheet!#REF!</definedName>
    <definedName name="pt" localSheetId="6">[4]Frontsheet!#REF!</definedName>
    <definedName name="pt">[4]Frontsheet!#REF!</definedName>
    <definedName name="qq" localSheetId="4">#REF!</definedName>
    <definedName name="qq" localSheetId="2">#REF!</definedName>
    <definedName name="qq" localSheetId="6">#REF!</definedName>
    <definedName name="qq">#REF!</definedName>
    <definedName name="report" hidden="1">{#N/A,#N/A,FALSE,"Summary";#N/A,#N/A,FALSE,"Assumptions";#N/A,#N/A,FALSE,"Cash Flow";#N/A,#N/A,FALSE,"Residual Calculation";#N/A,#N/A,FALSE,"Pricing Matrix";#N/A,#N/A,FALSE,"Pricing Matrix II";#N/A,#N/A,FALSE,"Expiration Schedule"}</definedName>
    <definedName name="rf" localSheetId="4">[4]Frontsheet!#REF!</definedName>
    <definedName name="rf" localSheetId="2">[4]Frontsheet!#REF!</definedName>
    <definedName name="rf" localSheetId="6">[4]Frontsheet!#REF!</definedName>
    <definedName name="rf">[4]Frontsheet!#REF!</definedName>
    <definedName name="S_U" localSheetId="4">#REF!</definedName>
    <definedName name="S_U" localSheetId="2">#REF!</definedName>
    <definedName name="S_U" localSheetId="6">#REF!</definedName>
    <definedName name="S_U">#REF!</definedName>
    <definedName name="Sample1" localSheetId="4">[9]Template!#REF!</definedName>
    <definedName name="Sample1" localSheetId="2">[9]Template!#REF!</definedName>
    <definedName name="Sample1" localSheetId="6">[9]Template!#REF!</definedName>
    <definedName name="Sample1">[9]Template!#REF!</definedName>
    <definedName name="sample2" localSheetId="4">[10]Template!#REF!</definedName>
    <definedName name="sample2" localSheetId="2">[10]Template!#REF!</definedName>
    <definedName name="sample2" localSheetId="6">[10]Template!#REF!</definedName>
    <definedName name="sample2">[10]Template!#REF!</definedName>
    <definedName name="sample3" localSheetId="4">[10]Template!#REF!</definedName>
    <definedName name="sample3" localSheetId="2">[10]Template!#REF!</definedName>
    <definedName name="sample3" localSheetId="6">[10]Template!#REF!</definedName>
    <definedName name="sample3">[10]Template!#REF!</definedName>
    <definedName name="sdf" hidden="1">{"Assump",#N/A,TRUE,"Proforma";"first",#N/A,TRUE,"Proforma";"second",#N/A,TRUE,"Proforma";"lease1",#N/A,TRUE,"Proforma";"lease2",#N/A,TRUE,"Proforma"}</definedName>
    <definedName name="sdfgsfgdsfg" localSheetId="4">[4]Frontsheet!#REF!</definedName>
    <definedName name="sdfgsfgdsfg" localSheetId="2">[4]Frontsheet!#REF!</definedName>
    <definedName name="sdfgsfgdsfg" localSheetId="6">[4]Frontsheet!#REF!</definedName>
    <definedName name="sdfgsfgdsfg">[4]Frontsheet!#REF!</definedName>
    <definedName name="SF">'[11]One Pager - Assumptions'!$H$31</definedName>
    <definedName name="sg" localSheetId="4">[4]Frontsheet!#REF!</definedName>
    <definedName name="sg" localSheetId="2">[4]Frontsheet!#REF!</definedName>
    <definedName name="sg" localSheetId="6">[4]Frontsheet!#REF!</definedName>
    <definedName name="sg">[4]Frontsheet!#REF!</definedName>
    <definedName name="si" localSheetId="4">[4]Frontsheet!#REF!</definedName>
    <definedName name="si" localSheetId="2">[4]Frontsheet!#REF!</definedName>
    <definedName name="si" localSheetId="6">[4]Frontsheet!#REF!</definedName>
    <definedName name="si">[4]Frontsheet!#REF!</definedName>
    <definedName name="tp" localSheetId="4">[4]Frontsheet!#REF!</definedName>
    <definedName name="tp" localSheetId="2">[4]Frontsheet!#REF!</definedName>
    <definedName name="tp" localSheetId="6">[4]Frontsheet!#REF!</definedName>
    <definedName name="tp">[4]Frontsheet!#REF!</definedName>
    <definedName name="Trended_hard_cost">[6]Input!$K$47</definedName>
    <definedName name="trended_partner_contributions" localSheetId="4">'[6]Trended Cash Flow'!#REF!</definedName>
    <definedName name="trended_partner_contributions" localSheetId="2">'[6]Trended Cash Flow'!#REF!</definedName>
    <definedName name="trended_partner_contributions" localSheetId="6">'[6]Trended Cash Flow'!#REF!</definedName>
    <definedName name="trended_partner_contributions">'[6]Trended Cash Flow'!#REF!</definedName>
    <definedName name="TT" localSheetId="4">[4]Frontsheet!#REF!</definedName>
    <definedName name="TT" localSheetId="2">[4]Frontsheet!#REF!</definedName>
    <definedName name="TT" localSheetId="6">[4]Frontsheet!#REF!</definedName>
    <definedName name="TT">[4]Frontsheet!#REF!</definedName>
    <definedName name="units">'[12]Equity Investor Sheet 2538'!$G$132</definedName>
    <definedName name="untrended_dates">'[6]Untrended Cash Flow'!$E$12:$BL$12</definedName>
    <definedName name="untrended_partner_contributions">'[6]Untrended Cash Flow'!$E$154:$BL$154</definedName>
    <definedName name="vital5">'[7]Customize Your Invoice'!$E$15</definedName>
    <definedName name="wetadf" hidden="1">{"Assump",#N/A,TRUE,"Proforma";"first",#N/A,TRUE,"Proforma";"second",#N/A,TRUE,"Proforma";"lease1",#N/A,TRUE,"Proforma";"lease2",#N/A,TRUE,"Proforma"}</definedName>
    <definedName name="wrn.BlackWhite." hidden="1">{#N/A,#N/A,FALSE,"NNN sum";#N/A,#N/A,FALSE,"10-yr Opt. A Sum";#N/A,#N/A,FALSE,"10-yr Opt A Other Costs";#N/A,#N/A,FALSE,"Purchase Sum";#N/A,#N/A,FALSE,"Purchase Other Costs"}</definedName>
    <definedName name="wrn.Complete._.Review." hidden="1">{#N/A,#N/A,FALSE,"Occ and Rate";#N/A,#N/A,FALSE,"PF Input";#N/A,#N/A,FALSE,"Capital Input";#N/A,#N/A,FALSE,"Proforma Five Yr";#N/A,#N/A,FALSE,"Calculations";#N/A,#N/A,FALSE,"Transaction Summary-DTW"}</definedName>
    <definedName name="wrn.cssa." hidden="1">{#N/A,#N/A,FALSE,"WATCHDSC";#N/A,#N/A,FALSE,"2LOSSMOD";#N/A,#N/A,FALSE,"2LOSS";#N/A,#N/A,FALSE,"DSC";#N/A,#N/A,FALSE,"OPERAT";#N/A,#N/A,FALSE,"ADJUST";#N/A,#N/A,FALSE,"LEASE EXPIRE"}</definedName>
    <definedName name="wrn.data." hidden="1">{"data",#N/A,FALSE,"INPUT"}</definedName>
    <definedName name="wrn.GSA._.PRINT." hidden="1">{#N/A,#N/A,FALSE,"DEV COSTS";#N/A,#N/A,FALSE,"10-YR C. F."}</definedName>
    <definedName name="wrn.Investment._.Review." hidden="1">{#N/A,#N/A,FALSE,"Proforma Five Yr";#N/A,#N/A,FALSE,"Capital Input";#N/A,#N/A,FALSE,"Calculations";#N/A,#N/A,FALSE,"Transaction Summary-DTW"}</definedName>
    <definedName name="wrn.MODEL." hidden="1">{"IS",#N/A,FALSE,"Income Statement";"ISR",#N/A,FALSE,"Income Statement Ratios";"BS",#N/A,FALSE,"Balance Sheet";"BSR",#N/A,FALSE,"Balance Sheet Ratios";"CF",#N/A,FALSE,"Cash Flow";"SALES",#N/A,FALSE,"Sales Analysis";"RR",#N/A,FALSE,"Recent Results"}</definedName>
    <definedName name="wrn.Operations._.Review." hidden="1">{#N/A,#N/A,FALSE,"Proforma Five Yr";#N/A,#N/A,FALSE,"Occ and Rate";#N/A,#N/A,FALSE,"PF Input";#N/A,#N/A,FALSE,"Hotcomps"}</definedName>
    <definedName name="wrn.Phase._.I." hidden="1">{#N/A,#N/A,FALSE,"Transaction Summary-DTW";#N/A,#N/A,FALSE,"Proforma Five Yr";#N/A,#N/A,FALSE,"Occ and Rate"}</definedName>
    <definedName name="wrn.print." hidden="1">{"Assump",#N/A,TRUE,"Proforma";"first",#N/A,TRUE,"Proforma";"second",#N/A,TRUE,"Proforma";"lease1",#N/A,TRUE,"Proforma";"lease2",#N/A,TRUE,"Proforma"}</definedName>
    <definedName name="wrn.Proforma._.Review." hidden="1">{#N/A,#N/A,FALSE,"Occ and Rate";#N/A,#N/A,FALSE,"PF Input";#N/A,#N/A,FALSE,"Proforma Five Yr";#N/A,#N/A,FALSE,"Hotcomps"}</definedName>
    <definedName name="wrn.Report." hidden="1">{#N/A,#N/A,FALSE,"Summary";#N/A,#N/A,FALSE,"Assumptions";#N/A,#N/A,FALSE,"Cash Flow";#N/A,#N/A,FALSE,"Residual Calculation";#N/A,#N/A,FALSE,"Pricing Matrix";#N/A,#N/A,FALSE,"Pricing Matrix II";#N/A,#N/A,FALSE,"Expiration Schedule"}</definedName>
    <definedName name="wrn.Total." hidden="1">{#N/A,#N/A,FALSE,"Exec Sum";#N/A,#N/A,FALSE,"Rent Rate Comp";#N/A,#N/A,FALSE,"Rate, NPV Comp";#N/A,#N/A,FALSE,"Opt A NNN";#N/A,#N/A,FALSE,"15-yr Opt. A Sum";#N/A,#N/A,FALSE,"15-yr Opt A Other Costs";#N/A,#N/A,FALSE,"10-yr Opt. A Sum";#N/A,#N/A,FALSE,"10-yr Opt A Other Costs";#N/A,#N/A,FALSE,"NPV Calc"}</definedName>
    <definedName name="wrn.TOTAL._.SHEETS." hidden="1">{#N/A,#N/A,FALSE,"DEV COSTS";#N/A,#N/A,FALSE,"10-YR C. F."}</definedName>
    <definedName name="wrn.WeeklyStatus." hidden="1">{#N/A,#N/A,FALSE,"StatusReport"}</definedName>
    <definedName name="wrn.YTD.Clsngs.Subdiv.Dte." hidden="1">{"Smry.sbtl.subdiv.clsdte",#N/A,FALSE,"97clsngs.612"}</definedName>
    <definedName name="x" hidden="1">{#N/A,#N/A,FALSE,"WATCHDSC";#N/A,#N/A,FALSE,"2LOSSMOD";#N/A,#N/A,FALSE,"2LOSS";#N/A,#N/A,FALSE,"DSC";#N/A,#N/A,FALSE,"OPERAT";#N/A,#N/A,FALSE,"ADJUST";#N/A,#N/A,FALSE,"LEASE EXPIRE"}</definedName>
  </definedNames>
  <calcPr calcId="191028"/>
  <fileRecoveryPr autoRecover="0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65" i="140" l="1"/>
  <c r="L65" i="140"/>
  <c r="M65" i="140"/>
  <c r="N65" i="140"/>
  <c r="J65" i="140"/>
  <c r="H65" i="140"/>
  <c r="G65" i="140"/>
  <c r="G7" i="140"/>
  <c r="N7" i="140"/>
  <c r="M7" i="140"/>
  <c r="L7" i="140"/>
  <c r="K7" i="140"/>
  <c r="J7" i="140"/>
  <c r="I7" i="140"/>
  <c r="H7" i="140"/>
  <c r="E41" i="152"/>
  <c r="G24" i="152"/>
  <c r="K6" i="105"/>
  <c r="C14" i="152"/>
  <c r="C15" i="152"/>
  <c r="E54" i="149"/>
  <c r="D53" i="149"/>
  <c r="B26" i="149"/>
  <c r="B11" i="149"/>
  <c r="E2" i="162"/>
  <c r="F2" i="162"/>
  <c r="I45" i="142"/>
  <c r="J43" i="142"/>
  <c r="K43" i="142"/>
  <c r="K44" i="142" s="1"/>
  <c r="H45" i="142"/>
  <c r="D65" i="140"/>
  <c r="B77" i="140"/>
  <c r="B76" i="140"/>
  <c r="B75" i="140"/>
  <c r="D5" i="149"/>
  <c r="E50" i="140"/>
  <c r="E64" i="140"/>
  <c r="E63" i="140"/>
  <c r="E62" i="140"/>
  <c r="E61" i="140"/>
  <c r="E60" i="140"/>
  <c r="E59" i="140"/>
  <c r="E58" i="140"/>
  <c r="E57" i="140"/>
  <c r="E41" i="140"/>
  <c r="E44" i="140"/>
  <c r="E43" i="140"/>
  <c r="E42" i="140"/>
  <c r="E40" i="140"/>
  <c r="E39" i="140"/>
  <c r="E38" i="140"/>
  <c r="E37" i="140"/>
  <c r="E36" i="140"/>
  <c r="E32" i="140"/>
  <c r="E35" i="140"/>
  <c r="E34" i="140"/>
  <c r="E33" i="140"/>
  <c r="E56" i="140"/>
  <c r="E55" i="140"/>
  <c r="E54" i="140"/>
  <c r="E31" i="140"/>
  <c r="E30" i="140"/>
  <c r="E53" i="140"/>
  <c r="E52" i="140"/>
  <c r="E51" i="140"/>
  <c r="E27" i="140"/>
  <c r="E28" i="140"/>
  <c r="E26" i="140"/>
  <c r="E25" i="140"/>
  <c r="E22" i="140"/>
  <c r="E21" i="140"/>
  <c r="E24" i="140"/>
  <c r="E23" i="140"/>
  <c r="E20" i="140"/>
  <c r="E49" i="140"/>
  <c r="E48" i="140"/>
  <c r="E47" i="140"/>
  <c r="E46" i="140"/>
  <c r="E45" i="140"/>
  <c r="B15" i="152" l="1"/>
  <c r="D15" i="152" s="1"/>
  <c r="B14" i="152"/>
  <c r="O24" i="105" l="1"/>
  <c r="P24" i="105"/>
  <c r="Q24" i="105"/>
  <c r="R24" i="105"/>
  <c r="S24" i="105"/>
  <c r="T24" i="105"/>
  <c r="U24" i="105"/>
  <c r="V24" i="105"/>
  <c r="W24" i="105"/>
  <c r="X24" i="105"/>
  <c r="Y24" i="105"/>
  <c r="Z24" i="105"/>
  <c r="AA24" i="105"/>
  <c r="AB24" i="105"/>
  <c r="AC24" i="105"/>
  <c r="AD24" i="105"/>
  <c r="AE24" i="105"/>
  <c r="AF24" i="105"/>
  <c r="AG24" i="105"/>
  <c r="AH24" i="105"/>
  <c r="AI24" i="105"/>
  <c r="AJ24" i="105"/>
  <c r="AK24" i="105"/>
  <c r="AL24" i="105"/>
  <c r="AM24" i="105"/>
  <c r="H46" i="142" l="1"/>
  <c r="I46" i="142"/>
  <c r="I47" i="142" s="1"/>
  <c r="I51" i="142" s="1"/>
  <c r="I52" i="142" s="1"/>
  <c r="J44" i="142"/>
  <c r="H47" i="142"/>
  <c r="J45" i="142"/>
  <c r="K45" i="142"/>
  <c r="H48" i="142"/>
  <c r="H51" i="142" s="1"/>
  <c r="H52" i="142" s="1"/>
  <c r="I48" i="142"/>
  <c r="J46" i="142"/>
  <c r="K46" i="142"/>
  <c r="H50" i="142"/>
  <c r="I50" i="142"/>
  <c r="J48" i="142"/>
  <c r="K48" i="142"/>
  <c r="J49" i="142"/>
  <c r="K49" i="142"/>
  <c r="J50" i="142"/>
  <c r="K50" i="142"/>
  <c r="J51" i="142"/>
  <c r="K51" i="142"/>
  <c r="J52" i="142"/>
  <c r="K52" i="142"/>
  <c r="H56" i="142"/>
  <c r="I56" i="142"/>
  <c r="J54" i="142"/>
  <c r="K54" i="142"/>
  <c r="H57" i="142"/>
  <c r="I57" i="142"/>
  <c r="J55" i="142"/>
  <c r="K55" i="142"/>
  <c r="H58" i="142"/>
  <c r="I58" i="142"/>
  <c r="J56" i="142"/>
  <c r="K56" i="142"/>
  <c r="H60" i="142"/>
  <c r="I60" i="142"/>
  <c r="J58" i="142"/>
  <c r="K58" i="142"/>
  <c r="H61" i="142"/>
  <c r="H62" i="142" s="1"/>
  <c r="H63" i="142" s="1"/>
  <c r="H64" i="142" s="1"/>
  <c r="I61" i="142"/>
  <c r="J59" i="142"/>
  <c r="K59" i="142"/>
  <c r="I62" i="142"/>
  <c r="J60" i="142"/>
  <c r="K60" i="142"/>
  <c r="I63" i="142"/>
  <c r="J61" i="142"/>
  <c r="K61" i="142"/>
  <c r="H66" i="142"/>
  <c r="H67" i="142" s="1"/>
  <c r="H71" i="142" s="1"/>
  <c r="H72" i="142" s="1"/>
  <c r="H73" i="142" s="1"/>
  <c r="H74" i="142" s="1"/>
  <c r="I66" i="142"/>
  <c r="J64" i="142"/>
  <c r="K64" i="142"/>
  <c r="I67" i="142"/>
  <c r="J65" i="142"/>
  <c r="K65" i="142"/>
  <c r="H68" i="142"/>
  <c r="I68" i="142"/>
  <c r="J66" i="142"/>
  <c r="K66" i="142"/>
  <c r="H70" i="142"/>
  <c r="I70" i="142"/>
  <c r="J68" i="142"/>
  <c r="K68" i="142"/>
  <c r="I71" i="142"/>
  <c r="J69" i="142"/>
  <c r="K69" i="142"/>
  <c r="I72" i="142"/>
  <c r="J70" i="142"/>
  <c r="J71" i="142" s="1"/>
  <c r="J72" i="142" s="1"/>
  <c r="K70" i="142"/>
  <c r="I73" i="142"/>
  <c r="I74" i="142" s="1"/>
  <c r="H53" i="142" l="1"/>
  <c r="H54" i="142" s="1"/>
  <c r="I53" i="142"/>
  <c r="I54" i="142" s="1"/>
  <c r="K62" i="142"/>
  <c r="J62" i="142"/>
  <c r="I64" i="142"/>
  <c r="K71" i="142"/>
  <c r="K72" i="142" s="1"/>
  <c r="AN8" i="105"/>
  <c r="B74" i="140"/>
  <c r="B73" i="140"/>
  <c r="B72" i="140"/>
  <c r="B71" i="140"/>
  <c r="B70" i="140"/>
  <c r="B69" i="140"/>
  <c r="B68" i="140"/>
  <c r="B67" i="140"/>
  <c r="A1" i="105" s="1"/>
  <c r="B21" i="149"/>
  <c r="C35" i="152" l="1"/>
  <c r="C70" i="152"/>
  <c r="C62" i="152"/>
  <c r="B24" i="152"/>
  <c r="A1" i="162"/>
  <c r="C83" i="149"/>
  <c r="C75" i="149"/>
  <c r="B25" i="149"/>
  <c r="C48" i="149"/>
  <c r="C33" i="149"/>
  <c r="AS8" i="162"/>
  <c r="B21" i="105"/>
  <c r="D21" i="105" s="1"/>
  <c r="F4" i="105"/>
  <c r="G4" i="105" s="1"/>
  <c r="AN4" i="105" s="1"/>
  <c r="B11" i="105"/>
  <c r="H11" i="105" s="1"/>
  <c r="AN11" i="105" s="1"/>
  <c r="B15" i="105"/>
  <c r="H15" i="105" s="1"/>
  <c r="B9" i="105"/>
  <c r="I9" i="105" s="1"/>
  <c r="B23" i="105"/>
  <c r="B22" i="105"/>
  <c r="AO22" i="105" s="1"/>
  <c r="E29" i="140"/>
  <c r="D4" i="152"/>
  <c r="E4" i="152" s="1"/>
  <c r="D5" i="152"/>
  <c r="E5" i="152" s="1"/>
  <c r="B37" i="152"/>
  <c r="B38" i="152"/>
  <c r="C38" i="152" s="1"/>
  <c r="A66" i="152"/>
  <c r="A67" i="152" s="1"/>
  <c r="A79" i="149"/>
  <c r="A80" i="149" s="1"/>
  <c r="B50" i="149"/>
  <c r="C5" i="149"/>
  <c r="C6" i="149"/>
  <c r="C7" i="149"/>
  <c r="C8" i="149"/>
  <c r="B51" i="149"/>
  <c r="D6" i="149"/>
  <c r="D7" i="149"/>
  <c r="D8" i="149"/>
  <c r="C18" i="149"/>
  <c r="C19" i="149"/>
  <c r="B39" i="149"/>
  <c r="D39" i="149" s="1"/>
  <c r="B17" i="105"/>
  <c r="L17" i="105" s="1"/>
  <c r="B21" i="162"/>
  <c r="C21" i="162" s="1"/>
  <c r="B22" i="162"/>
  <c r="N22" i="162" s="1"/>
  <c r="B18" i="162"/>
  <c r="O3" i="162"/>
  <c r="P3" i="162" s="1"/>
  <c r="Q3" i="162" s="1"/>
  <c r="R3" i="162" s="1"/>
  <c r="S3" i="162" s="1"/>
  <c r="T3" i="162" s="1"/>
  <c r="U3" i="162" s="1"/>
  <c r="V3" i="162" s="1"/>
  <c r="W3" i="162" s="1"/>
  <c r="X3" i="162" s="1"/>
  <c r="Y3" i="162" s="1"/>
  <c r="Z3" i="162" s="1"/>
  <c r="AA3" i="162" s="1"/>
  <c r="AB3" i="162" s="1"/>
  <c r="AC3" i="162" s="1"/>
  <c r="AD3" i="162" s="1"/>
  <c r="AE3" i="162" s="1"/>
  <c r="AF3" i="162" s="1"/>
  <c r="AG3" i="162" s="1"/>
  <c r="AH3" i="162" s="1"/>
  <c r="AI3" i="162" s="1"/>
  <c r="AJ3" i="162" s="1"/>
  <c r="AK3" i="162" s="1"/>
  <c r="AL3" i="162" s="1"/>
  <c r="AM3" i="162" s="1"/>
  <c r="AN3" i="162" s="1"/>
  <c r="AO3" i="162" s="1"/>
  <c r="AP3" i="162" s="1"/>
  <c r="F1" i="162"/>
  <c r="E1" i="162"/>
  <c r="D1" i="162"/>
  <c r="C1" i="162"/>
  <c r="G1" i="105"/>
  <c r="E1" i="105"/>
  <c r="D1" i="105"/>
  <c r="C1" i="105"/>
  <c r="B8" i="162"/>
  <c r="A8" i="162"/>
  <c r="B8" i="105"/>
  <c r="AO8" i="105" s="1"/>
  <c r="AP8" i="105" s="1"/>
  <c r="A8" i="105"/>
  <c r="B23" i="162"/>
  <c r="M23" i="162" s="1"/>
  <c r="A23" i="162"/>
  <c r="A22" i="162"/>
  <c r="A21" i="162"/>
  <c r="AQ20" i="162"/>
  <c r="A20" i="162"/>
  <c r="B19" i="162"/>
  <c r="AR19" i="162" s="1"/>
  <c r="A19" i="162"/>
  <c r="A18" i="162"/>
  <c r="B17" i="162"/>
  <c r="AR17" i="162" s="1"/>
  <c r="A17" i="162"/>
  <c r="A16" i="162"/>
  <c r="B15" i="162"/>
  <c r="N15" i="162" s="1"/>
  <c r="A15" i="162"/>
  <c r="A14" i="162"/>
  <c r="A13" i="162"/>
  <c r="A12" i="162"/>
  <c r="B11" i="162"/>
  <c r="AR11" i="162" s="1"/>
  <c r="A11" i="162"/>
  <c r="B10" i="162"/>
  <c r="I10" i="162" s="1"/>
  <c r="AR10" i="162"/>
  <c r="A10" i="162"/>
  <c r="B9" i="162"/>
  <c r="AR9" i="162" s="1"/>
  <c r="A9" i="162"/>
  <c r="A7" i="162"/>
  <c r="A6" i="162"/>
  <c r="A5" i="162"/>
  <c r="A24" i="162"/>
  <c r="F4" i="162"/>
  <c r="G4" i="162" s="1"/>
  <c r="AQ19" i="162"/>
  <c r="G10" i="162"/>
  <c r="AR18" i="162"/>
  <c r="AS18" i="162" s="1"/>
  <c r="C2" i="105"/>
  <c r="G2" i="105"/>
  <c r="E2" i="105"/>
  <c r="B27" i="152"/>
  <c r="B25" i="152"/>
  <c r="F8" i="152"/>
  <c r="B31" i="162"/>
  <c r="AQ18" i="162"/>
  <c r="B23" i="152"/>
  <c r="B16" i="152"/>
  <c r="D14" i="152"/>
  <c r="C10" i="152"/>
  <c r="B26" i="152" s="1"/>
  <c r="B28" i="152" s="1"/>
  <c r="B29" i="152" s="1"/>
  <c r="B10" i="152"/>
  <c r="D53" i="152" s="1"/>
  <c r="A24" i="105"/>
  <c r="A23" i="105"/>
  <c r="A22" i="105"/>
  <c r="A21" i="105"/>
  <c r="A20" i="105"/>
  <c r="A19" i="105"/>
  <c r="A18" i="105"/>
  <c r="A17" i="105"/>
  <c r="A16" i="105"/>
  <c r="A15" i="105"/>
  <c r="A14" i="105"/>
  <c r="A13" i="105"/>
  <c r="A12" i="105"/>
  <c r="A11" i="105"/>
  <c r="B10" i="105"/>
  <c r="AO10" i="105" s="1"/>
  <c r="A10" i="105"/>
  <c r="A9" i="105"/>
  <c r="A7" i="105"/>
  <c r="A6" i="105"/>
  <c r="A5" i="105"/>
  <c r="A30" i="149"/>
  <c r="B101" i="149"/>
  <c r="A28" i="149"/>
  <c r="B24" i="149"/>
  <c r="B28" i="149" s="1"/>
  <c r="E52" i="142"/>
  <c r="E53" i="142" s="1"/>
  <c r="E55" i="142" s="1"/>
  <c r="E56" i="142" s="1"/>
  <c r="D52" i="142"/>
  <c r="D53" i="142" s="1"/>
  <c r="D55" i="142" s="1"/>
  <c r="D56" i="142" s="1"/>
  <c r="C52" i="142"/>
  <c r="C53" i="142" s="1"/>
  <c r="C55" i="142" s="1"/>
  <c r="C56" i="142" s="1"/>
  <c r="B52" i="142"/>
  <c r="B53" i="142" s="1"/>
  <c r="B55" i="142" s="1"/>
  <c r="B56" i="142" s="1"/>
  <c r="E46" i="142"/>
  <c r="E47" i="142" s="1"/>
  <c r="E49" i="142" s="1"/>
  <c r="E50" i="142" s="1"/>
  <c r="D46" i="142"/>
  <c r="D47" i="142" s="1"/>
  <c r="D49" i="142" s="1"/>
  <c r="D50" i="142" s="1"/>
  <c r="C46" i="142"/>
  <c r="C47" i="142" s="1"/>
  <c r="C49" i="142" s="1"/>
  <c r="C50" i="142" s="1"/>
  <c r="B46" i="142"/>
  <c r="B47" i="142" s="1"/>
  <c r="B49" i="142" s="1"/>
  <c r="B50" i="142" s="1"/>
  <c r="E58" i="142"/>
  <c r="E59" i="142"/>
  <c r="E61" i="142" s="1"/>
  <c r="E62" i="142" s="1"/>
  <c r="D58" i="142"/>
  <c r="D59" i="142" s="1"/>
  <c r="D61" i="142" s="1"/>
  <c r="D62" i="142" s="1"/>
  <c r="C58" i="142"/>
  <c r="C59" i="142" s="1"/>
  <c r="C61" i="142" s="1"/>
  <c r="C62" i="142" s="1"/>
  <c r="B58" i="142"/>
  <c r="B59" i="142" s="1"/>
  <c r="B61" i="142" s="1"/>
  <c r="B62" i="142" s="1"/>
  <c r="B31" i="105"/>
  <c r="AN10" i="105"/>
  <c r="AR15" i="162" l="1"/>
  <c r="I11" i="162"/>
  <c r="AQ11" i="162" s="1"/>
  <c r="H15" i="162"/>
  <c r="B19" i="149"/>
  <c r="D19" i="149" s="1"/>
  <c r="B15" i="149"/>
  <c r="D15" i="149" s="1"/>
  <c r="E15" i="149" s="1"/>
  <c r="B18" i="149"/>
  <c r="B16" i="149"/>
  <c r="D16" i="149" s="1"/>
  <c r="E16" i="149" s="1"/>
  <c r="D51" i="152"/>
  <c r="D50" i="152"/>
  <c r="C48" i="152"/>
  <c r="B16" i="162" s="1"/>
  <c r="L16" i="162" s="1"/>
  <c r="AQ16" i="162" s="1"/>
  <c r="C11" i="149"/>
  <c r="C12" i="149" s="1"/>
  <c r="G45" i="140"/>
  <c r="D68" i="149"/>
  <c r="AO21" i="105"/>
  <c r="AR22" i="162"/>
  <c r="F10" i="162"/>
  <c r="E9" i="162"/>
  <c r="I9" i="162" s="1"/>
  <c r="AQ9" i="162" s="1"/>
  <c r="AS9" i="162" s="1"/>
  <c r="AS11" i="162"/>
  <c r="AS19" i="162"/>
  <c r="D49" i="152"/>
  <c r="D43" i="152"/>
  <c r="C11" i="152"/>
  <c r="AR21" i="162"/>
  <c r="D41" i="152"/>
  <c r="D47" i="152"/>
  <c r="D55" i="152"/>
  <c r="D54" i="152"/>
  <c r="AR23" i="162"/>
  <c r="I21" i="162"/>
  <c r="C37" i="152"/>
  <c r="C39" i="152" s="1"/>
  <c r="C44" i="152" s="1"/>
  <c r="D42" i="152"/>
  <c r="D21" i="162"/>
  <c r="F8" i="149"/>
  <c r="D67" i="149"/>
  <c r="D54" i="149"/>
  <c r="C51" i="149"/>
  <c r="B6" i="105" s="1"/>
  <c r="H6" i="105" s="1"/>
  <c r="AO17" i="105"/>
  <c r="B6" i="162"/>
  <c r="N6" i="162" s="1"/>
  <c r="D38" i="152"/>
  <c r="E10" i="152"/>
  <c r="D32" i="152" s="1"/>
  <c r="C52" i="152" s="1"/>
  <c r="B20" i="162" s="1"/>
  <c r="AR20" i="162" s="1"/>
  <c r="AS20" i="162" s="1"/>
  <c r="E5" i="149"/>
  <c r="E11" i="149" s="1"/>
  <c r="D12" i="149" s="1"/>
  <c r="E8" i="149"/>
  <c r="E7" i="149"/>
  <c r="D16" i="152"/>
  <c r="C16" i="152" s="1"/>
  <c r="H4" i="162"/>
  <c r="AQ4" i="162"/>
  <c r="AQ22" i="162"/>
  <c r="J10" i="162"/>
  <c r="N23" i="162"/>
  <c r="L23" i="162"/>
  <c r="AQ15" i="162"/>
  <c r="AS15" i="162" s="1"/>
  <c r="AQ17" i="162"/>
  <c r="AS17" i="162" s="1"/>
  <c r="I23" i="162"/>
  <c r="J23" i="162"/>
  <c r="K23" i="162"/>
  <c r="AP10" i="105"/>
  <c r="AO23" i="105"/>
  <c r="E6" i="149"/>
  <c r="AO11" i="105"/>
  <c r="AP11" i="105" s="1"/>
  <c r="J23" i="105"/>
  <c r="J22" i="105"/>
  <c r="L23" i="105"/>
  <c r="L22" i="105"/>
  <c r="AO15" i="105"/>
  <c r="J15" i="105"/>
  <c r="I23" i="105"/>
  <c r="M22" i="105"/>
  <c r="D66" i="149"/>
  <c r="C21" i="105"/>
  <c r="C61" i="149"/>
  <c r="D56" i="149"/>
  <c r="I21" i="105"/>
  <c r="D60" i="149"/>
  <c r="D62" i="149"/>
  <c r="AN17" i="105"/>
  <c r="D55" i="149"/>
  <c r="AO9" i="105"/>
  <c r="AN9" i="105"/>
  <c r="D52" i="152" l="1"/>
  <c r="B20" i="149"/>
  <c r="AS22" i="162"/>
  <c r="D18" i="149"/>
  <c r="D20" i="149" s="1"/>
  <c r="C65" i="149" s="1"/>
  <c r="B20" i="105" s="1"/>
  <c r="AR16" i="162"/>
  <c r="AS16" i="162" s="1"/>
  <c r="D48" i="152"/>
  <c r="B5" i="162"/>
  <c r="H5" i="162" s="1"/>
  <c r="D37" i="152"/>
  <c r="AQ10" i="162"/>
  <c r="AS10" i="162" s="1"/>
  <c r="F6" i="162"/>
  <c r="AQ21" i="162"/>
  <c r="AS21" i="162" s="1"/>
  <c r="AP17" i="105"/>
  <c r="J6" i="105"/>
  <c r="M6" i="162"/>
  <c r="AO6" i="105"/>
  <c r="G6" i="162"/>
  <c r="K6" i="162"/>
  <c r="D6" i="105"/>
  <c r="D6" i="162"/>
  <c r="C6" i="162"/>
  <c r="L6" i="162"/>
  <c r="I6" i="162"/>
  <c r="L6" i="105"/>
  <c r="C6" i="105"/>
  <c r="N6" i="105"/>
  <c r="D51" i="149"/>
  <c r="M6" i="105"/>
  <c r="G6" i="105"/>
  <c r="F6" i="105"/>
  <c r="E6" i="105"/>
  <c r="I6" i="105"/>
  <c r="H6" i="162"/>
  <c r="E6" i="162"/>
  <c r="AR6" i="162"/>
  <c r="J6" i="162"/>
  <c r="D11" i="152"/>
  <c r="C39" i="149"/>
  <c r="D35" i="149"/>
  <c r="B35" i="149" s="1"/>
  <c r="C46" i="152"/>
  <c r="B7" i="162"/>
  <c r="H7" i="162" s="1"/>
  <c r="D39" i="152"/>
  <c r="D33" i="152"/>
  <c r="D34" i="152" s="1"/>
  <c r="B32" i="152"/>
  <c r="C32" i="152"/>
  <c r="B12" i="162"/>
  <c r="D44" i="152"/>
  <c r="C45" i="152"/>
  <c r="AQ23" i="162"/>
  <c r="AS23" i="162" s="1"/>
  <c r="AN15" i="105"/>
  <c r="AP15" i="105" s="1"/>
  <c r="AN22" i="105"/>
  <c r="AP22" i="105" s="1"/>
  <c r="AP9" i="105"/>
  <c r="AN23" i="105"/>
  <c r="AP23" i="105" s="1"/>
  <c r="AN21" i="105"/>
  <c r="AP21" i="105" s="1"/>
  <c r="B16" i="105"/>
  <c r="D61" i="149"/>
  <c r="D65" i="149" l="1"/>
  <c r="D5" i="162"/>
  <c r="K5" i="162"/>
  <c r="H45" i="140"/>
  <c r="C64" i="149"/>
  <c r="A36" i="149"/>
  <c r="C50" i="149"/>
  <c r="D50" i="149" s="1"/>
  <c r="B27" i="149"/>
  <c r="B29" i="149" s="1"/>
  <c r="B30" i="149" s="1"/>
  <c r="C20" i="149"/>
  <c r="D36" i="149"/>
  <c r="D37" i="149" s="1"/>
  <c r="D40" i="149" s="1"/>
  <c r="I5" i="162"/>
  <c r="N5" i="162"/>
  <c r="E5" i="162"/>
  <c r="L5" i="162"/>
  <c r="F5" i="162"/>
  <c r="G5" i="162"/>
  <c r="J5" i="162"/>
  <c r="AR5" i="162"/>
  <c r="C5" i="162"/>
  <c r="M5" i="162"/>
  <c r="C56" i="152"/>
  <c r="B58" i="152" s="1"/>
  <c r="AQ6" i="162"/>
  <c r="AS6" i="162" s="1"/>
  <c r="B13" i="162"/>
  <c r="K13" i="162" s="1"/>
  <c r="AN6" i="105"/>
  <c r="AP6" i="105" s="1"/>
  <c r="D45" i="152"/>
  <c r="C7" i="162"/>
  <c r="D7" i="162"/>
  <c r="AR7" i="162"/>
  <c r="K7" i="162"/>
  <c r="E7" i="162"/>
  <c r="L7" i="162"/>
  <c r="N7" i="162"/>
  <c r="G7" i="162"/>
  <c r="I7" i="162"/>
  <c r="M7" i="162"/>
  <c r="J7" i="162"/>
  <c r="F7" i="162"/>
  <c r="B14" i="162"/>
  <c r="D46" i="152"/>
  <c r="B72" i="152"/>
  <c r="B59" i="152"/>
  <c r="C35" i="149"/>
  <c r="H12" i="162"/>
  <c r="H24" i="162" s="1"/>
  <c r="H39" i="162" s="1"/>
  <c r="F12" i="162"/>
  <c r="I12" i="162"/>
  <c r="L12" i="162"/>
  <c r="K12" i="162"/>
  <c r="E12" i="162"/>
  <c r="G12" i="162"/>
  <c r="AR12" i="162"/>
  <c r="J12" i="162"/>
  <c r="N16" i="105"/>
  <c r="AO16" i="105"/>
  <c r="M20" i="105"/>
  <c r="AN20" i="105" s="1"/>
  <c r="AO20" i="105"/>
  <c r="B19" i="105" l="1"/>
  <c r="D64" i="149"/>
  <c r="D56" i="152"/>
  <c r="B66" i="152"/>
  <c r="G55" i="152" s="1"/>
  <c r="AQ5" i="162"/>
  <c r="AS5" i="162" s="1"/>
  <c r="B5" i="105"/>
  <c r="C52" i="149"/>
  <c r="B60" i="152"/>
  <c r="B64" i="152" s="1"/>
  <c r="C64" i="152" s="1"/>
  <c r="B67" i="152"/>
  <c r="B76" i="152" s="1"/>
  <c r="C13" i="162"/>
  <c r="B24" i="162"/>
  <c r="AR13" i="162"/>
  <c r="F13" i="162"/>
  <c r="E13" i="162"/>
  <c r="L13" i="162"/>
  <c r="B75" i="152"/>
  <c r="N13" i="162"/>
  <c r="M13" i="162"/>
  <c r="G13" i="162"/>
  <c r="D13" i="162"/>
  <c r="J13" i="162"/>
  <c r="I13" i="162"/>
  <c r="D42" i="149"/>
  <c r="D45" i="149"/>
  <c r="B45" i="149" s="1"/>
  <c r="AQ7" i="162"/>
  <c r="AS7" i="162" s="1"/>
  <c r="K14" i="162"/>
  <c r="K24" i="162" s="1"/>
  <c r="K39" i="162" s="1"/>
  <c r="AR14" i="162"/>
  <c r="L14" i="162"/>
  <c r="M14" i="162"/>
  <c r="C14" i="162"/>
  <c r="C24" i="162" s="1"/>
  <c r="F14" i="162"/>
  <c r="J14" i="162"/>
  <c r="N14" i="162"/>
  <c r="D14" i="162"/>
  <c r="I14" i="162"/>
  <c r="E14" i="162"/>
  <c r="G14" i="162"/>
  <c r="B73" i="152"/>
  <c r="B74" i="152" s="1"/>
  <c r="B79" i="152"/>
  <c r="AQ12" i="162"/>
  <c r="AS12" i="162" s="1"/>
  <c r="AN16" i="105"/>
  <c r="AP16" i="105" s="1"/>
  <c r="AP20" i="105"/>
  <c r="D41" i="149"/>
  <c r="B40" i="149"/>
  <c r="C40" i="149"/>
  <c r="C5" i="105" l="1"/>
  <c r="K5" i="105"/>
  <c r="B29" i="162"/>
  <c r="B30" i="162" s="1"/>
  <c r="G56" i="152"/>
  <c r="C66" i="152"/>
  <c r="D52" i="149"/>
  <c r="C59" i="149"/>
  <c r="B7" i="105"/>
  <c r="K7" i="105" s="1"/>
  <c r="C57" i="149"/>
  <c r="N5" i="105"/>
  <c r="J5" i="105"/>
  <c r="E5" i="105"/>
  <c r="H5" i="105"/>
  <c r="AO5" i="105"/>
  <c r="G5" i="105"/>
  <c r="M5" i="105"/>
  <c r="I5" i="105"/>
  <c r="L5" i="105"/>
  <c r="F5" i="105"/>
  <c r="D5" i="105"/>
  <c r="L19" i="105"/>
  <c r="AN19" i="105" s="1"/>
  <c r="AO19" i="105"/>
  <c r="C67" i="152"/>
  <c r="B28" i="162"/>
  <c r="B68" i="152"/>
  <c r="AR24" i="162"/>
  <c r="J24" i="162"/>
  <c r="J39" i="162" s="1"/>
  <c r="AQ13" i="162"/>
  <c r="AS13" i="162" s="1"/>
  <c r="F24" i="162"/>
  <c r="F39" i="162" s="1"/>
  <c r="G24" i="162"/>
  <c r="G39" i="162" s="1"/>
  <c r="M24" i="162"/>
  <c r="M39" i="162" s="1"/>
  <c r="L24" i="162"/>
  <c r="L39" i="162" s="1"/>
  <c r="N24" i="162"/>
  <c r="N39" i="162" s="1"/>
  <c r="E24" i="162"/>
  <c r="E39" i="162" s="1"/>
  <c r="C45" i="149"/>
  <c r="C63" i="149"/>
  <c r="D24" i="162"/>
  <c r="D39" i="162" s="1"/>
  <c r="I24" i="162"/>
  <c r="I39" i="162" s="1"/>
  <c r="B65" i="152"/>
  <c r="C65" i="152" s="1"/>
  <c r="B25" i="162"/>
  <c r="B38" i="162" s="1"/>
  <c r="D43" i="149"/>
  <c r="AQ14" i="162"/>
  <c r="AS14" i="162" s="1"/>
  <c r="B80" i="152"/>
  <c r="B77" i="152"/>
  <c r="B84" i="152" s="1"/>
  <c r="B33" i="162"/>
  <c r="C39" i="162"/>
  <c r="C27" i="162"/>
  <c r="C68" i="152" l="1"/>
  <c r="AN5" i="105"/>
  <c r="AP5" i="105" s="1"/>
  <c r="B14" i="105"/>
  <c r="D59" i="149"/>
  <c r="AP19" i="105"/>
  <c r="D57" i="149"/>
  <c r="B12" i="105"/>
  <c r="K12" i="105" s="1"/>
  <c r="C58" i="149"/>
  <c r="H7" i="105"/>
  <c r="N7" i="105"/>
  <c r="E7" i="105"/>
  <c r="C7" i="105"/>
  <c r="G7" i="105"/>
  <c r="D7" i="105"/>
  <c r="L7" i="105"/>
  <c r="M7" i="105"/>
  <c r="F7" i="105"/>
  <c r="J7" i="105"/>
  <c r="AO7" i="105"/>
  <c r="I7" i="105"/>
  <c r="C43" i="149"/>
  <c r="D46" i="149"/>
  <c r="D47" i="149" s="1"/>
  <c r="B18" i="105"/>
  <c r="AO18" i="105" s="1"/>
  <c r="D63" i="149"/>
  <c r="B26" i="162"/>
  <c r="B43" i="149"/>
  <c r="AQ24" i="162"/>
  <c r="C28" i="162"/>
  <c r="D27" i="162" s="1"/>
  <c r="D34" i="162" s="1"/>
  <c r="C34" i="162"/>
  <c r="B39" i="162"/>
  <c r="B40" i="162" s="1"/>
  <c r="B41" i="162" s="1"/>
  <c r="AN7" i="105" l="1"/>
  <c r="AP7" i="105" s="1"/>
  <c r="D58" i="149"/>
  <c r="B13" i="105"/>
  <c r="B24" i="105" s="1"/>
  <c r="C69" i="149"/>
  <c r="B71" i="149" s="1"/>
  <c r="I12" i="105"/>
  <c r="H12" i="105"/>
  <c r="H24" i="105" s="1"/>
  <c r="H39" i="105" s="1"/>
  <c r="F12" i="105"/>
  <c r="AO12" i="105"/>
  <c r="G12" i="105"/>
  <c r="J12" i="105"/>
  <c r="E12" i="105"/>
  <c r="D14" i="105"/>
  <c r="L14" i="105"/>
  <c r="G14" i="105"/>
  <c r="F14" i="105"/>
  <c r="J14" i="105"/>
  <c r="C14" i="105"/>
  <c r="AO14" i="105"/>
  <c r="E14" i="105"/>
  <c r="I14" i="105"/>
  <c r="B46" i="149"/>
  <c r="B85" i="149"/>
  <c r="J45" i="140"/>
  <c r="B72" i="149"/>
  <c r="D28" i="162"/>
  <c r="E27" i="162" s="1"/>
  <c r="E34" i="162" s="1"/>
  <c r="B70" i="149" l="1"/>
  <c r="AN12" i="105"/>
  <c r="AP12" i="105" s="1"/>
  <c r="L13" i="105"/>
  <c r="L24" i="105" s="1"/>
  <c r="L39" i="105" s="1"/>
  <c r="I13" i="105"/>
  <c r="I24" i="105" s="1"/>
  <c r="I39" i="105" s="1"/>
  <c r="F13" i="105"/>
  <c r="F24" i="105" s="1"/>
  <c r="F39" i="105" s="1"/>
  <c r="E13" i="105"/>
  <c r="E24" i="105" s="1"/>
  <c r="E39" i="105" s="1"/>
  <c r="G13" i="105"/>
  <c r="G24" i="105" s="1"/>
  <c r="G39" i="105" s="1"/>
  <c r="J13" i="105"/>
  <c r="J24" i="105" s="1"/>
  <c r="J39" i="105" s="1"/>
  <c r="AO13" i="105"/>
  <c r="AO24" i="105" s="1"/>
  <c r="C13" i="105"/>
  <c r="D13" i="105"/>
  <c r="D24" i="105" s="1"/>
  <c r="D39" i="105" s="1"/>
  <c r="AN14" i="105"/>
  <c r="AP14" i="105" s="1"/>
  <c r="B80" i="149"/>
  <c r="B79" i="149"/>
  <c r="K45" i="140"/>
  <c r="D69" i="149"/>
  <c r="B73" i="149"/>
  <c r="B77" i="149" s="1"/>
  <c r="B92" i="149"/>
  <c r="B86" i="149"/>
  <c r="B87" i="149" s="1"/>
  <c r="E28" i="162"/>
  <c r="F27" i="162" s="1"/>
  <c r="F34" i="162" s="1"/>
  <c r="N45" i="140" l="1"/>
  <c r="B81" i="149"/>
  <c r="G68" i="149"/>
  <c r="B100" i="149"/>
  <c r="B88" i="149"/>
  <c r="C79" i="149"/>
  <c r="B29" i="105"/>
  <c r="B30" i="105" s="1"/>
  <c r="M45" i="140"/>
  <c r="G69" i="149"/>
  <c r="B89" i="149"/>
  <c r="B28" i="105"/>
  <c r="L45" i="140"/>
  <c r="C80" i="149"/>
  <c r="C24" i="105"/>
  <c r="AN13" i="105"/>
  <c r="AP13" i="105" s="1"/>
  <c r="B93" i="149"/>
  <c r="B33" i="105"/>
  <c r="N34" i="105" s="1"/>
  <c r="C77" i="149"/>
  <c r="B25" i="105"/>
  <c r="B26" i="105" s="1"/>
  <c r="B78" i="149"/>
  <c r="C78" i="149" s="1"/>
  <c r="F28" i="162"/>
  <c r="G27" i="162" s="1"/>
  <c r="G34" i="162" s="1"/>
  <c r="B90" i="149" l="1"/>
  <c r="B97" i="149" s="1"/>
  <c r="M18" i="105"/>
  <c r="N18" i="105"/>
  <c r="N24" i="105" s="1"/>
  <c r="C27" i="105"/>
  <c r="C39" i="105"/>
  <c r="C81" i="149"/>
  <c r="G28" i="162"/>
  <c r="H27" i="162" s="1"/>
  <c r="H34" i="162" s="1"/>
  <c r="B38" i="105"/>
  <c r="N39" i="105" l="1"/>
  <c r="C34" i="105"/>
  <c r="C28" i="105"/>
  <c r="D27" i="105" s="1"/>
  <c r="D34" i="105" s="1"/>
  <c r="M24" i="105"/>
  <c r="M39" i="105" s="1"/>
  <c r="AN18" i="105"/>
  <c r="H28" i="162"/>
  <c r="I27" i="162" s="1"/>
  <c r="I34" i="162" s="1"/>
  <c r="B39" i="105" l="1"/>
  <c r="B40" i="105" s="1"/>
  <c r="B41" i="105" s="1"/>
  <c r="B99" i="149" s="1"/>
  <c r="D28" i="105"/>
  <c r="E27" i="105" s="1"/>
  <c r="E34" i="105" s="1"/>
  <c r="AP18" i="105"/>
  <c r="AN24" i="105"/>
  <c r="I28" i="162"/>
  <c r="J27" i="162" s="1"/>
  <c r="J34" i="162" s="1"/>
  <c r="E28" i="105" l="1"/>
  <c r="F27" i="105" s="1"/>
  <c r="F34" i="105" s="1"/>
  <c r="J28" i="162"/>
  <c r="K27" i="162" s="1"/>
  <c r="K34" i="162" s="1"/>
  <c r="F28" i="105" l="1"/>
  <c r="G27" i="105" s="1"/>
  <c r="G28" i="105" s="1"/>
  <c r="H27" i="105" s="1"/>
  <c r="H28" i="105" s="1"/>
  <c r="I27" i="105" s="1"/>
  <c r="I28" i="105" s="1"/>
  <c r="J27" i="105" s="1"/>
  <c r="J28" i="105" s="1"/>
  <c r="K28" i="162"/>
  <c r="L27" i="162" s="1"/>
  <c r="L34" i="162" s="1"/>
  <c r="G34" i="105" l="1"/>
  <c r="H34" i="105"/>
  <c r="I34" i="105"/>
  <c r="L28" i="162"/>
  <c r="M27" i="162" s="1"/>
  <c r="M34" i="162" s="1"/>
  <c r="M28" i="162" l="1"/>
  <c r="N27" i="162" s="1"/>
  <c r="N34" i="162" s="1"/>
  <c r="N28" i="162" l="1"/>
  <c r="L27" i="105" l="1"/>
  <c r="B34" i="162" l="1"/>
  <c r="B35" i="162" s="1"/>
  <c r="B36" i="162" s="1"/>
  <c r="B85" i="152" s="1"/>
  <c r="B27" i="162"/>
  <c r="L28" i="105"/>
  <c r="J34" i="105"/>
  <c r="M27" i="105" l="1"/>
  <c r="L34" i="105"/>
  <c r="M28" i="105" l="1"/>
  <c r="N27" i="105" s="1"/>
  <c r="N28" i="105" s="1"/>
  <c r="M34" i="105" l="1"/>
  <c r="B34" i="105" l="1"/>
  <c r="B35" i="105" s="1"/>
  <c r="B36" i="105" s="1"/>
  <c r="O27" i="105"/>
  <c r="O28" i="105" l="1"/>
  <c r="P27" i="105" s="1"/>
  <c r="B98" i="149"/>
  <c r="P28" i="105" l="1"/>
  <c r="Q27" i="105" s="1"/>
  <c r="Q28" i="105" s="1"/>
  <c r="R27" i="105" s="1"/>
  <c r="R28" i="105" l="1"/>
  <c r="S27" i="105" s="1"/>
  <c r="S28" i="105" l="1"/>
  <c r="T27" i="105" s="1"/>
  <c r="T28" i="105" l="1"/>
  <c r="U27" i="105" s="1"/>
  <c r="U28" i="105" l="1"/>
  <c r="V27" i="105" s="1"/>
  <c r="V28" i="105" l="1"/>
  <c r="W27" i="105" s="1"/>
  <c r="W28" i="105" s="1"/>
  <c r="X27" i="105" s="1"/>
  <c r="X28" i="105" s="1"/>
  <c r="Y27" i="105" s="1"/>
  <c r="Y28" i="105" s="1"/>
  <c r="Z27" i="105" s="1"/>
  <c r="Z28" i="105" s="1"/>
  <c r="AA27" i="105" s="1"/>
  <c r="AA28" i="105" s="1"/>
  <c r="AB27" i="105" s="1"/>
  <c r="AB28" i="105" s="1"/>
  <c r="AC27" i="105" s="1"/>
  <c r="AC28" i="105" s="1"/>
  <c r="AD27" i="105" s="1"/>
  <c r="AD28" i="105" s="1"/>
  <c r="AE27" i="105" s="1"/>
  <c r="AE28" i="105" s="1"/>
  <c r="AF27" i="105" s="1"/>
  <c r="AF28" i="105" s="1"/>
  <c r="AG27" i="105" s="1"/>
  <c r="AG28" i="105" s="1"/>
  <c r="AH27" i="105" s="1"/>
  <c r="AH28" i="105" s="1"/>
  <c r="AI27" i="105" s="1"/>
  <c r="AI28" i="105" s="1"/>
  <c r="AJ27" i="105" s="1"/>
  <c r="AJ28" i="105" s="1"/>
  <c r="AK27" i="105" s="1"/>
  <c r="AK28" i="105" s="1"/>
  <c r="AL27" i="105" s="1"/>
  <c r="AL28" i="105" s="1"/>
  <c r="AM27" i="105" s="1"/>
  <c r="B27" i="10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A86" authorId="0" shapeId="0" xr:uid="{3C4A0471-2B2B-4A1B-8A74-9D0C743D7552}">
      <text>
        <r>
          <rPr>
            <b/>
            <sz val="10"/>
            <color rgb="FF000000"/>
            <rFont val="Calibri"/>
            <family val="2"/>
          </rPr>
          <t>Microsoft Office User:</t>
        </r>
        <r>
          <rPr>
            <sz val="14"/>
            <color rgb="FF000000"/>
            <rFont val="Calibri"/>
            <family val="2"/>
          </rPr>
          <t xml:space="preserve">
</t>
        </r>
        <r>
          <rPr>
            <sz val="14"/>
            <color rgb="FF000000"/>
            <rFont val="Calibri"/>
            <family val="2"/>
          </rPr>
          <t>Need to confirm transfer taxes and brokerage commissions combined are 3% or less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A73" authorId="0" shapeId="0" xr:uid="{7A5C414E-B734-4BF7-8511-47B8062B5959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4"/>
            <color indexed="81"/>
            <rFont val="Calibri"/>
            <family val="2"/>
          </rPr>
          <t xml:space="preserve">
Need to confirm transfer taxes and brokerage commissions combined are 3% or less</t>
        </r>
      </text>
    </comment>
  </commentList>
</comments>
</file>

<file path=xl/sharedStrings.xml><?xml version="1.0" encoding="utf-8"?>
<sst xmlns="http://schemas.openxmlformats.org/spreadsheetml/2006/main" count="570" uniqueCount="332">
  <si>
    <t>Source: Moody's Analytics</t>
  </si>
  <si>
    <t>2021 CBRE CAP Rate Survey</t>
  </si>
  <si>
    <r>
      <rPr>
        <b/>
        <sz val="10"/>
        <color theme="1"/>
        <rFont val="Arial"/>
        <family val="2"/>
      </rPr>
      <t>TEAM</t>
    </r>
    <r>
      <rPr>
        <sz val="10"/>
        <color theme="1"/>
        <rFont val="Arial"/>
        <family val="2"/>
      </rPr>
      <t xml:space="preserve"> #__8419___</t>
    </r>
  </si>
  <si>
    <t>Rents, Sales prices, NOI and cap rates</t>
  </si>
  <si>
    <t>Project Cost Estimating parameters</t>
  </si>
  <si>
    <t>Market Rate Housing Rents and Sales Prices</t>
  </si>
  <si>
    <t>Office</t>
  </si>
  <si>
    <t>Rent per SF(NNN)</t>
  </si>
  <si>
    <t>Exit Assumptions</t>
  </si>
  <si>
    <t>Type</t>
  </si>
  <si>
    <t>Basis</t>
  </si>
  <si>
    <t>Studio</t>
  </si>
  <si>
    <t>Rents/Month</t>
  </si>
  <si>
    <t>Sale Prices/SF</t>
  </si>
  <si>
    <t>Class A Office</t>
  </si>
  <si>
    <t>Cap Rate</t>
  </si>
  <si>
    <t>Type V Hard Costs for Construction</t>
  </si>
  <si>
    <t>Average Size in SF</t>
  </si>
  <si>
    <t>-</t>
  </si>
  <si>
    <t>Ground Floor Retail</t>
  </si>
  <si>
    <t>Affordable Rental</t>
  </si>
  <si>
    <t>Type III Hard Costs for Construction</t>
  </si>
  <si>
    <t>Rent or Price PSF</t>
  </si>
  <si>
    <t>Co-Working Office</t>
  </si>
  <si>
    <t>Market Rate Rental</t>
  </si>
  <si>
    <t>Type I Hard Costs for Construcion</t>
  </si>
  <si>
    <t>1BR</t>
  </si>
  <si>
    <t>Artists Studios</t>
  </si>
  <si>
    <t>Parking Costs</t>
  </si>
  <si>
    <t>See Parking Mix table</t>
  </si>
  <si>
    <t>Retail</t>
  </si>
  <si>
    <t>Hard Cost Contingency</t>
  </si>
  <si>
    <t>Parking</t>
  </si>
  <si>
    <t>2BR</t>
  </si>
  <si>
    <t>Traditional Retail</t>
  </si>
  <si>
    <t>Sale Costs</t>
  </si>
  <si>
    <t>Legal</t>
  </si>
  <si>
    <t>NOI Calculation</t>
  </si>
  <si>
    <t>Land Closing Costs/commissions</t>
  </si>
  <si>
    <t>Estimate</t>
  </si>
  <si>
    <t>Additional Mixed use revenues after parking</t>
  </si>
  <si>
    <t>Leverage Assumptions</t>
  </si>
  <si>
    <t xml:space="preserve">Design </t>
  </si>
  <si>
    <t>3BR</t>
  </si>
  <si>
    <t>Suburban retail office</t>
  </si>
  <si>
    <t>Debt percentage</t>
  </si>
  <si>
    <t>Developer Fee</t>
  </si>
  <si>
    <t>Mixed Use Expense Estimate</t>
  </si>
  <si>
    <t>Residential mixed use</t>
  </si>
  <si>
    <t>Construction Management Fee</t>
  </si>
  <si>
    <t>High Rise Residential</t>
  </si>
  <si>
    <t>Taxes during construction</t>
  </si>
  <si>
    <t>Insurance</t>
  </si>
  <si>
    <t>Parking Mix</t>
  </si>
  <si>
    <t>Marketing, FFE and Preleasing</t>
  </si>
  <si>
    <t xml:space="preserve">   Parking Ratio Requirements</t>
  </si>
  <si>
    <t>Operating Deficit</t>
  </si>
  <si>
    <t xml:space="preserve">     Residential</t>
  </si>
  <si>
    <t>1 space per unit</t>
  </si>
  <si>
    <t>Commercial Tenant Improvements</t>
  </si>
  <si>
    <t xml:space="preserve">     Retail/Office</t>
  </si>
  <si>
    <t>1 space per 1,000 sf</t>
  </si>
  <si>
    <t>Retail and office brokerage</t>
  </si>
  <si>
    <t>Underground, Structure and Surface</t>
  </si>
  <si>
    <t>Construction Loan Origination</t>
  </si>
  <si>
    <t xml:space="preserve">    SF per space(including circulation)</t>
  </si>
  <si>
    <t>Construction Interest</t>
  </si>
  <si>
    <t xml:space="preserve">    $/space </t>
  </si>
  <si>
    <t xml:space="preserve">  Structured Parking</t>
  </si>
  <si>
    <t xml:space="preserve">  Surface Parking</t>
  </si>
  <si>
    <t>Lifts</t>
  </si>
  <si>
    <t xml:space="preserve">    $/space</t>
  </si>
  <si>
    <t>Monthly Rent / Space</t>
  </si>
  <si>
    <t xml:space="preserve">    Unbundled rent/space</t>
  </si>
  <si>
    <t xml:space="preserve">     Public garage</t>
  </si>
  <si>
    <t xml:space="preserve">  Affordable </t>
  </si>
  <si>
    <t xml:space="preserve">  Suburban Surface</t>
  </si>
  <si>
    <t>Affordable Rents--by income and family size</t>
  </si>
  <si>
    <t>Affordable Purchase Prices by income and family size</t>
  </si>
  <si>
    <t>Household size</t>
  </si>
  <si>
    <t>2019 Median Income</t>
  </si>
  <si>
    <t>2022 Median Income</t>
  </si>
  <si>
    <t>Low Income: 50% of median</t>
  </si>
  <si>
    <t>Moderate Income: 70% of median</t>
  </si>
  <si>
    <t>30% spent on Housing</t>
  </si>
  <si>
    <t>35% spent on Housing</t>
  </si>
  <si>
    <t xml:space="preserve">  less Utility Allowance</t>
  </si>
  <si>
    <t>Remainder for Rent</t>
  </si>
  <si>
    <t xml:space="preserve">  less Property Insurance</t>
  </si>
  <si>
    <t>Monthly</t>
  </si>
  <si>
    <t xml:space="preserve">  less Property Taxes @ 1.4%</t>
  </si>
  <si>
    <t>Remainder for Mortgage</t>
  </si>
  <si>
    <t>Low Income: 70% of median</t>
  </si>
  <si>
    <t>TOTAL AFFORDABLE PRICE</t>
  </si>
  <si>
    <t>Moderate Income: 100% of median</t>
  </si>
  <si>
    <t>Moderate Income: 110% of median</t>
  </si>
  <si>
    <t>Moderate Income: 120% of median</t>
  </si>
  <si>
    <t>Development Program</t>
  </si>
  <si>
    <t>Development Component</t>
  </si>
  <si>
    <t>Location of Development Component</t>
  </si>
  <si>
    <t>Area in SF</t>
  </si>
  <si>
    <t>Land Use</t>
  </si>
  <si>
    <t>Phase</t>
  </si>
  <si>
    <t>Residential Units</t>
  </si>
  <si>
    <t>Commercial SF</t>
  </si>
  <si>
    <t>Building Height</t>
  </si>
  <si>
    <t>Value</t>
  </si>
  <si>
    <t>Total Project Costs</t>
  </si>
  <si>
    <t>Equity</t>
  </si>
  <si>
    <t>Debt</t>
  </si>
  <si>
    <t>GAP</t>
  </si>
  <si>
    <t>Leveraged IRR</t>
  </si>
  <si>
    <t>Business Hotel II</t>
  </si>
  <si>
    <t>Parcel H</t>
  </si>
  <si>
    <t>HOTEL-A</t>
  </si>
  <si>
    <t>I</t>
  </si>
  <si>
    <t>OFFICE-MU</t>
  </si>
  <si>
    <t>RETAIL-MU</t>
  </si>
  <si>
    <t>PARKING</t>
  </si>
  <si>
    <t>Visitor Center</t>
  </si>
  <si>
    <t>Vacation Resort I</t>
  </si>
  <si>
    <t>HOTEL-R</t>
  </si>
  <si>
    <t>ART STUDIOS</t>
  </si>
  <si>
    <t>Vacation Resort II</t>
  </si>
  <si>
    <t>Community Center</t>
  </si>
  <si>
    <t>Parcel D</t>
  </si>
  <si>
    <t>Education Center</t>
  </si>
  <si>
    <t>Business Hotel I</t>
  </si>
  <si>
    <t>Parcel F</t>
  </si>
  <si>
    <t>Mixed Living I</t>
  </si>
  <si>
    <t>Parcel A</t>
  </si>
  <si>
    <t>II</t>
  </si>
  <si>
    <t>Mixed Living II</t>
  </si>
  <si>
    <t>Parcel C</t>
  </si>
  <si>
    <t>Innovation Hub</t>
  </si>
  <si>
    <t>Parcel E</t>
  </si>
  <si>
    <t>Tech Groove</t>
  </si>
  <si>
    <t>Parcel G</t>
  </si>
  <si>
    <t>Residential I</t>
  </si>
  <si>
    <t>Residential II</t>
  </si>
  <si>
    <t>Residential III</t>
  </si>
  <si>
    <t>TOTALS</t>
  </si>
  <si>
    <t>Pre-Development</t>
  </si>
  <si>
    <t>Demolition</t>
  </si>
  <si>
    <t>Construction</t>
  </si>
  <si>
    <t>Close-out</t>
  </si>
  <si>
    <t>01/1/24 to 12/31/24</t>
  </si>
  <si>
    <t>YES</t>
  </si>
  <si>
    <t>1/1/25 to 12/31/27</t>
  </si>
  <si>
    <t>1/1/28 to 6/30/28</t>
  </si>
  <si>
    <t>7/1/25 to 6/30/28</t>
  </si>
  <si>
    <t>7/1/28 to 12/31/28</t>
  </si>
  <si>
    <t>1/1/25 to 12/31/26</t>
  </si>
  <si>
    <t>1/1/27 to 6/30/27</t>
  </si>
  <si>
    <t>01/1/24 to 12/31/26</t>
  </si>
  <si>
    <t>1/1/27 to 12/31/30</t>
  </si>
  <si>
    <t>1/1/31 to 10/31/31</t>
  </si>
  <si>
    <t>01/1/24to 12/31/26</t>
  </si>
  <si>
    <t>1/1/27 to 12/31/28</t>
  </si>
  <si>
    <t>1/1/29 to 09/30/29</t>
  </si>
  <si>
    <t>01/1/24 to 12/31/28</t>
  </si>
  <si>
    <t>1/1/29 to 12/31/31</t>
  </si>
  <si>
    <t>1/1/32 to 09/30/32</t>
  </si>
  <si>
    <t>1/1/31 to 12/30/31</t>
  </si>
  <si>
    <t>Development Types</t>
  </si>
  <si>
    <t>Configuration</t>
  </si>
  <si>
    <t>Building Type</t>
  </si>
  <si>
    <t>Commercial Type</t>
  </si>
  <si>
    <t>Label</t>
  </si>
  <si>
    <t>Return on Cost requirement</t>
  </si>
  <si>
    <t>Typical Construction period</t>
  </si>
  <si>
    <r>
      <rPr>
        <b/>
        <sz val="11"/>
        <color theme="1"/>
        <rFont val="Arial"/>
        <family val="2"/>
      </rPr>
      <t>Rental</t>
    </r>
    <r>
      <rPr>
        <sz val="11"/>
        <color theme="1"/>
        <rFont val="Arial"/>
        <family val="2"/>
      </rPr>
      <t>: Market Rate Residential Mixed use</t>
    </r>
  </si>
  <si>
    <t xml:space="preserve"> Type III</t>
  </si>
  <si>
    <t>Includes Retail and Office Components</t>
  </si>
  <si>
    <t>RES-Market-Rental</t>
  </si>
  <si>
    <t>3 years</t>
  </si>
  <si>
    <t>Type V</t>
  </si>
  <si>
    <r>
      <rPr>
        <b/>
        <sz val="11"/>
        <color theme="1"/>
        <rFont val="Arial"/>
        <family val="2"/>
      </rPr>
      <t>For Sale</t>
    </r>
    <r>
      <rPr>
        <sz val="11"/>
        <color theme="1"/>
        <rFont val="Arial"/>
        <family val="2"/>
      </rPr>
      <t>: Market Rate Residential Mixed use</t>
    </r>
  </si>
  <si>
    <t>RES-Market-Sale</t>
  </si>
  <si>
    <t>20% for low density     30% for high density</t>
  </si>
  <si>
    <t>2 years for low density                      3 years for high density</t>
  </si>
  <si>
    <t>9*18 per stall</t>
  </si>
  <si>
    <r>
      <rPr>
        <b/>
        <sz val="11"/>
        <color theme="1"/>
        <rFont val="Arial"/>
        <family val="2"/>
      </rPr>
      <t>Rental</t>
    </r>
    <r>
      <rPr>
        <sz val="11"/>
        <color theme="1"/>
        <rFont val="Arial"/>
        <family val="2"/>
      </rPr>
      <t>: Residential Affordable Mixed use</t>
    </r>
  </si>
  <si>
    <t>RES-AFF-MU</t>
  </si>
  <si>
    <r>
      <rPr>
        <b/>
        <sz val="11"/>
        <color theme="1"/>
        <rFont val="Arial"/>
        <family val="2"/>
      </rPr>
      <t>Rental</t>
    </r>
    <r>
      <rPr>
        <sz val="11"/>
        <color theme="1"/>
        <rFont val="Arial"/>
        <family val="2"/>
      </rPr>
      <t>: Retail Mixed Used</t>
    </r>
  </si>
  <si>
    <t>Type I</t>
  </si>
  <si>
    <t xml:space="preserve">  Type II</t>
  </si>
  <si>
    <r>
      <rPr>
        <b/>
        <sz val="11"/>
        <color theme="1"/>
        <rFont val="Arial"/>
        <family val="2"/>
      </rPr>
      <t>Rental</t>
    </r>
    <r>
      <rPr>
        <sz val="11"/>
        <color theme="1"/>
        <rFont val="Arial"/>
        <family val="2"/>
      </rPr>
      <t>: Office Mixed Used</t>
    </r>
  </si>
  <si>
    <r>
      <rPr>
        <b/>
        <sz val="11"/>
        <color theme="1"/>
        <rFont val="Arial"/>
        <family val="2"/>
      </rPr>
      <t>Hotel</t>
    </r>
    <r>
      <rPr>
        <sz val="11"/>
        <color theme="1"/>
        <rFont val="Arial"/>
        <family val="2"/>
      </rPr>
      <t xml:space="preserve">: Resort Style </t>
    </r>
  </si>
  <si>
    <t xml:space="preserve">Type V--low density  </t>
  </si>
  <si>
    <t>Includes Retail Components</t>
  </si>
  <si>
    <t>2 years</t>
  </si>
  <si>
    <r>
      <rPr>
        <b/>
        <sz val="11"/>
        <color theme="1"/>
        <rFont val="Arial"/>
        <family val="2"/>
      </rPr>
      <t>Hotel</t>
    </r>
    <r>
      <rPr>
        <sz val="11"/>
        <color theme="1"/>
        <rFont val="Arial"/>
        <family val="2"/>
      </rPr>
      <t>: Accomadation and amenity income</t>
    </r>
  </si>
  <si>
    <t>Type I-high density</t>
  </si>
  <si>
    <t>Type V over I (Podium Garage)</t>
  </si>
  <si>
    <t>1 year</t>
  </si>
  <si>
    <t>DEVELOPMENT PLAN</t>
  </si>
  <si>
    <t>Phase I</t>
  </si>
  <si>
    <t>Quick Rent Adjuster</t>
  </si>
  <si>
    <t>For Rent Residential</t>
  </si>
  <si>
    <t># of Units</t>
  </si>
  <si>
    <t>Net Rentable Square Feet (NRSF)</t>
  </si>
  <si>
    <t>$/SF/Mo.</t>
  </si>
  <si>
    <t>Total Annual</t>
  </si>
  <si>
    <t>Studios</t>
  </si>
  <si>
    <t>1 bedroom/1 bath</t>
  </si>
  <si>
    <t>2 bedroom/2 bath</t>
  </si>
  <si>
    <t>3 bedroom/3 bath</t>
  </si>
  <si>
    <t>Totals:</t>
  </si>
  <si>
    <t>Averages:</t>
  </si>
  <si>
    <t>For Hospitality</t>
  </si>
  <si>
    <t># of Rooms</t>
  </si>
  <si>
    <t>Average Daily Rate</t>
  </si>
  <si>
    <t>$/Key/Mo.</t>
  </si>
  <si>
    <t>Business Hotel</t>
  </si>
  <si>
    <t>Resort Hotel</t>
  </si>
  <si>
    <t>COMMERCIAL SPACE</t>
  </si>
  <si>
    <t>Square Feet</t>
  </si>
  <si>
    <t>NNN Rent</t>
  </si>
  <si>
    <t>Total Commercial</t>
  </si>
  <si>
    <t>Residential</t>
  </si>
  <si>
    <t>Commercial</t>
  </si>
  <si>
    <t>Total Parking</t>
  </si>
  <si>
    <t>Fit to Parcel (Layout Calculator)</t>
  </si>
  <si>
    <t>Total Land area</t>
  </si>
  <si>
    <t>Total Leasable SF (residential +commercial)</t>
  </si>
  <si>
    <t>NET OPERATING INCOME</t>
  </si>
  <si>
    <t>INCOME</t>
  </si>
  <si>
    <t>Per Unit</t>
  </si>
  <si>
    <t>$/SF Res</t>
  </si>
  <si>
    <t>Un-Trended</t>
  </si>
  <si>
    <t>Gross Residential Rental Income</t>
  </si>
  <si>
    <t>Commercial RENT</t>
  </si>
  <si>
    <t>Gross Income</t>
  </si>
  <si>
    <t>Other Income</t>
  </si>
  <si>
    <t>$/unit</t>
  </si>
  <si>
    <t>$/SF</t>
  </si>
  <si>
    <t>Parking Income-residential only</t>
  </si>
  <si>
    <t>Additional Income</t>
  </si>
  <si>
    <t>Total Other Income</t>
  </si>
  <si>
    <t>Effective Gross Income</t>
  </si>
  <si>
    <t>EXPENSES</t>
  </si>
  <si>
    <t>Per SF</t>
  </si>
  <si>
    <t>Total Operating Expenses</t>
  </si>
  <si>
    <t>Net Operating Income</t>
  </si>
  <si>
    <t>TOTAL PROJECT VALUE</t>
  </si>
  <si>
    <t>Market Cap Rate=</t>
  </si>
  <si>
    <t>PROJECT COSTS</t>
  </si>
  <si>
    <t>BASIS</t>
  </si>
  <si>
    <t xml:space="preserve">   Budget     </t>
  </si>
  <si>
    <t>Hard Costs for Construction</t>
  </si>
  <si>
    <t>Parking stalls</t>
  </si>
  <si>
    <t>LAND</t>
  </si>
  <si>
    <t>Land cost</t>
  </si>
  <si>
    <t>Taxes</t>
  </si>
  <si>
    <t>Retail Tenant Improvements</t>
  </si>
  <si>
    <t>Retail brokerage</t>
  </si>
  <si>
    <t>Additional Contingency</t>
  </si>
  <si>
    <t>Apply % to estimated Debt to avoid circular reference</t>
  </si>
  <si>
    <t>Total Project Cost</t>
  </si>
  <si>
    <t>Yield on cost</t>
  </si>
  <si>
    <t>Return on cost</t>
  </si>
  <si>
    <t>Negative indicates shortfall</t>
  </si>
  <si>
    <t>FINANCING</t>
  </si>
  <si>
    <t>Total</t>
  </si>
  <si>
    <t>Gap Funding reduction</t>
  </si>
  <si>
    <t>Private financing Amount</t>
  </si>
  <si>
    <t>Total Sources</t>
  </si>
  <si>
    <t>SALES ANALYSIS</t>
  </si>
  <si>
    <t>Untrended</t>
  </si>
  <si>
    <t>Gross Sales Proceeds</t>
  </si>
  <si>
    <t>Net Sales Proceeds</t>
  </si>
  <si>
    <t>LESS: Construction Debt</t>
  </si>
  <si>
    <t>LESS: Investor Equity</t>
  </si>
  <si>
    <t>Net Profit</t>
  </si>
  <si>
    <t>Sales Price per Unit</t>
  </si>
  <si>
    <t>Gross Price</t>
  </si>
  <si>
    <t>Net Price</t>
  </si>
  <si>
    <t>YIELD INDICATORS</t>
  </si>
  <si>
    <t>Equity multiple</t>
  </si>
  <si>
    <t>Leveraged Project IRR</t>
  </si>
  <si>
    <t>UnLeveraged Project IRR</t>
  </si>
  <si>
    <t>Debt Yield</t>
  </si>
  <si>
    <t>Exit Cap Rate</t>
  </si>
  <si>
    <t>Schedule----&gt;</t>
  </si>
  <si>
    <t>Duration----&gt;</t>
  </si>
  <si>
    <t>Predevelopment ends</t>
  </si>
  <si>
    <t>Construction begins</t>
  </si>
  <si>
    <t>Construction ends</t>
  </si>
  <si>
    <t>Close-out begins</t>
  </si>
  <si>
    <t>Close-out ends</t>
  </si>
  <si>
    <t>Year</t>
  </si>
  <si>
    <t>TOTAL EXPENDED</t>
  </si>
  <si>
    <t>TOTAL COST</t>
  </si>
  <si>
    <t>Hard Cost Draw Percentage</t>
  </si>
  <si>
    <t>difference</t>
  </si>
  <si>
    <t>Gap Funding</t>
  </si>
  <si>
    <t>Net Total Private Financing</t>
  </si>
  <si>
    <t>Equity DRAW</t>
  </si>
  <si>
    <t>TOTAL Equity</t>
  </si>
  <si>
    <t>Permanent loan debt</t>
  </si>
  <si>
    <t>Total annual debt service</t>
  </si>
  <si>
    <t>Operating cash flow during closeout</t>
  </si>
  <si>
    <t>Leveraged</t>
  </si>
  <si>
    <t>Net Proceeds from Sale after debt repayment</t>
  </si>
  <si>
    <t>Leveraged Quarterly cash flow</t>
  </si>
  <si>
    <t>Leveraged QUARTERLY IRR</t>
  </si>
  <si>
    <t>Leveraged Annual IRR</t>
  </si>
  <si>
    <t>Unleveraged</t>
  </si>
  <si>
    <t>Total Net proceeds from Sale+GAP FUNDING</t>
  </si>
  <si>
    <t>UNLeveraged QUARTERLY TOTAL Cash flow</t>
  </si>
  <si>
    <t>UNLeveraged QUARTERLY IRR</t>
  </si>
  <si>
    <t>UNLeveraged Annual IRR</t>
  </si>
  <si>
    <t>Phase II</t>
  </si>
  <si>
    <t>Town homes for sale</t>
  </si>
  <si>
    <t>Unit Size</t>
  </si>
  <si>
    <t>Price/SF</t>
  </si>
  <si>
    <t>Total Sales Value</t>
  </si>
  <si>
    <t>2 BR Townhome</t>
  </si>
  <si>
    <t>3 BR Townhome</t>
  </si>
  <si>
    <t>Residential--in garages below living area</t>
  </si>
  <si>
    <t>Guest Parking</t>
  </si>
  <si>
    <t>Total Sales SF (residential +commercial)</t>
  </si>
  <si>
    <t>Sales Income</t>
  </si>
  <si>
    <t>Total Sales</t>
  </si>
  <si>
    <t>Estimate of residual value</t>
  </si>
  <si>
    <t>Net interest during closeout</t>
  </si>
  <si>
    <t>Apply percentage to estimated Debt to avoid circular reference</t>
  </si>
  <si>
    <t>NA</t>
  </si>
  <si>
    <t>Year---&gt;</t>
  </si>
  <si>
    <t>&lt;---- columns to unhide for longer development period</t>
  </si>
  <si>
    <t>Leveraged Quarterly IRR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</si>
</sst>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7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;[Red]\-&quot;$&quot;#,##0"/>
    <numFmt numFmtId="165" formatCode="&quot;$&quot;#,##0.00"/>
    <numFmt numFmtId="166" formatCode="&quot;$&quot;#,##0"/>
    <numFmt numFmtId="167" formatCode="0.0%"/>
    <numFmt numFmtId="168" formatCode="_(* #,##0_);_(* \(#,##0\);_(* &quot;-&quot;??_);_(@_)"/>
    <numFmt numFmtId="169" formatCode="_(&quot;$&quot;* #,##0_);_(&quot;$&quot;* \(#,##0\);_(&quot;$&quot;* &quot;-&quot;??_);_(@_)"/>
    <numFmt numFmtId="170" formatCode="#,##0.0"/>
    <numFmt numFmtId="171" formatCode="0.0"/>
    <numFmt numFmtId="172" formatCode="[$-409]mmm\-yy;@"/>
    <numFmt numFmtId="173" formatCode="&quot;LESS:&quot;\ #%\ \ &quot;Selling Costs&quot;"/>
    <numFmt numFmtId="174" formatCode="&quot;LESS:&quot;\ #%\ &quot;Vacancy&quot;"/>
    <numFmt numFmtId="175" formatCode="&quot;Density=&quot;#\ &quot;Units/Acre&quot;"/>
    <numFmt numFmtId="176" formatCode="##,###&quot; SF&quot;"/>
    <numFmt numFmtId="177" formatCode="###&quot; SF&quot;"/>
    <numFmt numFmtId="178" formatCode="&quot;Studio---&quot;#%"/>
    <numFmt numFmtId="179" formatCode="###\ &quot;Units&quot;"/>
    <numFmt numFmtId="180" formatCode="##%\ \ \ &quot;Debt&quot;"/>
    <numFmt numFmtId="181" formatCode="##%\ \ \ &quot;Equity&quot;"/>
    <numFmt numFmtId="182" formatCode="#.##%\ "/>
    <numFmt numFmtId="183" formatCode="&quot;$&quot;#,##0;\(&quot;$&quot;#,##0\)"/>
    <numFmt numFmtId="184" formatCode="&quot;$&quot;#,##0.0;\(&quot;$&quot;#,##0.0\)"/>
    <numFmt numFmtId="185" formatCode="&quot;$&quot;#,##0.00;\(&quot;$&quot;#,##0.00\)"/>
    <numFmt numFmtId="186" formatCode="0.0_)\%;\(0.0\)\%;0.0_)\%;@_)_%"/>
    <numFmt numFmtId="187" formatCode="#,##0.0_)_%;\(#,##0.0\)_%;0.0_)_%;@_)_%"/>
    <numFmt numFmtId="188" formatCode="#,##0.0_);\(#,##0.0\);#,##0.0_);@_)"/>
    <numFmt numFmtId="189" formatCode="#,##0.0_);\(#,##0.0\)"/>
    <numFmt numFmtId="190" formatCode="&quot;$&quot;_(#,##0.00_);&quot;$&quot;\(#,##0.00\);&quot;$&quot;_(0.00_);@_)"/>
    <numFmt numFmtId="191" formatCode="&quot;$&quot;_(#,##0.00_);&quot;$&quot;\(#,##0.00\)"/>
    <numFmt numFmtId="192" formatCode="&quot;\&quot;_(#,##0.00_);&quot;\&quot;\(#,##0.00\)"/>
    <numFmt numFmtId="193" formatCode="#,##0.00_);\(#,##0.00\);0.00_);@_)"/>
    <numFmt numFmtId="194" formatCode="\€_(#,##0.00_);\€\(#,##0.00\);\€_(0.00_);@_)"/>
    <numFmt numFmtId="195" formatCode="#,##0_)\x;\(#,##0\)\x;0_)\x;@_)_x"/>
    <numFmt numFmtId="196" formatCode="#,##0.0_)\x;\(#,##0.0\)\x"/>
    <numFmt numFmtId="197" formatCode="#,##0_)_x;\(#,##0\)_x;0_)_x;@_)_x"/>
    <numFmt numFmtId="198" formatCode="m/d/yy\ h:mm\ AM/PM"/>
    <numFmt numFmtId="199" formatCode="#,##0.0_)_x;\(#,##0.0\)_x"/>
    <numFmt numFmtId="200" formatCode="0.0_)\%;\(0.0\)\%"/>
    <numFmt numFmtId="201" formatCode="mmmm\ d\,\ yyyy"/>
    <numFmt numFmtId="202" formatCode="#,##0.0_)_%;\(#,##0.0\)_%"/>
    <numFmt numFmtId="203" formatCode="General_)"/>
    <numFmt numFmtId="204" formatCode="0.0\ \x"/>
    <numFmt numFmtId="205" formatCode="&quot;$&quot;#,##0.000_);\(&quot;$&quot;#,##0.000\)"/>
    <numFmt numFmtId="206" formatCode="m\-d\-yy"/>
    <numFmt numFmtId="207" formatCode="#,##0_);\(#,##0\);&quot;- &quot;"/>
    <numFmt numFmtId="208" formatCode="0.0%;\(0.0%\);&quot;- &quot;"/>
    <numFmt numFmtId="209" formatCode="mm/dd/yy_)"/>
    <numFmt numFmtId="210" formatCode="#,##0;\-#,##0;&quot;-&quot;"/>
    <numFmt numFmtId="211" formatCode="#,##0.00;\(#,##0.00"/>
    <numFmt numFmtId="212" formatCode="d\ mmm\ yy"/>
    <numFmt numFmtId="213" formatCode="#,##0.0_);[Red]\(#,##0.0\)"/>
    <numFmt numFmtId="214" formatCode="_(* #,##0.0_);_(* \(#,##0.0\);_(* &quot;-&quot;?_);_(@_)"/>
    <numFmt numFmtId="215" formatCode="#,##0_%_);\(#,##0\)_%;**;@_%_)"/>
    <numFmt numFmtId="216" formatCode="#,##0_%_);\(#,##0\)_%;#,##0_%_);@_%_)"/>
    <numFmt numFmtId="217" formatCode="&quot;$&quot;#,##0\ ;\(&quot;$&quot;#,##0\)"/>
    <numFmt numFmtId="218" formatCode="&quot;$&quot;#,##0.0\ ;\(&quot;$&quot;#,##0.0\)"/>
    <numFmt numFmtId="219" formatCode="0.00\x"/>
    <numFmt numFmtId="220" formatCode="m/d/yyyy\ \ h:mm\ AM/PM"/>
    <numFmt numFmtId="221" formatCode="#,##0;\(#,##0\)"/>
    <numFmt numFmtId="222" formatCode="#,##0.0;\(#,##0.0\)"/>
    <numFmt numFmtId="223" formatCode="\ #,##0.0_);\(#,##0.0\);\-\ \ ??"/>
    <numFmt numFmtId="224" formatCode="&quot;$&quot;#,##0.0_);\(&quot;$&quot;#,##0.0\)"/>
    <numFmt numFmtId="225" formatCode="&quot;$&quot;#,##0.0"/>
    <numFmt numFmtId="226" formatCode="_-* #,##0.00\ [$€-1]_-;\-* #,##0.00\ [$€-1]_-;_-* &quot;-&quot;??\ [$€-1]_-"/>
    <numFmt numFmtId="227" formatCode="00"/>
    <numFmt numFmtId="228" formatCode=";;;"/>
    <numFmt numFmtId="229" formatCode="0.00_)"/>
    <numFmt numFmtId="230" formatCode="mm/yyyy"/>
    <numFmt numFmtId="231" formatCode="&quot;Standard&quot;_);;&quot;Reverse&quot;_)"/>
    <numFmt numFmtId="232" formatCode="_-* #,##0_-;\-* #,##0_-;_-* &quot;-&quot;_-;_-@_-"/>
    <numFmt numFmtId="233" formatCode="_-* #,##0.00_-;\-* #,##0.00_-;_-* &quot;-&quot;??_-;_-@_-"/>
    <numFmt numFmtId="234" formatCode="#,##0.00&quot; F&quot;_);\(#,##0.00&quot; F&quot;\)"/>
    <numFmt numFmtId="235" formatCode="#,##0&quot; $&quot;;\-#,##0&quot; $&quot;"/>
    <numFmt numFmtId="236" formatCode="_-* #,##0\ _F_-;\-* #,##0\ _F_-;_-* &quot;-&quot;\ _F_-;_-@_-"/>
    <numFmt numFmtId="237" formatCode="_-* #,##0.00\ &quot;F&quot;_-;\-* #,##0.00\ &quot;F&quot;_-;_-* &quot;-&quot;??\ &quot;F&quot;_-;_-@_-"/>
    <numFmt numFmtId="238" formatCode="_-* #,##0\ &quot;Esc.&quot;_-;\-* #,##0\ &quot;Esc.&quot;_-;_-* &quot;-&quot;\ &quot;Esc.&quot;_-;_-@_-"/>
    <numFmt numFmtId="239" formatCode="#,##0.00&quot;$&quot;;[Red]\-#,##0.00&quot;$&quot;"/>
    <numFmt numFmtId="240" formatCode="#,##0&quot; F&quot;_);[Red]\(#,##0&quot; F&quot;\)"/>
    <numFmt numFmtId="241" formatCode="#,##0.00&quot; F&quot;_);[Red]\(#,##0.00&quot; F&quot;\)"/>
    <numFmt numFmtId="242" formatCode="_-* #,##0\ &quot;F&quot;_-;\-* #,##0\ &quot;F&quot;_-;_-* &quot;-&quot;\ &quot;F&quot;_-;_-@_-"/>
    <numFmt numFmtId="243" formatCode="0.0_x_);\(0.0\)_x"/>
    <numFmt numFmtId="244" formatCode="0.0\x_);\(0.0\x\)"/>
    <numFmt numFmtId="245" formatCode="0.0\x_)_);&quot;NM&quot;_x_)_);0.0\x_)_);@_%_)"/>
    <numFmt numFmtId="246" formatCode="_(* #,##0.0000_);_(* \(#,##0.0000\);_(* &quot;-&quot;??_);_(@_)"/>
    <numFmt numFmtId="247" formatCode="0.0%;\(0.0%\)"/>
    <numFmt numFmtId="248" formatCode="#,##0_ "/>
    <numFmt numFmtId="249" formatCode="&quot;$&quot;#,##0.00_);\(&quot;$&quot;#,##0.00\);\-\ ??"/>
    <numFmt numFmtId="250" formatCode="[&lt;=9999999]###\-####;\(###\)\ ###\-####"/>
    <numFmt numFmtId="251" formatCode="#,##0.0\%_);\(#,##0.0\%\);#,##0.0\%_);@_%_)"/>
    <numFmt numFmtId="252" formatCode="#,##0.0_x\);\(#,##0.0\)"/>
    <numFmt numFmtId="253" formatCode="_(&quot;$&quot;* #,##0.0000000000000_);_(&quot;$&quot;* \(#,##0.0000000000000\);_(&quot;$&quot;* &quot;-&quot;??_);_(@_)"/>
    <numFmt numFmtId="254" formatCode="_-* #,##0\ _E_s_c_._-;\-* #,##0\ _E_s_c_._-;_-* &quot;-&quot;\ _E_s_c_._-;_-@_-"/>
    <numFmt numFmtId="255" formatCode="_(&quot;$&quot;* #,##0.000_);_(&quot;$&quot;* \(#,##0.000\);_(&quot;$&quot;* &quot;-&quot;??_);_(@_)"/>
    <numFmt numFmtId="256" formatCode="_-&quot;L.&quot;\ * #,##0_-;\-&quot;L.&quot;\ * #,##0_-;_-&quot;L.&quot;\ * &quot;-&quot;_-;_-@_-"/>
    <numFmt numFmtId="257" formatCode="_-&quot;L.&quot;\ * #,##0.00_-;\-&quot;L.&quot;\ * #,##0.00_-;_-&quot;L.&quot;\ * &quot;-&quot;??_-;_-@_-"/>
    <numFmt numFmtId="258" formatCode="0\ \ ;\(0\)\ \ \ "/>
    <numFmt numFmtId="259" formatCode="&quot;Yes&quot;;;&quot;No&quot;"/>
    <numFmt numFmtId="260" formatCode="#,###\ &quot;SF Retail Income&quot;"/>
    <numFmt numFmtId="261" formatCode="##%\ &quot;of GMP costs&quot;"/>
    <numFmt numFmtId="262" formatCode="&quot;$&quot;##,###\ &quot;per unit&quot;"/>
    <numFmt numFmtId="263" formatCode="##%\ &quot;of total hard costs&quot;"/>
    <numFmt numFmtId="264" formatCode="&quot;$&quot;###\ &quot;per SF of retail&quot;"/>
    <numFmt numFmtId="265" formatCode="##.00%\ &quot;of loan amount&quot;"/>
    <numFmt numFmtId="266" formatCode="&quot;Residual land value at&quot;\ ##%\ &quot;ROC&quot;"/>
    <numFmt numFmtId="267" formatCode="&quot;$&quot;###\ &quot;per SF net leasable&quot;"/>
    <numFmt numFmtId="268" formatCode="#\ &quot;Months of OPEX&quot;"/>
    <numFmt numFmtId="269" formatCode="#.#%\ &quot;of soft costs&quot;"/>
    <numFmt numFmtId="270" formatCode="#%\ &quot;on a five year term&quot;"/>
    <numFmt numFmtId="271" formatCode="##%\ &quot;of Project Budget&quot;"/>
    <numFmt numFmtId="272" formatCode="&quot;$&quot;##,###\ &quot;per stall&quot;"/>
    <numFmt numFmtId="273" formatCode="&quot;Gap at&quot;\ ##%"/>
    <numFmt numFmtId="274" formatCode="###.#&quot;x&quot;"/>
    <numFmt numFmtId="275" formatCode="##.0%\ &quot;of gross revenue&quot;"/>
    <numFmt numFmtId="276" formatCode="##%\ &quot;of loan amount&quot;"/>
    <numFmt numFmtId="277" formatCode="&quot;Net Affordable Mortage at&quot;\ ##%"/>
    <numFmt numFmtId="278" formatCode="&quot;plus Down Payment of&quot;\ ##%"/>
    <numFmt numFmtId="279" formatCode="##\ &quot;stories&quot;"/>
    <numFmt numFmtId="280" formatCode="&quot;Building footprint at&quot;\ ##\ &quot;stories&quot;"/>
    <numFmt numFmtId="281" formatCode="&quot;Building area at&quot;\ ##%\ &quot;circulation&quot;"/>
    <numFmt numFmtId="282" formatCode="&quot;Parking area at&quot;\ ###\ &quot;sf per stall&quot;"/>
    <numFmt numFmtId="283" formatCode="&quot;Retail&quot;\ #,###\ &quot;SF&quot;"/>
    <numFmt numFmtId="284" formatCode="&quot;Guest parking at&quot;\ ###\ &quot;sf per stall&quot;"/>
    <numFmt numFmtId="285" formatCode="&quot;$&quot;###\ &quot;per SF net lease or sale&quot;"/>
    <numFmt numFmtId="286" formatCode="&quot;$&quot;###\ &quot;per SF net sale&quot;"/>
    <numFmt numFmtId="287" formatCode="#,###\ &quot;Units&quot;"/>
    <numFmt numFmtId="288" formatCode="m/d/yy;@"/>
    <numFmt numFmtId="289" formatCode="&quot;Commercial&quot;\ #,###\ &quot;SF&quot;"/>
    <numFmt numFmtId="290" formatCode="&quot;Feasible Project Costs at&quot;\ ##%\ &quot;ROC&quot;"/>
    <numFmt numFmtId="291" formatCode="###\ &quot;Hotel rooms&quot;"/>
    <numFmt numFmtId="292" formatCode="yyyy\-mm\-dd;@"/>
  </numFmts>
  <fonts count="221">
    <font>
      <sz val="11"/>
      <color theme="1"/>
      <name val="Calibri"/>
      <family val="2"/>
      <scheme val="minor"/>
    </font>
    <font>
      <sz val="12"/>
      <color theme="1"/>
      <name val="Times New Roman"/>
      <family val="2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Times New Roman"/>
      <family val="2"/>
    </font>
    <font>
      <sz val="12"/>
      <color theme="1"/>
      <name val="Times New Roman"/>
      <family val="2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12"/>
      <name val="Times New Roman"/>
      <family val="1"/>
    </font>
    <font>
      <b/>
      <sz val="11"/>
      <name val="Times New Roman"/>
      <family val="1"/>
    </font>
    <font>
      <sz val="12"/>
      <name val="Arial"/>
      <family val="2"/>
    </font>
    <font>
      <b/>
      <sz val="8"/>
      <name val="Times New Roman"/>
      <family val="1"/>
    </font>
    <font>
      <sz val="10"/>
      <name val="Arial"/>
      <family val="2"/>
    </font>
    <font>
      <sz val="14"/>
      <name val="Times New Roman"/>
      <family val="1"/>
    </font>
    <font>
      <sz val="12"/>
      <name val="Times New Roman"/>
      <family val="1"/>
    </font>
    <font>
      <sz val="12"/>
      <name val="Arial MT"/>
    </font>
    <font>
      <b/>
      <sz val="18"/>
      <name val="Times New Roman"/>
      <family val="1"/>
    </font>
    <font>
      <b/>
      <sz val="16"/>
      <name val="Times New Roman"/>
      <family val="1"/>
    </font>
    <font>
      <b/>
      <sz val="14"/>
      <name val="Times New Roman"/>
      <family val="1"/>
    </font>
    <font>
      <u/>
      <sz val="11"/>
      <color theme="11"/>
      <name val="Calibri"/>
      <family val="2"/>
      <scheme val="minor"/>
    </font>
    <font>
      <b/>
      <sz val="10"/>
      <name val="Arial"/>
      <family val="2"/>
    </font>
    <font>
      <sz val="10"/>
      <color indexed="8"/>
      <name val="Arial"/>
      <family val="2"/>
    </font>
    <font>
      <sz val="8"/>
      <name val="Times New Roman"/>
      <family val="1"/>
    </font>
    <font>
      <sz val="11"/>
      <name val="ＭＳ Ｐゴシック"/>
      <family val="2"/>
      <charset val="128"/>
    </font>
    <font>
      <sz val="8"/>
      <name val="Palatino"/>
      <family val="1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10"/>
      <color indexed="8"/>
      <name val="Palatino"/>
      <family val="1"/>
    </font>
    <font>
      <b/>
      <sz val="12"/>
      <name val="Helv"/>
    </font>
    <font>
      <b/>
      <i/>
      <sz val="10"/>
      <name val="Helv"/>
      <family val="2"/>
    </font>
    <font>
      <b/>
      <sz val="8"/>
      <name val="Helv"/>
      <family val="2"/>
    </font>
    <font>
      <sz val="7"/>
      <color indexed="12"/>
      <name val="Times New Roman"/>
      <family val="1"/>
    </font>
    <font>
      <sz val="9"/>
      <name val="Tahoma"/>
      <family val="2"/>
    </font>
    <font>
      <sz val="8"/>
      <name val="Times"/>
      <family val="1"/>
    </font>
    <font>
      <sz val="9"/>
      <color indexed="8"/>
      <name val="Times New Roman"/>
      <family val="1"/>
    </font>
    <font>
      <sz val="8"/>
      <color indexed="12"/>
      <name val="Tms Rmn"/>
    </font>
    <font>
      <sz val="10"/>
      <color indexed="12"/>
      <name val="Times New Roman"/>
      <family val="1"/>
    </font>
    <font>
      <sz val="12"/>
      <name val="Tms Rmn"/>
      <family val="1"/>
    </font>
    <font>
      <b/>
      <sz val="12"/>
      <name val="SWISS"/>
    </font>
    <font>
      <b/>
      <i/>
      <sz val="10"/>
      <color indexed="30"/>
      <name val="Comic Sans MS"/>
      <family val="4"/>
    </font>
    <font>
      <sz val="8"/>
      <color indexed="30"/>
      <name val="Comic Sans MS"/>
      <family val="4"/>
    </font>
    <font>
      <b/>
      <sz val="8"/>
      <color indexed="30"/>
      <name val="Comic Sans MS"/>
      <family val="4"/>
    </font>
    <font>
      <sz val="10"/>
      <color indexed="30"/>
      <name val="Comic Sans MS"/>
      <family val="4"/>
    </font>
    <font>
      <sz val="8"/>
      <name val="Helvetica-Narrow"/>
    </font>
    <font>
      <u val="singleAccounting"/>
      <sz val="10"/>
      <name val="Arial"/>
      <family val="2"/>
    </font>
    <font>
      <sz val="12"/>
      <name val="±¼¸²Ã¼"/>
      <family val="3"/>
      <charset val="129"/>
    </font>
    <font>
      <sz val="9"/>
      <color indexed="8"/>
      <name val="Helvetica-Narrow"/>
    </font>
    <font>
      <sz val="8"/>
      <color indexed="13"/>
      <name val="Helvetica-Narrow"/>
    </font>
    <font>
      <b/>
      <sz val="7"/>
      <name val="Helvetica-Narrow"/>
      <family val="2"/>
    </font>
    <font>
      <b/>
      <sz val="7"/>
      <name val="GillSans"/>
    </font>
    <font>
      <b/>
      <sz val="9"/>
      <name val="Tahoma"/>
      <family val="2"/>
    </font>
    <font>
      <sz val="12"/>
      <color indexed="24"/>
      <name val="Arial"/>
      <family val="2"/>
    </font>
    <font>
      <sz val="10"/>
      <name val="Helv"/>
    </font>
    <font>
      <sz val="12"/>
      <name val="Helv"/>
    </font>
    <font>
      <b/>
      <sz val="24"/>
      <name val="Courier New"/>
      <family val="3"/>
    </font>
    <font>
      <b/>
      <sz val="10"/>
      <color indexed="30"/>
      <name val="Comic Sans MS"/>
      <family val="4"/>
    </font>
    <font>
      <sz val="12"/>
      <color indexed="30"/>
      <name val="Comic Sans MS"/>
      <family val="4"/>
    </font>
    <font>
      <sz val="10"/>
      <name val="MS Serif"/>
      <family val="1"/>
    </font>
    <font>
      <sz val="10"/>
      <name val="Courier"/>
      <family val="3"/>
    </font>
    <font>
      <sz val="10"/>
      <name val="Book Antiqua"/>
      <family val="1"/>
    </font>
    <font>
      <sz val="10"/>
      <name val="Times New Roman Special G1"/>
    </font>
    <font>
      <sz val="10"/>
      <color indexed="24"/>
      <name val="Arial"/>
      <family val="2"/>
    </font>
    <font>
      <sz val="9"/>
      <name val="Times New Roman"/>
      <family val="1"/>
    </font>
    <font>
      <u/>
      <sz val="8"/>
      <color indexed="12"/>
      <name val="Times New Roman"/>
      <family val="1"/>
    </font>
    <font>
      <sz val="9"/>
      <name val="Arial"/>
      <family val="2"/>
    </font>
    <font>
      <sz val="8"/>
      <color indexed="12"/>
      <name val="Times New Roman"/>
      <family val="1"/>
    </font>
    <font>
      <u val="doubleAccounting"/>
      <sz val="10"/>
      <name val="Arial"/>
      <family val="2"/>
    </font>
    <font>
      <sz val="14"/>
      <color indexed="8"/>
      <name val="Times New Roman"/>
      <family val="1"/>
    </font>
    <font>
      <b/>
      <sz val="10"/>
      <color indexed="8"/>
      <name val="Times New Roman"/>
      <family val="1"/>
    </font>
    <font>
      <sz val="8"/>
      <color indexed="8"/>
      <name val="Times New Roman"/>
      <family val="1"/>
    </font>
    <font>
      <i/>
      <sz val="9"/>
      <name val="Times New Roman"/>
      <family val="1"/>
    </font>
    <font>
      <i/>
      <sz val="10"/>
      <name val="Times New Roman"/>
      <family val="1"/>
    </font>
    <font>
      <i/>
      <sz val="9"/>
      <color indexed="8"/>
      <name val="Times New Roman"/>
      <family val="1"/>
    </font>
    <font>
      <b/>
      <sz val="9"/>
      <name val="Times New Roman"/>
      <family val="1"/>
    </font>
    <font>
      <sz val="22"/>
      <name val="Times New Roman"/>
      <family val="1"/>
    </font>
    <font>
      <b/>
      <i/>
      <sz val="8"/>
      <color indexed="12"/>
      <name val="Arial"/>
      <family val="2"/>
    </font>
    <font>
      <sz val="10"/>
      <color indexed="16"/>
      <name val="MS Serif"/>
      <family val="1"/>
    </font>
    <font>
      <sz val="7"/>
      <name val="Palatino"/>
      <family val="1"/>
    </font>
    <font>
      <sz val="9"/>
      <name val="CharterITC BT"/>
      <family val="1"/>
    </font>
    <font>
      <b/>
      <sz val="10"/>
      <name val="Tahoma"/>
      <family val="2"/>
    </font>
    <font>
      <sz val="8"/>
      <name val="Arial"/>
      <family val="2"/>
    </font>
    <font>
      <b/>
      <sz val="12"/>
      <color indexed="9"/>
      <name val="Tms Rmn"/>
    </font>
    <font>
      <u/>
      <sz val="12"/>
      <name val="Tahoma"/>
      <family val="2"/>
    </font>
    <font>
      <i/>
      <u/>
      <sz val="11"/>
      <name val="Tahoma"/>
      <family val="2"/>
    </font>
    <font>
      <u/>
      <sz val="11"/>
      <name val="Tahoma"/>
      <family val="2"/>
    </font>
    <font>
      <i/>
      <u/>
      <sz val="10"/>
      <name val="Tahoma"/>
      <family val="2"/>
    </font>
    <font>
      <u/>
      <sz val="10"/>
      <name val="Tahoma"/>
      <family val="2"/>
    </font>
    <font>
      <i/>
      <u/>
      <sz val="9"/>
      <name val="Tahoma"/>
      <family val="2"/>
    </font>
    <font>
      <u/>
      <sz val="9"/>
      <name val="Tahoma"/>
      <family val="2"/>
    </font>
    <font>
      <b/>
      <u/>
      <sz val="11"/>
      <color indexed="37"/>
      <name val="Arial"/>
      <family val="2"/>
    </font>
    <font>
      <b/>
      <sz val="12"/>
      <name val="Arial"/>
      <family val="2"/>
    </font>
    <font>
      <b/>
      <i/>
      <sz val="22"/>
      <name val="Times New Roman"/>
      <family val="1"/>
    </font>
    <font>
      <b/>
      <sz val="8"/>
      <name val="MS Sans Serif"/>
      <family val="2"/>
    </font>
    <font>
      <b/>
      <sz val="24"/>
      <name val="Geneva"/>
      <family val="2"/>
    </font>
    <font>
      <b/>
      <u/>
      <sz val="8"/>
      <name val="Arial"/>
      <family val="2"/>
    </font>
    <font>
      <sz val="10"/>
      <color indexed="12"/>
      <name val="Arial"/>
      <family val="2"/>
    </font>
    <font>
      <i/>
      <sz val="10"/>
      <name val="Arial"/>
      <family val="2"/>
    </font>
    <font>
      <sz val="10"/>
      <color indexed="16"/>
      <name val="MS Sans Serif"/>
      <family val="2"/>
    </font>
    <font>
      <sz val="10"/>
      <name val="Geneva"/>
      <family val="2"/>
    </font>
    <font>
      <sz val="14"/>
      <name val="Architecture"/>
      <family val="2"/>
    </font>
    <font>
      <sz val="7"/>
      <name val="Small Fonts"/>
      <family val="2"/>
    </font>
    <font>
      <sz val="11"/>
      <name val="明朝"/>
      <family val="1"/>
      <charset val="128"/>
    </font>
    <font>
      <sz val="10"/>
      <name val="Palatino"/>
      <family val="1"/>
    </font>
    <font>
      <sz val="10"/>
      <name val="ＭＳ Ｐゴシック"/>
      <family val="3"/>
      <charset val="128"/>
    </font>
    <font>
      <sz val="11"/>
      <name val="Times New Roman"/>
      <family val="1"/>
    </font>
    <font>
      <sz val="11"/>
      <name val="‚l‚r –¾’©"/>
      <family val="3"/>
      <charset val="128"/>
    </font>
    <font>
      <b/>
      <i/>
      <sz val="10"/>
      <color indexed="8"/>
      <name val="Arial"/>
      <family val="2"/>
    </font>
    <font>
      <b/>
      <sz val="10"/>
      <color indexed="8"/>
      <name val="Arial"/>
      <family val="2"/>
    </font>
    <font>
      <b/>
      <i/>
      <sz val="22"/>
      <color indexed="8"/>
      <name val="Times New Roman"/>
      <family val="1"/>
    </font>
    <font>
      <b/>
      <sz val="26"/>
      <name val="Times New Roman"/>
      <family val="1"/>
    </font>
    <font>
      <sz val="10"/>
      <color indexed="16"/>
      <name val="Helvetica-Black"/>
    </font>
    <font>
      <b/>
      <sz val="14"/>
      <color indexed="12"/>
      <name val="Arial"/>
      <family val="2"/>
    </font>
    <font>
      <sz val="22"/>
      <name val="UBSHeadline"/>
      <family val="1"/>
    </font>
    <font>
      <sz val="10"/>
      <name val="Tms Rmn"/>
      <family val="1"/>
    </font>
    <font>
      <sz val="10"/>
      <name val="MS Sans Serif"/>
      <family val="2"/>
    </font>
    <font>
      <b/>
      <sz val="10"/>
      <name val="MS Sans Serif"/>
      <family val="2"/>
    </font>
    <font>
      <sz val="8"/>
      <name val="Wingdings"/>
      <charset val="2"/>
    </font>
    <font>
      <sz val="8"/>
      <name val="Helv"/>
    </font>
    <font>
      <sz val="10"/>
      <name val="GillSans Light"/>
    </font>
    <font>
      <sz val="9.5"/>
      <color indexed="23"/>
      <name val="Helvetica-Black"/>
    </font>
    <font>
      <b/>
      <sz val="16"/>
      <color indexed="16"/>
      <name val="Arial"/>
      <family val="2"/>
    </font>
    <font>
      <sz val="8"/>
      <name val="MS Sans Serif"/>
      <family val="2"/>
    </font>
    <font>
      <sz val="10"/>
      <color indexed="14"/>
      <name val="Century Schoolbook"/>
      <family val="1"/>
    </font>
    <font>
      <b/>
      <sz val="11"/>
      <name val="Helv"/>
    </font>
    <font>
      <b/>
      <u/>
      <sz val="10"/>
      <name val="Tahoma"/>
      <family val="2"/>
    </font>
    <font>
      <b/>
      <sz val="9"/>
      <name val="Arial"/>
      <family val="2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b/>
      <sz val="8"/>
      <name val="Arial"/>
      <family val="2"/>
    </font>
    <font>
      <b/>
      <sz val="7"/>
      <name val="Arial"/>
      <family val="2"/>
    </font>
    <font>
      <sz val="9"/>
      <name val="Helvetica-Black"/>
    </font>
    <font>
      <sz val="9"/>
      <name val="Palatino"/>
      <family val="1"/>
    </font>
    <font>
      <sz val="12"/>
      <color indexed="8"/>
      <name val="Palatino"/>
      <family val="1"/>
    </font>
    <font>
      <sz val="11"/>
      <color indexed="8"/>
      <name val="Helvetica-Black"/>
    </font>
    <font>
      <b/>
      <sz val="11"/>
      <name val="Tahoma"/>
      <family val="2"/>
    </font>
    <font>
      <u/>
      <sz val="8"/>
      <name val="Times New Roman"/>
      <family val="1"/>
    </font>
    <font>
      <b/>
      <sz val="12"/>
      <name val="CG Times (W1)"/>
      <family val="1"/>
    </font>
    <font>
      <b/>
      <i/>
      <sz val="12"/>
      <name val="CG Times (W1)"/>
      <family val="1"/>
    </font>
    <font>
      <b/>
      <i/>
      <sz val="24"/>
      <name val="Arial"/>
      <family val="2"/>
    </font>
    <font>
      <sz val="12"/>
      <name val="Tahoma"/>
      <family val="2"/>
    </font>
    <font>
      <i/>
      <sz val="11"/>
      <name val="Tahoma"/>
      <family val="2"/>
    </font>
    <font>
      <sz val="11"/>
      <name val="Tahoma"/>
      <family val="2"/>
    </font>
    <font>
      <i/>
      <sz val="10"/>
      <name val="Tahoma"/>
      <family val="2"/>
    </font>
    <font>
      <sz val="10"/>
      <name val="Tahoma"/>
      <family val="2"/>
    </font>
    <font>
      <i/>
      <sz val="9"/>
      <name val="Tahoma"/>
      <family val="2"/>
    </font>
    <font>
      <b/>
      <sz val="10"/>
      <color indexed="30"/>
      <name val="Arial"/>
      <family val="2"/>
    </font>
    <font>
      <b/>
      <sz val="7"/>
      <color indexed="12"/>
      <name val="Arial"/>
      <family val="2"/>
    </font>
    <font>
      <u/>
      <sz val="8"/>
      <color indexed="8"/>
      <name val="Arial"/>
      <family val="2"/>
    </font>
    <font>
      <sz val="8"/>
      <color indexed="12"/>
      <name val="Arial"/>
      <family val="2"/>
    </font>
    <font>
      <sz val="10"/>
      <color indexed="9"/>
      <name val="Tms Rmn"/>
    </font>
    <font>
      <sz val="7"/>
      <name val="Times New Roman"/>
      <family val="1"/>
    </font>
    <font>
      <b/>
      <i/>
      <sz val="8"/>
      <name val="Helv"/>
    </font>
    <font>
      <sz val="10"/>
      <name val="ＭＳ 明朝"/>
      <family val="1"/>
      <charset val="128"/>
    </font>
    <font>
      <sz val="9"/>
      <color indexed="8"/>
      <name val="ＭＳ Ｐゴシック"/>
      <family val="3"/>
      <charset val="128"/>
    </font>
    <font>
      <b/>
      <sz val="10"/>
      <color indexed="81"/>
      <name val="Calibri"/>
      <family val="2"/>
    </font>
    <font>
      <sz val="14"/>
      <color indexed="81"/>
      <name val="Calibri"/>
      <family val="2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3"/>
      <color theme="1"/>
      <name val="Arial"/>
      <family val="2"/>
    </font>
    <font>
      <b/>
      <sz val="12"/>
      <color theme="0"/>
      <name val="Calibri"/>
      <family val="2"/>
      <scheme val="minor"/>
    </font>
    <font>
      <sz val="8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u/>
      <sz val="12"/>
      <color theme="0"/>
      <name val="Calibri"/>
      <family val="2"/>
      <scheme val="minor"/>
    </font>
    <font>
      <sz val="12"/>
      <color rgb="FF00B0F0"/>
      <name val="Calibri"/>
      <family val="2"/>
      <scheme val="minor"/>
    </font>
    <font>
      <b/>
      <sz val="12"/>
      <color rgb="FF4C4C4C"/>
      <name val="Calibri"/>
      <family val="2"/>
      <scheme val="minor"/>
    </font>
    <font>
      <sz val="12"/>
      <color rgb="FF4C4C4C"/>
      <name val="Calibri"/>
      <family val="2"/>
      <scheme val="minor"/>
    </font>
    <font>
      <sz val="12"/>
      <color theme="1"/>
      <name val="PT Sans Narrow"/>
      <family val="2"/>
      <charset val="204"/>
    </font>
    <font>
      <sz val="12"/>
      <color rgb="FF4C4C4C"/>
      <name val="PT Sans Narrow"/>
      <family val="2"/>
      <charset val="204"/>
    </font>
    <font>
      <b/>
      <sz val="12"/>
      <color rgb="FFC61225"/>
      <name val="PT Sans Narrow"/>
      <family val="2"/>
      <charset val="204"/>
    </font>
    <font>
      <b/>
      <sz val="12"/>
      <color rgb="FF4C4C4C"/>
      <name val="PT Sans Narrow"/>
      <family val="2"/>
      <charset val="204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b/>
      <sz val="10"/>
      <color rgb="FF0432FF"/>
      <name val="Arial"/>
      <family val="2"/>
    </font>
    <font>
      <b/>
      <sz val="10"/>
      <color theme="1"/>
      <name val="Arial"/>
      <family val="2"/>
    </font>
    <font>
      <b/>
      <sz val="10"/>
      <color rgb="FF0070C0"/>
      <name val="Arial"/>
      <family val="2"/>
    </font>
    <font>
      <sz val="10"/>
      <color theme="9" tint="-0.249977111117893"/>
      <name val="Arial"/>
      <family val="2"/>
    </font>
    <font>
      <sz val="11"/>
      <color rgb="FF00B0F0"/>
      <name val="Arial"/>
      <family val="2"/>
    </font>
    <font>
      <sz val="10"/>
      <color rgb="FF00B0F0"/>
      <name val="Arial"/>
      <family val="2"/>
    </font>
    <font>
      <u/>
      <sz val="10"/>
      <name val="Arial"/>
      <family val="2"/>
    </font>
    <font>
      <b/>
      <sz val="12"/>
      <color rgb="FFFF0000"/>
      <name val="Calibri"/>
      <family val="2"/>
      <scheme val="minor"/>
    </font>
    <font>
      <b/>
      <sz val="10"/>
      <color rgb="FF00B0F0"/>
      <name val="Arial"/>
      <family val="2"/>
    </font>
    <font>
      <b/>
      <sz val="9"/>
      <color theme="1"/>
      <name val="Arial"/>
      <family val="2"/>
    </font>
    <font>
      <b/>
      <sz val="16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2"/>
      <color theme="0"/>
      <name val="Arial"/>
      <family val="2"/>
    </font>
    <font>
      <sz val="11"/>
      <color theme="1"/>
      <name val="Georgia"/>
      <family val="1"/>
    </font>
    <font>
      <b/>
      <sz val="10"/>
      <color theme="1"/>
      <name val="Georgia"/>
      <family val="1"/>
    </font>
    <font>
      <b/>
      <sz val="10"/>
      <name val="Georgia"/>
      <family val="1"/>
    </font>
    <font>
      <sz val="10"/>
      <name val="Georgia"/>
      <family val="1"/>
    </font>
    <font>
      <b/>
      <sz val="10"/>
      <color rgb="FF00B0F0"/>
      <name val="Georgia"/>
      <family val="1"/>
    </font>
    <font>
      <sz val="10"/>
      <color theme="1"/>
      <name val="Georgia"/>
      <family val="1"/>
    </font>
    <font>
      <i/>
      <sz val="11"/>
      <color theme="1"/>
      <name val="Georgia"/>
      <family val="1"/>
    </font>
    <font>
      <b/>
      <u/>
      <sz val="10"/>
      <name val="Georgia"/>
      <family val="1"/>
    </font>
    <font>
      <b/>
      <sz val="10"/>
      <color theme="0"/>
      <name val="Georgia"/>
      <family val="1"/>
    </font>
    <font>
      <b/>
      <sz val="10"/>
      <color indexed="8"/>
      <name val="Georgia"/>
      <family val="1"/>
    </font>
    <font>
      <b/>
      <sz val="12"/>
      <color theme="0"/>
      <name val="Georgia"/>
      <family val="1"/>
    </font>
    <font>
      <sz val="10"/>
      <color indexed="8"/>
      <name val="Georgia"/>
      <family val="1"/>
    </font>
    <font>
      <sz val="10"/>
      <color theme="0"/>
      <name val="Georgia"/>
      <family val="1"/>
    </font>
    <font>
      <b/>
      <sz val="10"/>
      <color rgb="FFFFFF00"/>
      <name val="Georgia"/>
      <family val="1"/>
    </font>
    <font>
      <sz val="10"/>
      <color theme="9" tint="-0.249977111117893"/>
      <name val="Georgia"/>
      <family val="1"/>
    </font>
    <font>
      <b/>
      <sz val="10"/>
      <color rgb="FF000000"/>
      <name val="Calibri"/>
      <family val="2"/>
    </font>
    <font>
      <sz val="14"/>
      <color rgb="FF000000"/>
      <name val="Calibri"/>
      <family val="2"/>
    </font>
    <font>
      <sz val="11"/>
      <color theme="4"/>
      <name val="Arial"/>
      <family val="2"/>
    </font>
    <font>
      <sz val="12"/>
      <color rgb="FF0432FF"/>
      <name val="Arial"/>
      <family val="2"/>
    </font>
    <font>
      <sz val="11"/>
      <color rgb="FF0432FF"/>
      <name val="Calibri"/>
      <family val="2"/>
      <scheme val="minor"/>
    </font>
    <font>
      <sz val="11"/>
      <color rgb="FF0432FF"/>
      <name val="Arial"/>
      <family val="2"/>
    </font>
    <font>
      <b/>
      <sz val="11"/>
      <color rgb="FF0432FF"/>
      <name val="Arial"/>
      <family val="2"/>
    </font>
    <font>
      <sz val="11"/>
      <color rgb="FF000000"/>
      <name val="Arial"/>
      <family val="2"/>
    </font>
    <font>
      <sz val="12"/>
      <color rgb="FF000000"/>
      <name val="Arial"/>
      <family val="2"/>
    </font>
    <font>
      <sz val="12"/>
      <color theme="1"/>
      <name val="Cambria"/>
      <family val="2"/>
      <scheme val="major"/>
    </font>
  </fonts>
  <fills count="39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3"/>
      </patternFill>
    </fill>
    <fill>
      <patternFill patternType="solid">
        <fgColor indexed="44"/>
        <bgColor indexed="64"/>
      </patternFill>
    </fill>
    <fill>
      <patternFill patternType="lightGray">
        <fgColor indexed="15"/>
      </patternFill>
    </fill>
    <fill>
      <patternFill patternType="solid">
        <fgColor indexed="2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0"/>
        <bgColor indexed="10"/>
      </patternFill>
    </fill>
    <fill>
      <patternFill patternType="solid">
        <fgColor indexed="22"/>
        <bgColor indexed="22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darkVertical"/>
    </fill>
    <fill>
      <patternFill patternType="solid">
        <fgColor indexed="63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C6EFCE"/>
      </patternFill>
    </fill>
    <fill>
      <patternFill patternType="solid">
        <fgColor theme="6" tint="-0.49998474074526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59999389629810485"/>
        <bgColor indexed="64"/>
      </patternFill>
    </fill>
  </fills>
  <borders count="15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 style="medium">
        <color auto="1"/>
      </right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/>
      <top/>
      <bottom style="hair">
        <color auto="1"/>
      </bottom>
      <diagonal/>
    </border>
    <border>
      <left/>
      <right/>
      <top style="thick">
        <color indexed="30"/>
      </top>
      <bottom/>
      <diagonal/>
    </border>
    <border>
      <left style="thin">
        <color indexed="30"/>
      </left>
      <right style="thin">
        <color indexed="30"/>
      </right>
      <top/>
      <bottom style="double">
        <color indexed="30"/>
      </bottom>
      <diagonal/>
    </border>
    <border>
      <left/>
      <right/>
      <top/>
      <bottom style="thin">
        <color indexed="30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thin">
        <color indexed="22"/>
      </bottom>
      <diagonal/>
    </border>
    <border>
      <left/>
      <right/>
      <top/>
      <bottom style="thick">
        <color indexed="30"/>
      </bottom>
      <diagonal/>
    </border>
    <border>
      <left style="thin">
        <color indexed="30"/>
      </left>
      <right style="thin">
        <color indexed="30"/>
      </right>
      <top/>
      <bottom style="thin">
        <color indexed="30"/>
      </bottom>
      <diagonal/>
    </border>
    <border>
      <left/>
      <right/>
      <top/>
      <bottom style="hair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30"/>
      </left>
      <right/>
      <top/>
      <bottom/>
      <diagonal/>
    </border>
    <border>
      <left style="thin">
        <color indexed="30"/>
      </left>
      <right style="thin">
        <color indexed="30"/>
      </right>
      <top/>
      <bottom/>
      <diagonal/>
    </border>
    <border>
      <left/>
      <right/>
      <top/>
      <bottom style="dotted">
        <color auto="1"/>
      </bottom>
      <diagonal/>
    </border>
    <border>
      <left/>
      <right/>
      <top/>
      <bottom style="medium">
        <color indexed="63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thin">
        <color indexed="23"/>
      </bottom>
      <diagonal/>
    </border>
    <border>
      <left/>
      <right/>
      <top style="thick">
        <color indexed="17"/>
      </top>
      <bottom/>
      <diagonal/>
    </border>
    <border>
      <left/>
      <right/>
      <top/>
      <bottom style="thick">
        <color indexed="18"/>
      </bottom>
      <diagonal/>
    </border>
    <border>
      <left/>
      <right/>
      <top/>
      <bottom style="thin">
        <color indexed="18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/>
      <right/>
      <top/>
      <bottom style="hair">
        <color indexed="22"/>
      </bottom>
      <diagonal/>
    </border>
    <border>
      <left/>
      <right/>
      <top/>
      <bottom style="thick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indexed="30"/>
      </left>
      <right/>
      <top/>
      <bottom style="thin">
        <color indexed="30"/>
      </bottom>
      <diagonal/>
    </border>
    <border>
      <left/>
      <right style="thin">
        <color indexed="30"/>
      </right>
      <top/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ck">
        <color indexed="30"/>
      </left>
      <right style="thin">
        <color indexed="30"/>
      </right>
      <top style="thick">
        <color indexed="30"/>
      </top>
      <bottom style="thick">
        <color indexed="30"/>
      </bottom>
      <diagonal/>
    </border>
    <border>
      <left/>
      <right/>
      <top style="thin">
        <color auto="1"/>
      </top>
      <bottom style="hair">
        <color indexed="22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/>
      <right/>
      <top/>
      <bottom style="medium">
        <color indexed="45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indexed="45"/>
      </bottom>
      <diagonal/>
    </border>
    <border>
      <left/>
      <right/>
      <top style="medium">
        <color indexed="45"/>
      </top>
      <bottom/>
      <diagonal/>
    </border>
    <border>
      <left/>
      <right/>
      <top/>
      <bottom style="double">
        <color indexed="45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 style="double">
        <color auto="1"/>
      </bottom>
      <diagonal/>
    </border>
    <border>
      <left/>
      <right/>
      <top/>
      <bottom style="thick">
        <color theme="4" tint="0.3999755851924192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medium">
        <color auto="1"/>
      </left>
      <right style="medium">
        <color auto="1"/>
      </right>
      <top/>
      <bottom style="double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 style="double">
        <color auto="1"/>
      </top>
      <bottom style="double">
        <color auto="1"/>
      </bottom>
      <diagonal/>
    </border>
    <border>
      <left/>
      <right style="medium">
        <color auto="1"/>
      </right>
      <top style="double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auto="1"/>
      </bottom>
      <diagonal/>
    </border>
    <border>
      <left/>
      <right/>
      <top style="medium">
        <color indexed="64"/>
      </top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medium">
        <color indexed="64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indexed="64"/>
      </right>
      <top/>
      <bottom style="thin">
        <color auto="1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medium">
        <color indexed="64"/>
      </top>
      <bottom/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double">
        <color auto="1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/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 style="medium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360">
    <xf numFmtId="0" fontId="0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7" fillId="0" borderId="0"/>
    <xf numFmtId="43" fontId="15" fillId="0" borderId="0" applyFont="0" applyFill="0" applyBorder="0" applyAlignment="0" applyProtection="0"/>
    <xf numFmtId="0" fontId="18" fillId="0" borderId="0"/>
    <xf numFmtId="9" fontId="15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3" fontId="25" fillId="0" borderId="0">
      <alignment horizontal="right"/>
    </xf>
    <xf numFmtId="184" fontId="25" fillId="0" borderId="0">
      <alignment horizontal="right"/>
    </xf>
    <xf numFmtId="185" fontId="25" fillId="0" borderId="0">
      <alignment horizontal="right"/>
    </xf>
    <xf numFmtId="186" fontId="15" fillId="0" borderId="0" applyFont="0" applyFill="0" applyBorder="0" applyAlignment="0" applyProtection="0"/>
    <xf numFmtId="187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7" fontId="15" fillId="0" borderId="0" applyFont="0" applyFill="0" applyBorder="0" applyAlignment="0" applyProtection="0"/>
    <xf numFmtId="187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26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26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26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19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0" fontId="27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2" fontId="26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2" fontId="26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67" fontId="27" fillId="0" borderId="0" applyFont="0" applyFill="0" applyBorder="0" applyAlignment="0" applyProtection="0"/>
    <xf numFmtId="19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2" fontId="26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39" fontId="26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39" fontId="26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39" fontId="26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15" fillId="12" borderId="0" applyNumberFormat="0" applyFont="0" applyAlignment="0" applyProtection="0"/>
    <xf numFmtId="195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67" fontId="27" fillId="0" borderId="0" applyFont="0" applyFill="0" applyBorder="0" applyAlignment="0" applyProtection="0"/>
    <xf numFmtId="195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67" fontId="27" fillId="0" borderId="0" applyFont="0" applyFill="0" applyBorder="0" applyAlignment="0" applyProtection="0"/>
    <xf numFmtId="195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6" fontId="26" fillId="0" borderId="0" applyFont="0" applyFill="0" applyBorder="0" applyAlignment="0" applyProtection="0"/>
    <xf numFmtId="196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6" fontId="26" fillId="0" borderId="0" applyFont="0" applyFill="0" applyBorder="0" applyAlignment="0" applyProtection="0"/>
    <xf numFmtId="195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6" fontId="26" fillId="0" borderId="0" applyFont="0" applyFill="0" applyBorder="0" applyAlignment="0" applyProtection="0"/>
    <xf numFmtId="195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7" fontId="15" fillId="0" borderId="0" applyFont="0" applyFill="0" applyBorder="0" applyProtection="0">
      <alignment horizontal="right"/>
    </xf>
    <xf numFmtId="198" fontId="27" fillId="0" borderId="0" applyFont="0" applyFill="0" applyBorder="0" applyAlignment="0" applyProtection="0"/>
    <xf numFmtId="197" fontId="15" fillId="0" borderId="0" applyFont="0" applyFill="0" applyBorder="0" applyProtection="0">
      <alignment horizontal="right"/>
    </xf>
    <xf numFmtId="198" fontId="27" fillId="0" borderId="0" applyFont="0" applyFill="0" applyBorder="0" applyAlignment="0" applyProtection="0"/>
    <xf numFmtId="197" fontId="15" fillId="0" borderId="0" applyFont="0" applyFill="0" applyBorder="0" applyProtection="0">
      <alignment horizontal="right"/>
    </xf>
    <xf numFmtId="197" fontId="15" fillId="0" borderId="0" applyFont="0" applyFill="0" applyBorder="0" applyProtection="0">
      <alignment horizontal="right"/>
    </xf>
    <xf numFmtId="199" fontId="26" fillId="0" borderId="0" applyFont="0" applyFill="0" applyBorder="0" applyAlignment="0" applyProtection="0"/>
    <xf numFmtId="197" fontId="15" fillId="0" borderId="0" applyFont="0" applyFill="0" applyBorder="0" applyProtection="0">
      <alignment horizontal="right"/>
    </xf>
    <xf numFmtId="199" fontId="26" fillId="0" borderId="0" applyFont="0" applyFill="0" applyBorder="0" applyAlignment="0" applyProtection="0"/>
    <xf numFmtId="197" fontId="15" fillId="0" borderId="0" applyFont="0" applyFill="0" applyBorder="0" applyProtection="0">
      <alignment horizontal="right"/>
    </xf>
    <xf numFmtId="199" fontId="26" fillId="0" borderId="0" applyFont="0" applyFill="0" applyBorder="0" applyAlignment="0" applyProtection="0"/>
    <xf numFmtId="200" fontId="26" fillId="0" borderId="0" applyFont="0" applyFill="0" applyBorder="0" applyAlignment="0" applyProtection="0"/>
    <xf numFmtId="201" fontId="27" fillId="0" borderId="0" applyFont="0" applyFill="0" applyBorder="0" applyAlignment="0" applyProtection="0"/>
    <xf numFmtId="201" fontId="27" fillId="0" borderId="0" applyFont="0" applyFill="0" applyBorder="0" applyAlignment="0" applyProtection="0"/>
    <xf numFmtId="202" fontId="26" fillId="0" borderId="0" applyFont="0" applyFill="0" applyBorder="0" applyAlignment="0" applyProtection="0"/>
    <xf numFmtId="203" fontId="27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29" fillId="0" borderId="0" applyNumberFormat="0" applyFill="0" applyBorder="0" applyProtection="0">
      <alignment vertical="top"/>
    </xf>
    <xf numFmtId="0" fontId="30" fillId="0" borderId="13" applyNumberFormat="0" applyFill="0" applyAlignment="0" applyProtection="0"/>
    <xf numFmtId="0" fontId="31" fillId="0" borderId="14" applyNumberFormat="0" applyFill="0" applyProtection="0">
      <alignment horizontal="center"/>
    </xf>
    <xf numFmtId="0" fontId="31" fillId="0" borderId="0" applyNumberFormat="0" applyFill="0" applyBorder="0" applyProtection="0">
      <alignment horizontal="left"/>
    </xf>
    <xf numFmtId="0" fontId="32" fillId="0" borderId="0" applyNumberFormat="0" applyFill="0" applyBorder="0" applyProtection="0">
      <alignment horizontal="centerContinuous"/>
    </xf>
    <xf numFmtId="204" fontId="33" fillId="0" borderId="0">
      <alignment horizontal="left"/>
      <protection locked="0"/>
    </xf>
    <xf numFmtId="38" fontId="9" fillId="0" borderId="15"/>
    <xf numFmtId="39" fontId="34" fillId="0" borderId="0">
      <alignment horizontal="center"/>
    </xf>
    <xf numFmtId="39" fontId="34" fillId="0" borderId="0">
      <alignment horizontal="center"/>
    </xf>
    <xf numFmtId="39" fontId="34" fillId="0" borderId="0">
      <alignment horizontal="center"/>
    </xf>
    <xf numFmtId="39" fontId="34" fillId="0" borderId="0">
      <alignment horizontal="center"/>
    </xf>
    <xf numFmtId="39" fontId="34" fillId="0" borderId="0">
      <alignment horizontal="center"/>
    </xf>
    <xf numFmtId="39" fontId="34" fillId="0" borderId="0">
      <alignment horizontal="center"/>
    </xf>
    <xf numFmtId="39" fontId="34" fillId="0" borderId="0">
      <alignment horizontal="center"/>
    </xf>
    <xf numFmtId="39" fontId="34" fillId="0" borderId="0">
      <alignment horizontal="center"/>
    </xf>
    <xf numFmtId="39" fontId="34" fillId="0" borderId="0">
      <alignment horizontal="center"/>
    </xf>
    <xf numFmtId="39" fontId="34" fillId="0" borderId="0">
      <alignment horizontal="center"/>
    </xf>
    <xf numFmtId="39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39" fontId="34" fillId="0" borderId="0">
      <alignment horizontal="center"/>
    </xf>
    <xf numFmtId="39" fontId="34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39" fontId="36" fillId="0" borderId="0">
      <alignment horizontal="center"/>
    </xf>
    <xf numFmtId="205" fontId="37" fillId="0" borderId="0">
      <protection locked="0"/>
    </xf>
    <xf numFmtId="39" fontId="36" fillId="0" borderId="0">
      <alignment horizontal="center"/>
    </xf>
    <xf numFmtId="39" fontId="36" fillId="0" borderId="0">
      <alignment horizontal="center"/>
    </xf>
    <xf numFmtId="39" fontId="36" fillId="0" borderId="0">
      <alignment horizontal="center"/>
    </xf>
    <xf numFmtId="39" fontId="36" fillId="0" borderId="0">
      <alignment horizontal="center"/>
    </xf>
    <xf numFmtId="39" fontId="36" fillId="0" borderId="0">
      <alignment horizontal="center"/>
    </xf>
    <xf numFmtId="39" fontId="36" fillId="0" borderId="0">
      <alignment horizontal="center"/>
    </xf>
    <xf numFmtId="39" fontId="36" fillId="0" borderId="0">
      <alignment horizontal="center"/>
    </xf>
    <xf numFmtId="39" fontId="36" fillId="0" borderId="0">
      <alignment horizontal="center"/>
    </xf>
    <xf numFmtId="39" fontId="36" fillId="0" borderId="0">
      <alignment horizontal="center"/>
    </xf>
    <xf numFmtId="39" fontId="36" fillId="0" borderId="0">
      <alignment horizontal="center"/>
    </xf>
    <xf numFmtId="39" fontId="36" fillId="0" borderId="0">
      <alignment horizontal="center"/>
    </xf>
    <xf numFmtId="39" fontId="36" fillId="0" borderId="0">
      <alignment horizontal="center"/>
    </xf>
    <xf numFmtId="14" fontId="38" fillId="0" borderId="0"/>
    <xf numFmtId="206" fontId="23" fillId="13" borderId="16">
      <alignment horizontal="center" vertical="center"/>
    </xf>
    <xf numFmtId="0" fontId="39" fillId="0" borderId="0"/>
    <xf numFmtId="37" fontId="21" fillId="0" borderId="0" applyFont="0" applyAlignment="0">
      <alignment horizontal="centerContinuous" vertical="top"/>
    </xf>
    <xf numFmtId="0" fontId="25" fillId="0" borderId="0">
      <alignment horizontal="center" wrapText="1"/>
      <protection locked="0"/>
    </xf>
    <xf numFmtId="0" fontId="15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207" fontId="15" fillId="0" borderId="0" applyFont="0" applyFill="0" applyBorder="0" applyAlignment="0"/>
    <xf numFmtId="208" fontId="40" fillId="0" borderId="0" applyFont="0" applyFill="0" applyBorder="0" applyAlignment="0">
      <alignment horizontal="right"/>
    </xf>
    <xf numFmtId="0" fontId="41" fillId="0" borderId="0" applyNumberFormat="0" applyFill="0" applyBorder="0" applyAlignment="0" applyProtection="0"/>
    <xf numFmtId="0" fontId="37" fillId="0" borderId="0">
      <protection locked="0"/>
    </xf>
    <xf numFmtId="209" fontId="37" fillId="0" borderId="0">
      <alignment horizontal="right"/>
      <protection locked="0"/>
    </xf>
    <xf numFmtId="7" fontId="42" fillId="0" borderId="0">
      <alignment horizontal="right"/>
      <protection locked="0"/>
    </xf>
    <xf numFmtId="203" fontId="37" fillId="0" borderId="0">
      <alignment horizontal="right"/>
      <protection locked="0"/>
    </xf>
    <xf numFmtId="0" fontId="43" fillId="0" borderId="0" applyNumberFormat="0" applyFill="0" applyBorder="0" applyAlignment="0" applyProtection="0"/>
    <xf numFmtId="0" fontId="44" fillId="0" borderId="0"/>
    <xf numFmtId="0" fontId="45" fillId="0" borderId="17"/>
    <xf numFmtId="0" fontId="46" fillId="13" borderId="18" applyAlignment="0">
      <alignment horizontal="center"/>
    </xf>
    <xf numFmtId="0" fontId="47" fillId="0" borderId="19"/>
    <xf numFmtId="0" fontId="25" fillId="0" borderId="20" applyNumberFormat="0" applyFont="0" applyFill="0" applyAlignment="0" applyProtection="0"/>
    <xf numFmtId="203" fontId="15" fillId="0" borderId="21" applyNumberFormat="0" applyFill="0" applyAlignment="0" applyProtection="0"/>
    <xf numFmtId="0" fontId="48" fillId="0" borderId="22"/>
    <xf numFmtId="0" fontId="48" fillId="0" borderId="23"/>
    <xf numFmtId="0" fontId="49" fillId="0" borderId="0"/>
    <xf numFmtId="0" fontId="50" fillId="0" borderId="0" applyFont="0" applyFill="0" applyBorder="0" applyAlignment="0" applyProtection="0"/>
    <xf numFmtId="0" fontId="51" fillId="0" borderId="0"/>
    <xf numFmtId="210" fontId="24" fillId="0" borderId="0" applyFill="0" applyBorder="0" applyAlignment="0"/>
    <xf numFmtId="0" fontId="15" fillId="0" borderId="0" applyFill="0" applyBorder="0" applyAlignment="0"/>
    <xf numFmtId="0" fontId="15" fillId="0" borderId="0" applyFill="0" applyBorder="0" applyAlignment="0"/>
    <xf numFmtId="0" fontId="15" fillId="0" borderId="0" applyFill="0" applyBorder="0" applyAlignment="0"/>
    <xf numFmtId="0" fontId="15" fillId="0" borderId="0" applyFill="0" applyBorder="0" applyAlignment="0"/>
    <xf numFmtId="0" fontId="15" fillId="0" borderId="0" applyFill="0" applyBorder="0" applyAlignment="0"/>
    <xf numFmtId="0" fontId="15" fillId="0" borderId="0" applyFill="0" applyBorder="0" applyAlignment="0"/>
    <xf numFmtId="0" fontId="15" fillId="0" borderId="0" applyFill="0" applyBorder="0" applyAlignment="0"/>
    <xf numFmtId="211" fontId="52" fillId="0" borderId="9" applyFill="0" applyBorder="0" applyAlignment="0" applyProtection="0">
      <alignment horizontal="right"/>
    </xf>
    <xf numFmtId="212" fontId="53" fillId="0" borderId="0" applyFont="0" applyFill="0"/>
    <xf numFmtId="39" fontId="25" fillId="14" borderId="0" applyNumberFormat="0" applyFont="0" applyBorder="0" applyAlignment="0"/>
    <xf numFmtId="213" fontId="15" fillId="0" borderId="0" applyFill="0" applyBorder="0" applyProtection="0"/>
    <xf numFmtId="0" fontId="11" fillId="0" borderId="10" applyNumberFormat="0" applyFont="0" applyFill="0" applyProtection="0">
      <alignment horizontal="centerContinuous" vertical="center"/>
    </xf>
    <xf numFmtId="0" fontId="54" fillId="0" borderId="24" applyNumberFormat="0" applyFill="0" applyProtection="0">
      <alignment horizontal="center" vertical="center"/>
    </xf>
    <xf numFmtId="0" fontId="55" fillId="0" borderId="25" applyNumberFormat="0" applyFill="0" applyBorder="0" applyProtection="0">
      <alignment horizontal="right" vertical="center"/>
    </xf>
    <xf numFmtId="0" fontId="11" fillId="0" borderId="0" applyNumberFormat="0" applyFill="0" applyBorder="0" applyProtection="0">
      <alignment horizontal="center" vertical="center"/>
    </xf>
    <xf numFmtId="0" fontId="56" fillId="13" borderId="0" applyNumberFormat="0">
      <alignment horizontal="center"/>
    </xf>
    <xf numFmtId="0" fontId="15" fillId="0" borderId="0" applyFont="0" applyFill="0" applyBorder="0" applyAlignment="0" applyProtection="0"/>
    <xf numFmtId="214" fontId="15" fillId="0" borderId="0" applyFont="0" applyFill="0" applyBorder="0" applyAlignment="0" applyProtection="0"/>
    <xf numFmtId="0" fontId="27" fillId="0" borderId="0" applyFont="0" applyFill="0" applyBorder="0" applyAlignment="0" applyProtection="0">
      <alignment horizontal="right"/>
    </xf>
    <xf numFmtId="215" fontId="2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3" fontId="57" fillId="0" borderId="0" applyFont="0" applyFill="0" applyBorder="0" applyAlignment="0" applyProtection="0"/>
    <xf numFmtId="0" fontId="58" fillId="0" borderId="0"/>
    <xf numFmtId="0" fontId="59" fillId="0" borderId="0"/>
    <xf numFmtId="3" fontId="60" fillId="0" borderId="0" applyFill="0" applyBorder="0" applyAlignment="0" applyProtection="0"/>
    <xf numFmtId="0" fontId="58" fillId="0" borderId="0"/>
    <xf numFmtId="41" fontId="46" fillId="0" borderId="26">
      <alignment horizontal="center"/>
      <protection locked="0" hidden="1"/>
    </xf>
    <xf numFmtId="41" fontId="46" fillId="0" borderId="27">
      <alignment horizontal="center"/>
      <protection locked="0"/>
    </xf>
    <xf numFmtId="41" fontId="61" fillId="0" borderId="17">
      <protection hidden="1"/>
    </xf>
    <xf numFmtId="41" fontId="62" fillId="0" borderId="17"/>
    <xf numFmtId="41" fontId="46" fillId="0" borderId="17">
      <alignment horizontal="right"/>
    </xf>
    <xf numFmtId="0" fontId="63" fillId="0" borderId="0" applyNumberFormat="0" applyAlignment="0">
      <alignment horizontal="left"/>
    </xf>
    <xf numFmtId="0" fontId="64" fillId="0" borderId="0" applyNumberFormat="0" applyAlignment="0"/>
    <xf numFmtId="0" fontId="59" fillId="0" borderId="0"/>
    <xf numFmtId="0" fontId="58" fillId="0" borderId="0"/>
    <xf numFmtId="0" fontId="15" fillId="0" borderId="0" applyFont="0" applyFill="0" applyBorder="0" applyAlignment="0" applyProtection="0"/>
    <xf numFmtId="8" fontId="65" fillId="0" borderId="0" applyBorder="0"/>
    <xf numFmtId="0" fontId="27" fillId="0" borderId="0" applyFont="0" applyFill="0" applyBorder="0" applyAlignment="0" applyProtection="0">
      <alignment horizontal="right"/>
    </xf>
    <xf numFmtId="44" fontId="66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217" fontId="67" fillId="0" borderId="0" applyFont="0" applyFill="0" applyBorder="0" applyAlignment="0" applyProtection="0"/>
    <xf numFmtId="218" fontId="68" fillId="0" borderId="0"/>
    <xf numFmtId="44" fontId="61" fillId="0" borderId="17">
      <alignment horizontal="center"/>
      <protection hidden="1"/>
    </xf>
    <xf numFmtId="39" fontId="38" fillId="0" borderId="0">
      <alignment horizontal="right"/>
    </xf>
    <xf numFmtId="14" fontId="46" fillId="0" borderId="27">
      <alignment horizontal="center"/>
    </xf>
    <xf numFmtId="0" fontId="27" fillId="0" borderId="0" applyFont="0" applyFill="0" applyBorder="0" applyAlignment="0" applyProtection="0"/>
    <xf numFmtId="219" fontId="15" fillId="0" borderId="0">
      <alignment horizontal="right"/>
    </xf>
    <xf numFmtId="14" fontId="24" fillId="0" borderId="0" applyFill="0" applyBorder="0" applyAlignment="0"/>
    <xf numFmtId="14" fontId="25" fillId="0" borderId="0">
      <alignment horizontal="right"/>
    </xf>
    <xf numFmtId="14" fontId="69" fillId="0" borderId="0">
      <alignment horizontal="right"/>
      <protection locked="0"/>
    </xf>
    <xf numFmtId="220" fontId="70" fillId="0" borderId="0" applyFill="0" applyProtection="0">
      <alignment vertical="center"/>
    </xf>
    <xf numFmtId="221" fontId="25" fillId="0" borderId="0">
      <alignment horizontal="right"/>
    </xf>
    <xf numFmtId="222" fontId="25" fillId="0" borderId="0">
      <alignment horizontal="right"/>
    </xf>
    <xf numFmtId="223" fontId="15" fillId="0" borderId="0">
      <alignment horizontal="right"/>
    </xf>
    <xf numFmtId="8" fontId="15" fillId="0" borderId="0" applyFill="0" applyBorder="0" applyProtection="0"/>
    <xf numFmtId="224" fontId="25" fillId="0" borderId="0"/>
    <xf numFmtId="224" fontId="71" fillId="0" borderId="0">
      <protection locked="0"/>
    </xf>
    <xf numFmtId="7" fontId="25" fillId="0" borderId="0"/>
    <xf numFmtId="0" fontId="27" fillId="0" borderId="28" applyNumberFormat="0" applyFont="0" applyFill="0" applyAlignment="0" applyProtection="0"/>
    <xf numFmtId="42" fontId="72" fillId="0" borderId="0" applyFill="0" applyBorder="0" applyAlignment="0" applyProtection="0"/>
    <xf numFmtId="171" fontId="9" fillId="15" borderId="0">
      <alignment vertical="center"/>
    </xf>
    <xf numFmtId="171" fontId="10" fillId="0" borderId="0">
      <alignment vertical="center"/>
    </xf>
    <xf numFmtId="171" fontId="10" fillId="0" borderId="0">
      <alignment vertical="center"/>
    </xf>
    <xf numFmtId="171" fontId="73" fillId="16" borderId="29" applyNumberFormat="0" applyAlignment="0">
      <alignment horizontal="center" vertical="center"/>
    </xf>
    <xf numFmtId="171" fontId="74" fillId="16" borderId="0">
      <alignment horizontal="center" vertical="center"/>
    </xf>
    <xf numFmtId="14" fontId="9" fillId="16" borderId="0">
      <alignment horizontal="center" vertical="center"/>
    </xf>
    <xf numFmtId="17" fontId="68" fillId="16" borderId="0">
      <alignment horizontal="center" vertical="center"/>
    </xf>
    <xf numFmtId="171" fontId="16" fillId="0" borderId="0">
      <alignment vertical="center"/>
    </xf>
    <xf numFmtId="171" fontId="75" fillId="16" borderId="0">
      <alignment vertical="center"/>
    </xf>
    <xf numFmtId="171" fontId="76" fillId="16" borderId="0">
      <alignment vertical="center"/>
    </xf>
    <xf numFmtId="167" fontId="77" fillId="16" borderId="30">
      <alignment vertical="center"/>
    </xf>
    <xf numFmtId="0" fontId="9" fillId="16" borderId="30">
      <alignment vertical="center"/>
    </xf>
    <xf numFmtId="37" fontId="68" fillId="16" borderId="0">
      <alignment horizontal="left" vertical="center"/>
    </xf>
    <xf numFmtId="171" fontId="68" fillId="16" borderId="0">
      <alignment horizontal="center" vertical="center"/>
    </xf>
    <xf numFmtId="225" fontId="40" fillId="16" borderId="0">
      <alignment horizontal="right" vertical="center"/>
    </xf>
    <xf numFmtId="165" fontId="40" fillId="16" borderId="0">
      <alignment horizontal="right" vertical="center"/>
    </xf>
    <xf numFmtId="167" fontId="78" fillId="16" borderId="0">
      <alignment horizontal="right" vertical="center"/>
    </xf>
    <xf numFmtId="167" fontId="78" fillId="16" borderId="7">
      <alignment horizontal="right" vertical="center"/>
    </xf>
    <xf numFmtId="165" fontId="79" fillId="16" borderId="30">
      <alignment horizontal="right" vertical="center"/>
    </xf>
    <xf numFmtId="170" fontId="30" fillId="16" borderId="0">
      <alignment horizontal="right" vertical="center"/>
    </xf>
    <xf numFmtId="4" fontId="40" fillId="16" borderId="0">
      <alignment horizontal="right" vertical="center"/>
    </xf>
    <xf numFmtId="170" fontId="68" fillId="16" borderId="25">
      <alignment horizontal="right" vertical="center"/>
    </xf>
    <xf numFmtId="165" fontId="68" fillId="16" borderId="25">
      <alignment horizontal="right" vertical="center"/>
    </xf>
    <xf numFmtId="165" fontId="79" fillId="16" borderId="0">
      <alignment horizontal="right" vertical="center"/>
    </xf>
    <xf numFmtId="219" fontId="68" fillId="16" borderId="0">
      <alignment horizontal="right" vertical="center"/>
    </xf>
    <xf numFmtId="171" fontId="9" fillId="0" borderId="0">
      <alignment vertical="center"/>
    </xf>
    <xf numFmtId="171" fontId="16" fillId="16" borderId="25" applyBorder="0">
      <alignment horizontal="left" vertical="center"/>
    </xf>
    <xf numFmtId="171" fontId="80" fillId="16" borderId="0">
      <alignment horizontal="left" vertical="center"/>
    </xf>
    <xf numFmtId="171" fontId="16" fillId="16" borderId="31">
      <alignment horizontal="left"/>
    </xf>
    <xf numFmtId="171" fontId="25" fillId="16" borderId="32">
      <alignment vertical="center"/>
    </xf>
    <xf numFmtId="171" fontId="25" fillId="16" borderId="33">
      <alignment vertical="center"/>
    </xf>
    <xf numFmtId="171" fontId="25" fillId="16" borderId="7">
      <alignment vertical="center"/>
    </xf>
    <xf numFmtId="171" fontId="10" fillId="16" borderId="34">
      <alignment horizontal="center" vertical="center"/>
    </xf>
    <xf numFmtId="171" fontId="10" fillId="0" borderId="0">
      <alignment vertical="center"/>
    </xf>
    <xf numFmtId="171" fontId="10" fillId="0" borderId="0">
      <alignment vertical="center"/>
    </xf>
    <xf numFmtId="171" fontId="10" fillId="0" borderId="0">
      <alignment vertical="center"/>
    </xf>
    <xf numFmtId="167" fontId="81" fillId="0" borderId="35" applyNumberFormat="0" applyAlignment="0" applyProtection="0">
      <alignment vertical="top"/>
    </xf>
    <xf numFmtId="0" fontId="15" fillId="0" borderId="0" applyFill="0" applyBorder="0" applyAlignment="0"/>
    <xf numFmtId="0" fontId="15" fillId="0" borderId="0" applyFill="0" applyBorder="0" applyAlignment="0"/>
    <xf numFmtId="0" fontId="15" fillId="0" borderId="0" applyFill="0" applyBorder="0" applyAlignment="0"/>
    <xf numFmtId="0" fontId="15" fillId="0" borderId="0" applyFill="0" applyBorder="0" applyAlignment="0"/>
    <xf numFmtId="0" fontId="15" fillId="0" borderId="0" applyFill="0" applyBorder="0" applyAlignment="0"/>
    <xf numFmtId="0" fontId="82" fillId="0" borderId="0" applyNumberFormat="0" applyAlignment="0">
      <alignment horizontal="left"/>
    </xf>
    <xf numFmtId="226" fontId="15" fillId="0" borderId="0" applyFont="0" applyFill="0" applyBorder="0" applyAlignment="0" applyProtection="0"/>
    <xf numFmtId="0" fontId="15" fillId="0" borderId="36" applyNumberFormat="0" applyFont="0" applyFill="0" applyAlignment="0" applyProtection="0"/>
    <xf numFmtId="0" fontId="15" fillId="0" borderId="36" applyNumberFormat="0" applyFont="0" applyFill="0" applyAlignment="0" applyProtection="0"/>
    <xf numFmtId="0" fontId="15" fillId="0" borderId="36" applyNumberFormat="0" applyFont="0" applyFill="0" applyAlignment="0" applyProtection="0"/>
    <xf numFmtId="0" fontId="15" fillId="0" borderId="36" applyNumberFormat="0" applyFont="0" applyFill="0" applyAlignment="0" applyProtection="0"/>
    <xf numFmtId="0" fontId="15" fillId="0" borderId="36" applyNumberFormat="0" applyFont="0" applyFill="0" applyAlignment="0" applyProtection="0"/>
    <xf numFmtId="0" fontId="15" fillId="0" borderId="36" applyNumberFormat="0" applyFont="0" applyFill="0" applyAlignment="0" applyProtection="0"/>
    <xf numFmtId="0" fontId="8" fillId="0" borderId="0" applyNumberFormat="0" applyFill="0" applyBorder="0" applyAlignment="0" applyProtection="0"/>
    <xf numFmtId="167" fontId="38" fillId="0" borderId="0" applyBorder="0"/>
    <xf numFmtId="227" fontId="9" fillId="0" borderId="0">
      <protection locked="0"/>
    </xf>
    <xf numFmtId="0" fontId="59" fillId="0" borderId="0"/>
    <xf numFmtId="0" fontId="83" fillId="0" borderId="0" applyFill="0" applyBorder="0" applyProtection="0">
      <alignment horizontal="left"/>
    </xf>
    <xf numFmtId="216" fontId="84" fillId="0" borderId="0"/>
    <xf numFmtId="0" fontId="85" fillId="0" borderId="0">
      <alignment horizontal="left" indent="2"/>
    </xf>
    <xf numFmtId="38" fontId="86" fillId="17" borderId="0" applyNumberFormat="0" applyBorder="0" applyAlignment="0" applyProtection="0"/>
    <xf numFmtId="0" fontId="27" fillId="0" borderId="0" applyFont="0" applyFill="0" applyBorder="0" applyAlignment="0" applyProtection="0">
      <alignment horizontal="right"/>
    </xf>
    <xf numFmtId="0" fontId="87" fillId="18" borderId="0"/>
    <xf numFmtId="0" fontId="15" fillId="0" borderId="0"/>
    <xf numFmtId="0" fontId="88" fillId="0" borderId="0" applyNumberFormat="0" applyFill="0" applyBorder="0" applyAlignment="0" applyProtection="0">
      <alignment horizontal="left"/>
    </xf>
    <xf numFmtId="0" fontId="89" fillId="0" borderId="0" applyNumberFormat="0" applyFill="0" applyBorder="0" applyAlignment="0" applyProtection="0">
      <alignment horizontal="left"/>
    </xf>
    <xf numFmtId="0" fontId="90" fillId="0" borderId="0" applyNumberFormat="0" applyFill="0" applyBorder="0" applyAlignment="0" applyProtection="0">
      <alignment horizontal="left"/>
    </xf>
    <xf numFmtId="0" fontId="91" fillId="0" borderId="0" applyNumberFormat="0" applyFill="0" applyBorder="0" applyAlignment="0" applyProtection="0">
      <alignment horizontal="left"/>
    </xf>
    <xf numFmtId="0" fontId="92" fillId="0" borderId="0" applyNumberFormat="0" applyFill="0" applyAlignment="0" applyProtection="0">
      <alignment horizontal="left"/>
    </xf>
    <xf numFmtId="0" fontId="91" fillId="0" borderId="0" applyNumberFormat="0" applyFill="0" applyBorder="0" applyAlignment="0" applyProtection="0">
      <alignment horizontal="left"/>
    </xf>
    <xf numFmtId="0" fontId="92" fillId="0" borderId="0" applyNumberFormat="0" applyFill="0" applyBorder="0" applyAlignment="0" applyProtection="0">
      <alignment horizontal="left"/>
    </xf>
    <xf numFmtId="0" fontId="93" fillId="0" borderId="0" applyNumberFormat="0" applyFill="0" applyBorder="0" applyAlignment="0" applyProtection="0">
      <alignment horizontal="left"/>
    </xf>
    <xf numFmtId="0" fontId="94" fillId="0" borderId="0" applyNumberFormat="0" applyFill="0" applyBorder="0" applyAlignment="0" applyProtection="0">
      <alignment horizontal="left"/>
    </xf>
    <xf numFmtId="0" fontId="95" fillId="0" borderId="0" applyNumberFormat="0" applyFill="0" applyBorder="0" applyAlignment="0" applyProtection="0"/>
    <xf numFmtId="0" fontId="96" fillId="0" borderId="5" applyNumberFormat="0" applyAlignment="0" applyProtection="0">
      <alignment horizontal="left" vertical="center"/>
    </xf>
    <xf numFmtId="0" fontId="96" fillId="0" borderId="2">
      <alignment horizontal="left" vertical="center"/>
    </xf>
    <xf numFmtId="8" fontId="34" fillId="0" borderId="0" applyProtection="0">
      <alignment horizontal="center"/>
    </xf>
    <xf numFmtId="0" fontId="20" fillId="0" borderId="0">
      <alignment horizontal="right"/>
    </xf>
    <xf numFmtId="0" fontId="20" fillId="0" borderId="0">
      <alignment horizontal="left"/>
    </xf>
    <xf numFmtId="0" fontId="15" fillId="0" borderId="0">
      <protection locked="0"/>
    </xf>
    <xf numFmtId="0" fontId="15" fillId="0" borderId="0">
      <protection locked="0"/>
    </xf>
    <xf numFmtId="0" fontId="97" fillId="0" borderId="37" applyNumberFormat="0" applyFill="0" applyBorder="0" applyAlignment="0" applyProtection="0">
      <alignment horizontal="left"/>
    </xf>
    <xf numFmtId="0" fontId="98" fillId="0" borderId="0">
      <alignment horizontal="center"/>
    </xf>
    <xf numFmtId="0" fontId="99" fillId="0" borderId="10"/>
    <xf numFmtId="0" fontId="15" fillId="13" borderId="4" applyNumberFormat="0" applyFont="0" applyBorder="0" applyAlignment="0" applyProtection="0"/>
    <xf numFmtId="0" fontId="15" fillId="13" borderId="4" applyNumberFormat="0" applyFont="0" applyBorder="0" applyAlignment="0" applyProtection="0"/>
    <xf numFmtId="0" fontId="15" fillId="13" borderId="4" applyNumberFormat="0" applyFont="0" applyBorder="0" applyAlignment="0" applyProtection="0"/>
    <xf numFmtId="0" fontId="15" fillId="13" borderId="4" applyNumberFormat="0" applyFont="0" applyBorder="0" applyAlignment="0" applyProtection="0"/>
    <xf numFmtId="0" fontId="15" fillId="13" borderId="4" applyNumberFormat="0" applyFont="0" applyBorder="0" applyAlignment="0" applyProtection="0"/>
    <xf numFmtId="0" fontId="15" fillId="13" borderId="4" applyNumberFormat="0" applyFont="0" applyBorder="0" applyAlignment="0" applyProtection="0"/>
    <xf numFmtId="3" fontId="49" fillId="0" borderId="0" applyNumberFormat="0" applyFill="0" applyBorder="0" applyAlignment="0" applyProtection="0"/>
    <xf numFmtId="228" fontId="9" fillId="0" borderId="0"/>
    <xf numFmtId="228" fontId="100" fillId="0" borderId="0" applyFont="0" applyFill="0" applyBorder="0" applyAlignment="0" applyProtection="0"/>
    <xf numFmtId="0" fontId="101" fillId="0" borderId="38" applyNumberFormat="0" applyFill="0" applyAlignment="0" applyProtection="0"/>
    <xf numFmtId="37" fontId="38" fillId="0" borderId="0" applyBorder="0"/>
    <xf numFmtId="10" fontId="86" fillId="19" borderId="1" applyNumberFormat="0" applyBorder="0" applyAlignment="0" applyProtection="0"/>
    <xf numFmtId="40" fontId="42" fillId="0" borderId="1">
      <protection locked="0"/>
    </xf>
    <xf numFmtId="38" fontId="42" fillId="0" borderId="1">
      <protection locked="0"/>
    </xf>
    <xf numFmtId="8" fontId="42" fillId="0" borderId="1">
      <protection locked="0"/>
    </xf>
    <xf numFmtId="6" fontId="42" fillId="0" borderId="1">
      <protection locked="0"/>
    </xf>
    <xf numFmtId="10" fontId="42" fillId="0" borderId="1">
      <protection locked="0"/>
    </xf>
    <xf numFmtId="9" fontId="42" fillId="0" borderId="1">
      <protection locked="0"/>
    </xf>
    <xf numFmtId="38" fontId="101" fillId="0" borderId="0"/>
    <xf numFmtId="40" fontId="9" fillId="0" borderId="0"/>
    <xf numFmtId="229" fontId="25" fillId="0" borderId="0">
      <alignment horizontal="left"/>
    </xf>
    <xf numFmtId="0" fontId="15" fillId="0" borderId="26"/>
    <xf numFmtId="2" fontId="102" fillId="0" borderId="1"/>
    <xf numFmtId="0" fontId="86" fillId="17" borderId="0"/>
    <xf numFmtId="0" fontId="15" fillId="0" borderId="0" applyFill="0" applyBorder="0" applyAlignment="0"/>
    <xf numFmtId="0" fontId="15" fillId="0" borderId="0" applyFill="0" applyBorder="0" applyAlignment="0"/>
    <xf numFmtId="0" fontId="15" fillId="0" borderId="0" applyFill="0" applyBorder="0" applyAlignment="0"/>
    <xf numFmtId="0" fontId="15" fillId="0" borderId="0" applyFill="0" applyBorder="0" applyAlignment="0"/>
    <xf numFmtId="0" fontId="15" fillId="0" borderId="0" applyFill="0" applyBorder="0" applyAlignment="0"/>
    <xf numFmtId="37" fontId="103" fillId="0" borderId="0" applyNumberFormat="0" applyFill="0" applyBorder="0" applyAlignment="0" applyProtection="0">
      <alignment horizontal="right"/>
    </xf>
    <xf numFmtId="44" fontId="8" fillId="0" borderId="0">
      <alignment horizontal="justify"/>
    </xf>
    <xf numFmtId="230" fontId="38" fillId="0" borderId="0"/>
    <xf numFmtId="231" fontId="27" fillId="0" borderId="0" applyFill="0" applyBorder="0" applyAlignment="0" applyProtection="0">
      <alignment horizontal="right"/>
    </xf>
    <xf numFmtId="232" fontId="15" fillId="0" borderId="0" applyFont="0" applyFill="0" applyBorder="0" applyAlignment="0" applyProtection="0"/>
    <xf numFmtId="233" fontId="15" fillId="0" borderId="0" applyFont="0" applyFill="0" applyBorder="0" applyAlignment="0" applyProtection="0"/>
    <xf numFmtId="234" fontId="15" fillId="0" borderId="0" applyFont="0" applyFill="0" applyBorder="0" applyAlignment="0" applyProtection="0"/>
    <xf numFmtId="235" fontId="15" fillId="0" borderId="0" applyFont="0" applyFill="0" applyBorder="0" applyAlignment="0" applyProtection="0"/>
    <xf numFmtId="236" fontId="15" fillId="0" borderId="0" applyFont="0" applyFill="0" applyBorder="0" applyAlignment="0" applyProtection="0"/>
    <xf numFmtId="237" fontId="15" fillId="0" borderId="0" applyFont="0" applyFill="0" applyBorder="0" applyAlignment="0" applyProtection="0"/>
    <xf numFmtId="238" fontId="15" fillId="0" borderId="0" applyFont="0" applyFill="0" applyBorder="0" applyAlignment="0" applyProtection="0"/>
    <xf numFmtId="239" fontId="104" fillId="0" borderId="0" applyFont="0" applyFill="0" applyBorder="0" applyAlignment="0" applyProtection="0"/>
    <xf numFmtId="240" fontId="15" fillId="0" borderId="0" applyFont="0" applyFill="0" applyBorder="0" applyAlignment="0" applyProtection="0"/>
    <xf numFmtId="241" fontId="15" fillId="0" borderId="0" applyFont="0" applyFill="0" applyBorder="0" applyAlignment="0" applyProtection="0"/>
    <xf numFmtId="242" fontId="15" fillId="0" borderId="0" applyFont="0" applyFill="0" applyBorder="0" applyAlignment="0" applyProtection="0"/>
    <xf numFmtId="237" fontId="15" fillId="0" borderId="0" applyFont="0" applyFill="0" applyBorder="0" applyAlignment="0" applyProtection="0"/>
    <xf numFmtId="0" fontId="105" fillId="0" borderId="0"/>
    <xf numFmtId="0" fontId="27" fillId="0" borderId="0" applyFont="0" applyFill="0" applyBorder="0" applyAlignment="0" applyProtection="0">
      <alignment horizontal="right"/>
    </xf>
    <xf numFmtId="243" fontId="25" fillId="0" borderId="0" applyFont="0" applyFill="0" applyBorder="0" applyAlignment="0" applyProtection="0"/>
    <xf numFmtId="244" fontId="25" fillId="0" borderId="0" applyFont="0" applyFill="0" applyBorder="0" applyAlignment="0" applyProtection="0"/>
    <xf numFmtId="245" fontId="27" fillId="0" borderId="0" applyFont="0" applyFill="0" applyBorder="0" applyAlignment="0" applyProtection="0">
      <alignment horizontal="right"/>
    </xf>
    <xf numFmtId="37" fontId="106" fillId="0" borderId="0"/>
    <xf numFmtId="38" fontId="26" fillId="0" borderId="1"/>
    <xf numFmtId="246" fontId="107" fillId="0" borderId="0"/>
    <xf numFmtId="0" fontId="15" fillId="0" borderId="0"/>
    <xf numFmtId="0" fontId="61" fillId="13" borderId="39"/>
    <xf numFmtId="17" fontId="61" fillId="0" borderId="27">
      <alignment horizontal="center"/>
    </xf>
    <xf numFmtId="0" fontId="15" fillId="0" borderId="0"/>
    <xf numFmtId="0" fontId="108" fillId="0" borderId="0"/>
    <xf numFmtId="0" fontId="48" fillId="0" borderId="27"/>
    <xf numFmtId="247" fontId="9" fillId="16" borderId="0" applyBorder="0">
      <alignment vertical="center"/>
    </xf>
    <xf numFmtId="3" fontId="46" fillId="0" borderId="40">
      <protection locked="0"/>
    </xf>
    <xf numFmtId="9" fontId="46" fillId="0" borderId="40"/>
    <xf numFmtId="248" fontId="26" fillId="0" borderId="15"/>
    <xf numFmtId="3" fontId="9" fillId="0" borderId="1"/>
    <xf numFmtId="248" fontId="109" fillId="20" borderId="1"/>
    <xf numFmtId="189" fontId="110" fillId="0" borderId="0"/>
    <xf numFmtId="3" fontId="26" fillId="0" borderId="41"/>
    <xf numFmtId="0" fontId="26" fillId="0" borderId="1"/>
    <xf numFmtId="1" fontId="71" fillId="0" borderId="0">
      <alignment horizontal="right"/>
      <protection locked="0"/>
    </xf>
    <xf numFmtId="171" fontId="75" fillId="0" borderId="0">
      <alignment horizontal="right"/>
      <protection locked="0"/>
    </xf>
    <xf numFmtId="0" fontId="71" fillId="0" borderId="0">
      <protection locked="0"/>
    </xf>
    <xf numFmtId="2" fontId="75" fillId="0" borderId="0">
      <alignment horizontal="right"/>
      <protection locked="0"/>
    </xf>
    <xf numFmtId="2" fontId="71" fillId="0" borderId="0">
      <alignment horizontal="right"/>
      <protection locked="0"/>
    </xf>
    <xf numFmtId="249" fontId="15" fillId="0" borderId="0" applyFont="0" applyBorder="0" applyAlignment="0">
      <alignment horizontal="centerContinuous"/>
    </xf>
    <xf numFmtId="0" fontId="15" fillId="0" borderId="36" applyNumberFormat="0" applyFont="0" applyFill="0" applyAlignment="0" applyProtection="0"/>
    <xf numFmtId="0" fontId="15" fillId="0" borderId="36" applyNumberFormat="0" applyFont="0" applyFill="0" applyAlignment="0" applyProtection="0"/>
    <xf numFmtId="0" fontId="15" fillId="0" borderId="36" applyNumberFormat="0" applyFont="0" applyFill="0" applyAlignment="0" applyProtection="0"/>
    <xf numFmtId="0" fontId="15" fillId="0" borderId="36" applyNumberFormat="0" applyFont="0" applyFill="0" applyAlignment="0" applyProtection="0"/>
    <xf numFmtId="0" fontId="15" fillId="0" borderId="36" applyNumberFormat="0" applyFont="0" applyFill="0" applyAlignment="0" applyProtection="0"/>
    <xf numFmtId="0" fontId="15" fillId="0" borderId="36" applyNumberFormat="0" applyFont="0" applyFill="0" applyAlignment="0" applyProtection="0"/>
    <xf numFmtId="40" fontId="111" fillId="0" borderId="0" applyFont="0" applyFill="0" applyBorder="0" applyAlignment="0" applyProtection="0"/>
    <xf numFmtId="38" fontId="111" fillId="0" borderId="0" applyFont="0" applyFill="0" applyBorder="0" applyAlignment="0" applyProtection="0"/>
    <xf numFmtId="0" fontId="85" fillId="21" borderId="1" applyNumberFormat="0" applyAlignment="0">
      <protection locked="0"/>
    </xf>
    <xf numFmtId="0" fontId="47" fillId="0" borderId="42">
      <alignment horizontal="left" wrapText="1"/>
    </xf>
    <xf numFmtId="4" fontId="24" fillId="16" borderId="0">
      <alignment horizontal="right"/>
    </xf>
    <xf numFmtId="0" fontId="112" fillId="16" borderId="0">
      <alignment horizontal="center" vertical="center"/>
    </xf>
    <xf numFmtId="0" fontId="113" fillId="16" borderId="11"/>
    <xf numFmtId="0" fontId="112" fillId="16" borderId="0" applyBorder="0">
      <alignment horizontal="centerContinuous"/>
    </xf>
    <xf numFmtId="0" fontId="114" fillId="16" borderId="0" applyBorder="0">
      <alignment horizontal="centerContinuous"/>
    </xf>
    <xf numFmtId="0" fontId="15" fillId="0" borderId="43" applyNumberFormat="0" applyFont="0" applyFill="0" applyAlignment="0" applyProtection="0"/>
    <xf numFmtId="0" fontId="15" fillId="0" borderId="43" applyNumberFormat="0" applyFont="0" applyFill="0" applyAlignment="0" applyProtection="0"/>
    <xf numFmtId="0" fontId="15" fillId="0" borderId="43" applyNumberFormat="0" applyFont="0" applyFill="0" applyAlignment="0" applyProtection="0"/>
    <xf numFmtId="0" fontId="15" fillId="0" borderId="43" applyNumberFormat="0" applyFont="0" applyFill="0" applyAlignment="0" applyProtection="0"/>
    <xf numFmtId="0" fontId="15" fillId="0" borderId="43" applyNumberFormat="0" applyFont="0" applyFill="0" applyAlignment="0" applyProtection="0"/>
    <xf numFmtId="0" fontId="15" fillId="0" borderId="43" applyNumberFormat="0" applyFont="0" applyFill="0" applyAlignment="0" applyProtection="0"/>
    <xf numFmtId="0" fontId="15" fillId="0" borderId="3" applyNumberFormat="0" applyFont="0" applyFill="0" applyAlignment="0" applyProtection="0"/>
    <xf numFmtId="250" fontId="38" fillId="0" borderId="20" applyBorder="0"/>
    <xf numFmtId="0" fontId="115" fillId="0" borderId="0" applyProtection="0">
      <alignment horizontal="left"/>
    </xf>
    <xf numFmtId="0" fontId="115" fillId="0" borderId="0" applyFill="0" applyBorder="0" applyProtection="0">
      <alignment horizontal="left"/>
    </xf>
    <xf numFmtId="0" fontId="19" fillId="0" borderId="0" applyFill="0" applyBorder="0" applyProtection="0">
      <alignment horizontal="left"/>
    </xf>
    <xf numFmtId="1" fontId="116" fillId="0" borderId="0" applyProtection="0">
      <alignment horizontal="right" vertical="center"/>
    </xf>
    <xf numFmtId="0" fontId="117" fillId="22" borderId="44"/>
    <xf numFmtId="171" fontId="15" fillId="0" borderId="0" applyFill="0"/>
    <xf numFmtId="0" fontId="10" fillId="0" borderId="45" applyNumberFormat="0" applyAlignment="0" applyProtection="0"/>
    <xf numFmtId="0" fontId="9" fillId="20" borderId="0" applyNumberFormat="0" applyFont="0" applyBorder="0" applyAlignment="0" applyProtection="0"/>
    <xf numFmtId="0" fontId="86" fillId="23" borderId="46" applyNumberFormat="0" applyFont="0" applyBorder="0" applyAlignment="0" applyProtection="0">
      <alignment horizontal="center"/>
    </xf>
    <xf numFmtId="0" fontId="86" fillId="13" borderId="46" applyNumberFormat="0" applyFont="0" applyBorder="0" applyAlignment="0" applyProtection="0">
      <alignment horizontal="center"/>
    </xf>
    <xf numFmtId="0" fontId="9" fillId="0" borderId="47" applyNumberFormat="0" applyAlignment="0" applyProtection="0"/>
    <xf numFmtId="0" fontId="9" fillId="0" borderId="48" applyNumberFormat="0" applyAlignment="0" applyProtection="0"/>
    <xf numFmtId="0" fontId="10" fillId="0" borderId="49" applyNumberFormat="0" applyAlignment="0" applyProtection="0"/>
    <xf numFmtId="49" fontId="118" fillId="0" borderId="25" applyFill="0" applyProtection="0">
      <alignment vertical="center"/>
    </xf>
    <xf numFmtId="14" fontId="25" fillId="0" borderId="0">
      <alignment horizontal="center" wrapText="1"/>
      <protection locked="0"/>
    </xf>
    <xf numFmtId="0" fontId="25" fillId="0" borderId="0">
      <alignment horizontal="right"/>
    </xf>
    <xf numFmtId="0" fontId="59" fillId="0" borderId="0"/>
    <xf numFmtId="0" fontId="58" fillId="0" borderId="0"/>
    <xf numFmtId="0" fontId="59" fillId="0" borderId="0"/>
    <xf numFmtId="9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0" fontId="15" fillId="0" borderId="0" applyFont="0" applyFill="0" applyBorder="0" applyAlignment="0" applyProtection="0"/>
    <xf numFmtId="167" fontId="25" fillId="0" borderId="0">
      <alignment horizontal="right"/>
    </xf>
    <xf numFmtId="10" fontId="25" fillId="0" borderId="0">
      <alignment horizontal="right"/>
    </xf>
    <xf numFmtId="251" fontId="25" fillId="0" borderId="0" applyFont="0" applyFill="0" applyBorder="0" applyProtection="0">
      <alignment horizontal="right"/>
    </xf>
    <xf numFmtId="9" fontId="25" fillId="0" borderId="0">
      <alignment horizontal="right"/>
    </xf>
    <xf numFmtId="9" fontId="61" fillId="0" borderId="17">
      <alignment horizontal="center"/>
    </xf>
    <xf numFmtId="167" fontId="25" fillId="0" borderId="0"/>
    <xf numFmtId="167" fontId="71" fillId="0" borderId="0"/>
    <xf numFmtId="10" fontId="25" fillId="0" borderId="0"/>
    <xf numFmtId="10" fontId="71" fillId="0" borderId="0">
      <protection locked="0"/>
    </xf>
    <xf numFmtId="9" fontId="61" fillId="0" borderId="17">
      <alignment horizontal="right"/>
    </xf>
    <xf numFmtId="252" fontId="15" fillId="0" borderId="0"/>
    <xf numFmtId="9" fontId="15" fillId="0" borderId="0" applyFont="0" applyFill="0" applyBorder="0" applyAlignment="0" applyProtection="0"/>
    <xf numFmtId="0" fontId="15" fillId="0" borderId="0" applyFill="0" applyBorder="0" applyAlignment="0"/>
    <xf numFmtId="0" fontId="15" fillId="0" borderId="0" applyFill="0" applyBorder="0" applyAlignment="0"/>
    <xf numFmtId="0" fontId="15" fillId="0" borderId="0" applyFill="0" applyBorder="0" applyAlignment="0"/>
    <xf numFmtId="0" fontId="15" fillId="0" borderId="0" applyFill="0" applyBorder="0" applyAlignment="0"/>
    <xf numFmtId="0" fontId="15" fillId="0" borderId="0" applyFill="0" applyBorder="0" applyAlignment="0"/>
    <xf numFmtId="253" fontId="15" fillId="0" borderId="0" applyProtection="0">
      <alignment horizontal="right"/>
    </xf>
    <xf numFmtId="253" fontId="15" fillId="0" borderId="0">
      <alignment horizontal="right"/>
      <protection locked="0"/>
    </xf>
    <xf numFmtId="5" fontId="119" fillId="0" borderId="0"/>
    <xf numFmtId="0" fontId="120" fillId="0" borderId="0" applyNumberFormat="0" applyFont="0" applyFill="0" applyBorder="0" applyAlignment="0" applyProtection="0">
      <alignment horizontal="left"/>
    </xf>
    <xf numFmtId="15" fontId="120" fillId="0" borderId="0" applyFont="0" applyFill="0" applyBorder="0" applyAlignment="0" applyProtection="0"/>
    <xf numFmtId="4" fontId="120" fillId="0" borderId="0" applyFont="0" applyFill="0" applyBorder="0" applyAlignment="0" applyProtection="0"/>
    <xf numFmtId="0" fontId="121" fillId="0" borderId="20">
      <alignment horizontal="center"/>
    </xf>
    <xf numFmtId="3" fontId="120" fillId="0" borderId="0" applyFont="0" applyFill="0" applyBorder="0" applyAlignment="0" applyProtection="0"/>
    <xf numFmtId="0" fontId="120" fillId="24" borderId="0" applyNumberFormat="0" applyFont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22" fillId="25" borderId="0" applyNumberFormat="0" applyFont="0" applyBorder="0" applyAlignment="0">
      <alignment horizontal="center"/>
    </xf>
    <xf numFmtId="14" fontId="123" fillId="0" borderId="0" applyNumberFormat="0" applyFill="0" applyBorder="0" applyAlignment="0" applyProtection="0">
      <alignment horizontal="left"/>
    </xf>
    <xf numFmtId="0" fontId="124" fillId="0" borderId="0" applyNumberFormat="0" applyFill="0" applyBorder="0" applyProtection="0">
      <alignment horizontal="right" vertical="center"/>
    </xf>
    <xf numFmtId="0" fontId="64" fillId="0" borderId="0"/>
    <xf numFmtId="0" fontId="125" fillId="0" borderId="50">
      <alignment vertical="center"/>
    </xf>
    <xf numFmtId="0" fontId="119" fillId="0" borderId="51"/>
    <xf numFmtId="171" fontId="15" fillId="0" borderId="0" applyProtection="0">
      <alignment horizontal="center"/>
    </xf>
    <xf numFmtId="254" fontId="15" fillId="0" borderId="0" applyFont="0" applyFill="0" applyBorder="0" applyAlignment="0" applyProtection="0"/>
    <xf numFmtId="0" fontId="9" fillId="26" borderId="0" applyNumberFormat="0" applyFont="0" applyBorder="0" applyAlignment="0" applyProtection="0"/>
    <xf numFmtId="0" fontId="122" fillId="1" borderId="2" applyNumberFormat="0" applyFont="0" applyAlignment="0">
      <alignment horizontal="center"/>
    </xf>
    <xf numFmtId="42" fontId="50" fillId="0" borderId="0" applyFill="0" applyBorder="0" applyAlignment="0" applyProtection="0"/>
    <xf numFmtId="0" fontId="126" fillId="0" borderId="0" applyNumberFormat="0">
      <alignment horizontal="left"/>
    </xf>
    <xf numFmtId="2" fontId="23" fillId="0" borderId="52"/>
    <xf numFmtId="0" fontId="15" fillId="13" borderId="0" applyNumberFormat="0" applyBorder="0" applyProtection="0">
      <alignment horizontal="center"/>
    </xf>
    <xf numFmtId="0" fontId="127" fillId="0" borderId="0" applyNumberFormat="0" applyFill="0" applyBorder="0" applyAlignment="0">
      <alignment horizontal="center"/>
    </xf>
    <xf numFmtId="0" fontId="15" fillId="0" borderId="0"/>
    <xf numFmtId="0" fontId="128" fillId="0" borderId="0"/>
    <xf numFmtId="0" fontId="15" fillId="0" borderId="0">
      <alignment horizontal="left" wrapText="1"/>
    </xf>
    <xf numFmtId="0" fontId="109" fillId="0" borderId="53"/>
    <xf numFmtId="0" fontId="129" fillId="0" borderId="0"/>
    <xf numFmtId="0" fontId="130" fillId="0" borderId="0">
      <alignment horizontal="left"/>
    </xf>
    <xf numFmtId="213" fontId="15" fillId="0" borderId="0" applyFill="0" applyBorder="0" applyAlignment="0" applyProtection="0"/>
    <xf numFmtId="0" fontId="19" fillId="0" borderId="0"/>
    <xf numFmtId="0" fontId="56" fillId="0" borderId="0">
      <alignment horizontal="left" indent="1"/>
    </xf>
    <xf numFmtId="49" fontId="38" fillId="0" borderId="0"/>
    <xf numFmtId="0" fontId="131" fillId="0" borderId="0" applyFill="0" applyBorder="0" applyProtection="0">
      <alignment horizontal="center" vertical="center"/>
    </xf>
    <xf numFmtId="0" fontId="132" fillId="0" borderId="0" applyBorder="0" applyProtection="0">
      <alignment vertical="center"/>
    </xf>
    <xf numFmtId="0" fontId="132" fillId="0" borderId="25" applyBorder="0" applyProtection="0">
      <alignment horizontal="right" vertical="center"/>
    </xf>
    <xf numFmtId="0" fontId="133" fillId="27" borderId="0" applyBorder="0" applyProtection="0">
      <alignment horizontal="centerContinuous" vertical="center"/>
    </xf>
    <xf numFmtId="0" fontId="133" fillId="2" borderId="25" applyBorder="0" applyProtection="0">
      <alignment horizontal="centerContinuous" vertical="center"/>
    </xf>
    <xf numFmtId="0" fontId="134" fillId="0" borderId="0"/>
    <xf numFmtId="0" fontId="135" fillId="0" borderId="0" applyBorder="0" applyProtection="0">
      <alignment horizontal="left"/>
    </xf>
    <xf numFmtId="0" fontId="136" fillId="0" borderId="0" applyFill="0" applyBorder="0" applyProtection="0"/>
    <xf numFmtId="0" fontId="108" fillId="0" borderId="0"/>
    <xf numFmtId="0" fontId="137" fillId="0" borderId="0" applyFill="0" applyBorder="0" applyProtection="0">
      <alignment horizontal="left"/>
    </xf>
    <xf numFmtId="0" fontId="83" fillId="0" borderId="54" applyFill="0" applyBorder="0" applyProtection="0">
      <alignment horizontal="left" vertical="top"/>
    </xf>
    <xf numFmtId="0" fontId="10" fillId="0" borderId="0">
      <alignment horizontal="centerContinuous"/>
    </xf>
    <xf numFmtId="203" fontId="138" fillId="0" borderId="0" applyNumberFormat="0" applyFill="0" applyBorder="0">
      <alignment horizontal="left"/>
    </xf>
    <xf numFmtId="0" fontId="139" fillId="0" borderId="0"/>
    <xf numFmtId="0" fontId="71" fillId="0" borderId="0">
      <alignment horizontal="left"/>
      <protection locked="0"/>
    </xf>
    <xf numFmtId="0" fontId="140" fillId="0" borderId="0"/>
    <xf numFmtId="49" fontId="24" fillId="0" borderId="0" applyFill="0" applyBorder="0" applyAlignment="0"/>
    <xf numFmtId="0" fontId="15" fillId="0" borderId="0" applyFill="0" applyBorder="0" applyAlignment="0"/>
    <xf numFmtId="0" fontId="15" fillId="0" borderId="0" applyFill="0" applyBorder="0" applyAlignment="0"/>
    <xf numFmtId="18" fontId="38" fillId="0" borderId="0" applyFill="0" applyProtection="0">
      <alignment horizont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40" fontId="12" fillId="0" borderId="0"/>
    <xf numFmtId="0" fontId="11" fillId="0" borderId="0" applyNumberFormat="0" applyFont="0" applyBorder="0" applyAlignment="0"/>
    <xf numFmtId="0" fontId="141" fillId="0" borderId="0">
      <alignment horizontal="center"/>
    </xf>
    <xf numFmtId="229" fontId="10" fillId="0" borderId="0">
      <alignment horizontal="centerContinuous"/>
    </xf>
    <xf numFmtId="229" fontId="142" fillId="0" borderId="55">
      <alignment horizontal="centerContinuous"/>
    </xf>
    <xf numFmtId="229" fontId="14" fillId="0" borderId="0">
      <alignment horizontal="centerContinuous"/>
      <protection locked="0"/>
    </xf>
    <xf numFmtId="229" fontId="14" fillId="0" borderId="0">
      <alignment horizontal="left"/>
    </xf>
    <xf numFmtId="0" fontId="36" fillId="0" borderId="0">
      <alignment horizontal="center"/>
    </xf>
    <xf numFmtId="0" fontId="36" fillId="0" borderId="0">
      <alignment horizontal="left"/>
    </xf>
    <xf numFmtId="0" fontId="85" fillId="0" borderId="0">
      <alignment horizontal="center"/>
    </xf>
    <xf numFmtId="39" fontId="143" fillId="0" borderId="0">
      <alignment vertical="center"/>
    </xf>
    <xf numFmtId="39" fontId="143" fillId="0" borderId="0">
      <alignment vertical="center"/>
    </xf>
    <xf numFmtId="39" fontId="144" fillId="0" borderId="0">
      <alignment vertical="center"/>
    </xf>
    <xf numFmtId="0" fontId="145" fillId="0" borderId="0"/>
    <xf numFmtId="44" fontId="61" fillId="0" borderId="17"/>
    <xf numFmtId="0" fontId="146" fillId="0" borderId="0" applyNumberFormat="0" applyFill="0" applyBorder="0" applyAlignment="0" applyProtection="0">
      <alignment horizontal="left"/>
    </xf>
    <xf numFmtId="0" fontId="147" fillId="0" borderId="0" applyNumberFormat="0" applyFill="0" applyBorder="0" applyAlignment="0" applyProtection="0">
      <alignment horizontal="left"/>
    </xf>
    <xf numFmtId="0" fontId="148" fillId="0" borderId="0" applyNumberFormat="0" applyFill="0" applyBorder="0" applyAlignment="0" applyProtection="0">
      <alignment horizontal="left"/>
    </xf>
    <xf numFmtId="0" fontId="149" fillId="0" borderId="0" applyNumberFormat="0" applyFill="0" applyBorder="0" applyAlignment="0" applyProtection="0">
      <alignment horizontal="left"/>
    </xf>
    <xf numFmtId="0" fontId="150" fillId="0" borderId="0" applyNumberFormat="0" applyFill="0" applyBorder="0" applyAlignment="0" applyProtection="0">
      <alignment horizontal="left"/>
    </xf>
    <xf numFmtId="0" fontId="149" fillId="0" borderId="0" applyNumberFormat="0" applyFill="0" applyBorder="0" applyAlignment="0" applyProtection="0">
      <alignment horizontal="left"/>
    </xf>
    <xf numFmtId="0" fontId="150" fillId="0" borderId="0" applyNumberFormat="0" applyFill="0" applyBorder="0" applyAlignment="0" applyProtection="0">
      <alignment horizontal="left"/>
    </xf>
    <xf numFmtId="0" fontId="151" fillId="0" borderId="0">
      <alignment horizontal="left"/>
    </xf>
    <xf numFmtId="0" fontId="38" fillId="0" borderId="0" applyNumberFormat="0" applyFill="0" applyBorder="0" applyAlignment="0" applyProtection="0">
      <alignment horizontal="left"/>
    </xf>
    <xf numFmtId="44" fontId="152" fillId="0" borderId="17"/>
    <xf numFmtId="37" fontId="61" fillId="0" borderId="17"/>
    <xf numFmtId="0" fontId="15" fillId="13" borderId="0" applyNumberFormat="0" applyFont="0" applyBorder="0" applyAlignment="0" applyProtection="0"/>
    <xf numFmtId="0" fontId="15" fillId="13" borderId="0" applyNumberFormat="0" applyFont="0" applyBorder="0" applyAlignment="0" applyProtection="0"/>
    <xf numFmtId="0" fontId="15" fillId="13" borderId="0" applyNumberFormat="0" applyFont="0" applyBorder="0" applyAlignment="0" applyProtection="0"/>
    <xf numFmtId="0" fontId="15" fillId="13" borderId="0" applyNumberFormat="0" applyFont="0" applyBorder="0" applyAlignment="0" applyProtection="0"/>
    <xf numFmtId="0" fontId="15" fillId="13" borderId="0" applyNumberFormat="0" applyFont="0" applyBorder="0" applyAlignment="0" applyProtection="0"/>
    <xf numFmtId="0" fontId="15" fillId="13" borderId="0" applyNumberFormat="0" applyFont="0" applyBorder="0" applyAlignment="0" applyProtection="0"/>
    <xf numFmtId="255" fontId="15" fillId="0" borderId="0">
      <alignment horizontal="right"/>
    </xf>
    <xf numFmtId="203" fontId="153" fillId="0" borderId="0">
      <alignment horizontal="left"/>
      <protection locked="0"/>
    </xf>
    <xf numFmtId="222" fontId="142" fillId="0" borderId="0">
      <alignment horizontal="right"/>
    </xf>
    <xf numFmtId="223" fontId="15" fillId="0" borderId="0">
      <alignment horizontal="right"/>
    </xf>
    <xf numFmtId="1" fontId="142" fillId="0" borderId="0">
      <alignment horizontal="left"/>
    </xf>
    <xf numFmtId="221" fontId="142" fillId="0" borderId="0">
      <alignment horizontal="right"/>
    </xf>
    <xf numFmtId="0" fontId="154" fillId="0" borderId="0">
      <alignment horizontal="fill"/>
    </xf>
    <xf numFmtId="0" fontId="15" fillId="0" borderId="20" applyNumberFormat="0" applyFont="0" applyFill="0" applyAlignment="0" applyProtection="0"/>
    <xf numFmtId="0" fontId="15" fillId="0" borderId="20" applyNumberFormat="0" applyFont="0" applyFill="0" applyAlignment="0" applyProtection="0"/>
    <xf numFmtId="0" fontId="15" fillId="0" borderId="20" applyNumberFormat="0" applyFont="0" applyFill="0" applyAlignment="0" applyProtection="0"/>
    <xf numFmtId="0" fontId="15" fillId="0" borderId="20" applyNumberFormat="0" applyFont="0" applyFill="0" applyAlignment="0" applyProtection="0"/>
    <xf numFmtId="0" fontId="15" fillId="0" borderId="20" applyNumberFormat="0" applyFont="0" applyFill="0" applyAlignment="0" applyProtection="0"/>
    <xf numFmtId="0" fontId="15" fillId="0" borderId="20" applyNumberFormat="0" applyFont="0" applyFill="0" applyAlignment="0" applyProtection="0"/>
    <xf numFmtId="37" fontId="86" fillId="28" borderId="0" applyNumberFormat="0" applyBorder="0" applyAlignment="0" applyProtection="0"/>
    <xf numFmtId="37" fontId="86" fillId="0" borderId="0"/>
    <xf numFmtId="3" fontId="155" fillId="0" borderId="38" applyProtection="0"/>
    <xf numFmtId="0" fontId="15" fillId="0" borderId="0"/>
    <xf numFmtId="256" fontId="15" fillId="0" borderId="0" applyFont="0" applyFill="0" applyBorder="0" applyAlignment="0" applyProtection="0"/>
    <xf numFmtId="257" fontId="15" fillId="0" borderId="0" applyFont="0" applyFill="0" applyBorder="0" applyAlignment="0" applyProtection="0"/>
    <xf numFmtId="4" fontId="104" fillId="0" borderId="0" applyFont="0" applyFill="0" applyBorder="0" applyAlignment="0" applyProtection="0"/>
    <xf numFmtId="189" fontId="156" fillId="0" borderId="0"/>
    <xf numFmtId="0" fontId="157" fillId="29" borderId="0">
      <alignment horizontal="right"/>
    </xf>
    <xf numFmtId="189" fontId="157" fillId="29" borderId="0">
      <alignment horizontal="right"/>
    </xf>
    <xf numFmtId="189" fontId="157" fillId="29" borderId="0">
      <alignment horizontal="right"/>
    </xf>
    <xf numFmtId="0" fontId="157" fillId="29" borderId="0">
      <alignment horizontal="right"/>
    </xf>
    <xf numFmtId="189" fontId="157" fillId="29" borderId="0">
      <alignment horizontal="right"/>
    </xf>
    <xf numFmtId="189" fontId="157" fillId="29" borderId="0">
      <alignment horizontal="right"/>
    </xf>
    <xf numFmtId="258" fontId="158" fillId="0" borderId="25" applyBorder="0" applyProtection="0">
      <alignment horizontal="right"/>
    </xf>
    <xf numFmtId="0" fontId="50" fillId="0" borderId="0" applyFont="0" applyFill="0" applyBorder="0" applyAlignment="0" applyProtection="0"/>
    <xf numFmtId="259" fontId="14" fillId="0" borderId="46">
      <alignment horizontal="center"/>
    </xf>
    <xf numFmtId="0" fontId="159" fillId="0" borderId="0">
      <alignment vertical="center"/>
    </xf>
    <xf numFmtId="40" fontId="120" fillId="0" borderId="0" applyFont="0" applyFill="0" applyBorder="0" applyAlignment="0" applyProtection="0"/>
    <xf numFmtId="41" fontId="160" fillId="0" borderId="0" applyFont="0" applyFill="0" applyBorder="0" applyAlignment="0" applyProtection="0"/>
    <xf numFmtId="0" fontId="26" fillId="0" borderId="0"/>
    <xf numFmtId="8" fontId="120" fillId="0" borderId="0" applyFont="0" applyFill="0" applyBorder="0" applyAlignment="0" applyProtection="0"/>
    <xf numFmtId="6" fontId="120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6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65" fillId="31" borderId="0" applyNumberFormat="0" applyBorder="0" applyAlignment="0" applyProtection="0"/>
    <xf numFmtId="0" fontId="22" fillId="0" borderId="0" applyNumberFormat="0" applyFill="0" applyBorder="0" applyAlignment="0" applyProtection="0"/>
    <xf numFmtId="0" fontId="2" fillId="0" borderId="0"/>
    <xf numFmtId="0" fontId="2" fillId="0" borderId="0"/>
    <xf numFmtId="0" fontId="15" fillId="0" borderId="0"/>
    <xf numFmtId="43" fontId="164" fillId="0" borderId="0" applyFont="0" applyFill="0" applyBorder="0" applyAlignment="0" applyProtection="0"/>
    <xf numFmtId="0" fontId="166" fillId="0" borderId="59" applyNumberFormat="0" applyFill="0" applyAlignment="0" applyProtection="0"/>
    <xf numFmtId="0" fontId="164" fillId="0" borderId="0"/>
    <xf numFmtId="0" fontId="2" fillId="0" borderId="0"/>
    <xf numFmtId="9" fontId="2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169" fillId="0" borderId="0" applyNumberForma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906">
    <xf numFmtId="0" fontId="0" fillId="0" borderId="0" xfId="0"/>
    <xf numFmtId="0" fontId="178" fillId="0" borderId="0" xfId="0" applyFont="1"/>
    <xf numFmtId="0" fontId="180" fillId="0" borderId="0" xfId="0" applyFont="1"/>
    <xf numFmtId="175" fontId="181" fillId="8" borderId="12" xfId="0" applyNumberFormat="1" applyFont="1" applyFill="1" applyBorder="1" applyAlignment="1">
      <alignment horizontal="center"/>
    </xf>
    <xf numFmtId="175" fontId="181" fillId="8" borderId="0" xfId="0" applyNumberFormat="1" applyFont="1" applyFill="1" applyAlignment="1">
      <alignment horizontal="center"/>
    </xf>
    <xf numFmtId="0" fontId="181" fillId="8" borderId="12" xfId="0" applyFont="1" applyFill="1" applyBorder="1" applyAlignment="1">
      <alignment horizontal="left"/>
    </xf>
    <xf numFmtId="0" fontId="181" fillId="8" borderId="0" xfId="0" applyFont="1" applyFill="1" applyAlignment="1">
      <alignment horizontal="center"/>
    </xf>
    <xf numFmtId="0" fontId="181" fillId="8" borderId="4" xfId="0" applyFont="1" applyFill="1" applyBorder="1" applyAlignment="1">
      <alignment horizontal="center"/>
    </xf>
    <xf numFmtId="0" fontId="15" fillId="0" borderId="69" xfId="0" applyFont="1" applyBorder="1"/>
    <xf numFmtId="179" fontId="23" fillId="0" borderId="70" xfId="22" applyNumberFormat="1" applyFont="1" applyBorder="1" applyAlignment="1">
      <alignment horizontal="center"/>
    </xf>
    <xf numFmtId="176" fontId="23" fillId="0" borderId="70" xfId="22" applyNumberFormat="1" applyFont="1" applyBorder="1" applyAlignment="1">
      <alignment horizontal="center" vertical="center"/>
    </xf>
    <xf numFmtId="0" fontId="15" fillId="4" borderId="70" xfId="0" applyFont="1" applyFill="1" applyBorder="1" applyAlignment="1">
      <alignment horizontal="center"/>
    </xf>
    <xf numFmtId="0" fontId="15" fillId="0" borderId="77" xfId="0" applyFont="1" applyBorder="1"/>
    <xf numFmtId="168" fontId="15" fillId="4" borderId="78" xfId="22" applyNumberFormat="1" applyFont="1" applyFill="1" applyBorder="1" applyAlignment="1">
      <alignment horizontal="center"/>
    </xf>
    <xf numFmtId="177" fontId="23" fillId="0" borderId="78" xfId="22" applyNumberFormat="1" applyFont="1" applyBorder="1" applyAlignment="1">
      <alignment horizontal="center" vertical="center"/>
    </xf>
    <xf numFmtId="165" fontId="23" fillId="0" borderId="78" xfId="2" applyNumberFormat="1" applyFont="1" applyBorder="1" applyAlignment="1">
      <alignment horizontal="center"/>
    </xf>
    <xf numFmtId="0" fontId="15" fillId="0" borderId="6" xfId="0" applyFont="1" applyBorder="1"/>
    <xf numFmtId="0" fontId="15" fillId="0" borderId="80" xfId="0" applyFont="1" applyBorder="1"/>
    <xf numFmtId="6" fontId="180" fillId="0" borderId="0" xfId="0" applyNumberFormat="1" applyFont="1"/>
    <xf numFmtId="8" fontId="15" fillId="0" borderId="0" xfId="0" applyNumberFormat="1" applyFont="1"/>
    <xf numFmtId="6" fontId="15" fillId="0" borderId="0" xfId="0" applyNumberFormat="1" applyFont="1"/>
    <xf numFmtId="0" fontId="15" fillId="0" borderId="0" xfId="0" applyFont="1"/>
    <xf numFmtId="177" fontId="23" fillId="0" borderId="0" xfId="22" applyNumberFormat="1" applyFont="1" applyFill="1" applyBorder="1" applyAlignment="1">
      <alignment horizontal="center" vertical="center"/>
    </xf>
    <xf numFmtId="165" fontId="23" fillId="0" borderId="0" xfId="2" applyNumberFormat="1" applyFont="1" applyAlignment="1">
      <alignment horizontal="center"/>
    </xf>
    <xf numFmtId="0" fontId="181" fillId="8" borderId="0" xfId="0" applyFont="1" applyFill="1" applyAlignment="1">
      <alignment horizontal="center" wrapText="1"/>
    </xf>
    <xf numFmtId="0" fontId="15" fillId="0" borderId="60" xfId="0" applyFont="1" applyBorder="1" applyAlignment="1">
      <alignment wrapText="1"/>
    </xf>
    <xf numFmtId="10" fontId="180" fillId="0" borderId="0" xfId="1" applyNumberFormat="1" applyFont="1"/>
    <xf numFmtId="264" fontId="182" fillId="0" borderId="0" xfId="0" applyNumberFormat="1" applyFont="1" applyAlignment="1">
      <alignment horizontal="center"/>
    </xf>
    <xf numFmtId="7" fontId="180" fillId="5" borderId="0" xfId="0" applyNumberFormat="1" applyFont="1" applyFill="1"/>
    <xf numFmtId="5" fontId="180" fillId="5" borderId="0" xfId="0" applyNumberFormat="1" applyFont="1" applyFill="1"/>
    <xf numFmtId="166" fontId="180" fillId="0" borderId="0" xfId="0" applyNumberFormat="1" applyFont="1"/>
    <xf numFmtId="7" fontId="180" fillId="0" borderId="0" xfId="0" applyNumberFormat="1" applyFont="1"/>
    <xf numFmtId="0" fontId="185" fillId="0" borderId="0" xfId="0" applyFont="1"/>
    <xf numFmtId="266" fontId="23" fillId="0" borderId="0" xfId="0" applyNumberFormat="1" applyFont="1"/>
    <xf numFmtId="6" fontId="23" fillId="0" borderId="0" xfId="1" applyNumberFormat="1" applyFont="1" applyFill="1" applyBorder="1" applyAlignment="1">
      <alignment horizontal="center"/>
    </xf>
    <xf numFmtId="0" fontId="180" fillId="0" borderId="12" xfId="0" applyFont="1" applyBorder="1" applyAlignment="1">
      <alignment horizontal="right"/>
    </xf>
    <xf numFmtId="165" fontId="180" fillId="0" borderId="0" xfId="0" applyNumberFormat="1" applyFont="1"/>
    <xf numFmtId="5" fontId="180" fillId="0" borderId="0" xfId="0" applyNumberFormat="1" applyFont="1"/>
    <xf numFmtId="0" fontId="181" fillId="0" borderId="12" xfId="0" applyFont="1" applyBorder="1" applyAlignment="1">
      <alignment horizontal="center"/>
    </xf>
    <xf numFmtId="0" fontId="180" fillId="0" borderId="0" xfId="0" applyFont="1" applyAlignment="1">
      <alignment horizontal="right"/>
    </xf>
    <xf numFmtId="0" fontId="178" fillId="0" borderId="0" xfId="0" applyFont="1" applyAlignment="1">
      <alignment horizontal="center"/>
    </xf>
    <xf numFmtId="0" fontId="180" fillId="36" borderId="0" xfId="1347" applyFont="1" applyFill="1"/>
    <xf numFmtId="14" fontId="187" fillId="36" borderId="0" xfId="1347" applyNumberFormat="1" applyFont="1" applyFill="1" applyAlignment="1">
      <alignment horizontal="center"/>
    </xf>
    <xf numFmtId="14" fontId="180" fillId="36" borderId="0" xfId="1347" applyNumberFormat="1" applyFont="1" applyFill="1" applyAlignment="1">
      <alignment horizontal="center"/>
    </xf>
    <xf numFmtId="0" fontId="180" fillId="36" borderId="0" xfId="1347" applyFont="1" applyFill="1" applyAlignment="1">
      <alignment horizontal="left" vertical="center" indent="1"/>
    </xf>
    <xf numFmtId="0" fontId="23" fillId="36" borderId="12" xfId="1347" applyFont="1" applyFill="1" applyBorder="1" applyAlignment="1">
      <alignment vertical="center"/>
    </xf>
    <xf numFmtId="0" fontId="23" fillId="36" borderId="0" xfId="1347" applyFont="1" applyFill="1" applyAlignment="1">
      <alignment vertical="center"/>
    </xf>
    <xf numFmtId="0" fontId="23" fillId="36" borderId="0" xfId="1347" applyFont="1" applyFill="1" applyAlignment="1">
      <alignment horizontal="center" vertical="center"/>
    </xf>
    <xf numFmtId="0" fontId="23" fillId="36" borderId="4" xfId="1347" applyFont="1" applyFill="1" applyBorder="1" applyAlignment="1">
      <alignment horizontal="center" vertical="center"/>
    </xf>
    <xf numFmtId="0" fontId="188" fillId="36" borderId="62" xfId="1347" applyFont="1" applyFill="1" applyBorder="1" applyAlignment="1">
      <alignment horizontal="left" vertical="center"/>
    </xf>
    <xf numFmtId="0" fontId="15" fillId="36" borderId="12" xfId="1347" applyFont="1" applyFill="1" applyBorder="1" applyAlignment="1">
      <alignment horizontal="left" vertical="center"/>
    </xf>
    <xf numFmtId="0" fontId="183" fillId="36" borderId="12" xfId="1347" applyFont="1" applyFill="1" applyBorder="1" applyAlignment="1">
      <alignment horizontal="left" vertical="center"/>
    </xf>
    <xf numFmtId="0" fontId="180" fillId="36" borderId="4" xfId="1347" applyFont="1" applyFill="1" applyBorder="1" applyAlignment="1">
      <alignment vertical="center"/>
    </xf>
    <xf numFmtId="0" fontId="15" fillId="36" borderId="54" xfId="1347" applyFont="1" applyFill="1" applyBorder="1" applyAlignment="1">
      <alignment horizontal="left" vertical="center" indent="1"/>
    </xf>
    <xf numFmtId="0" fontId="23" fillId="36" borderId="11" xfId="1347" applyFont="1" applyFill="1" applyBorder="1" applyAlignment="1">
      <alignment horizontal="center" vertical="center"/>
    </xf>
    <xf numFmtId="0" fontId="180" fillId="36" borderId="12" xfId="1347" applyFont="1" applyFill="1" applyBorder="1"/>
    <xf numFmtId="0" fontId="180" fillId="36" borderId="12" xfId="1347" applyFont="1" applyFill="1" applyBorder="1" applyAlignment="1">
      <alignment horizontal="left" vertical="center" indent="1"/>
    </xf>
    <xf numFmtId="10" fontId="187" fillId="36" borderId="4" xfId="1347" applyNumberFormat="1" applyFont="1" applyFill="1" applyBorder="1" applyAlignment="1">
      <alignment horizontal="center" vertical="center"/>
    </xf>
    <xf numFmtId="0" fontId="188" fillId="36" borderId="54" xfId="1347" applyFont="1" applyFill="1" applyBorder="1" applyAlignment="1">
      <alignment horizontal="left" vertical="center"/>
    </xf>
    <xf numFmtId="0" fontId="15" fillId="36" borderId="11" xfId="1347" applyFont="1" applyFill="1" applyBorder="1" applyAlignment="1">
      <alignment horizontal="center" vertical="center"/>
    </xf>
    <xf numFmtId="0" fontId="15" fillId="36" borderId="54" xfId="1347" applyFont="1" applyFill="1" applyBorder="1" applyAlignment="1">
      <alignment horizontal="left" vertical="center"/>
    </xf>
    <xf numFmtId="0" fontId="15" fillId="36" borderId="11" xfId="1347" applyFont="1" applyFill="1" applyBorder="1" applyAlignment="1">
      <alignment vertical="center"/>
    </xf>
    <xf numFmtId="14" fontId="183" fillId="36" borderId="0" xfId="1347" applyNumberFormat="1" applyFont="1" applyFill="1" applyAlignment="1">
      <alignment horizontal="center"/>
    </xf>
    <xf numFmtId="0" fontId="183" fillId="36" borderId="0" xfId="1347" applyFont="1" applyFill="1" applyAlignment="1">
      <alignment horizontal="center" vertical="center"/>
    </xf>
    <xf numFmtId="9" fontId="187" fillId="36" borderId="4" xfId="1347" applyNumberFormat="1" applyFont="1" applyFill="1" applyBorder="1" applyAlignment="1">
      <alignment horizontal="center" vertical="center"/>
    </xf>
    <xf numFmtId="0" fontId="15" fillId="36" borderId="0" xfId="1347" applyFont="1" applyFill="1" applyAlignment="1">
      <alignment horizontal="left" vertical="center" indent="1"/>
    </xf>
    <xf numFmtId="0" fontId="15" fillId="36" borderId="0" xfId="1347" applyFont="1" applyFill="1" applyAlignment="1">
      <alignment vertical="center"/>
    </xf>
    <xf numFmtId="5" fontId="180" fillId="36" borderId="0" xfId="1347" applyNumberFormat="1" applyFont="1" applyFill="1" applyAlignment="1">
      <alignment horizontal="center" vertical="center"/>
    </xf>
    <xf numFmtId="0" fontId="15" fillId="36" borderId="85" xfId="1347" applyFont="1" applyFill="1" applyBorder="1" applyAlignment="1">
      <alignment vertical="center"/>
    </xf>
    <xf numFmtId="9" fontId="187" fillId="36" borderId="0" xfId="1347" applyNumberFormat="1" applyFont="1" applyFill="1" applyAlignment="1">
      <alignment horizontal="center" vertical="center"/>
    </xf>
    <xf numFmtId="0" fontId="15" fillId="36" borderId="12" xfId="1347" applyFont="1" applyFill="1" applyBorder="1" applyAlignment="1">
      <alignment vertical="center"/>
    </xf>
    <xf numFmtId="0" fontId="188" fillId="36" borderId="12" xfId="1347" applyFont="1" applyFill="1" applyBorder="1" applyAlignment="1">
      <alignment horizontal="left" vertical="center" indent="1"/>
    </xf>
    <xf numFmtId="0" fontId="15" fillId="36" borderId="12" xfId="1347" applyFont="1" applyFill="1" applyBorder="1" applyAlignment="1">
      <alignment horizontal="left" vertical="center" indent="1"/>
    </xf>
    <xf numFmtId="166" fontId="180" fillId="36" borderId="12" xfId="1347" applyNumberFormat="1" applyFont="1" applyFill="1" applyBorder="1"/>
    <xf numFmtId="166" fontId="23" fillId="36" borderId="0" xfId="1347" applyNumberFormat="1" applyFont="1" applyFill="1" applyAlignment="1">
      <alignment horizontal="center" vertical="center"/>
    </xf>
    <xf numFmtId="0" fontId="23" fillId="0" borderId="60" xfId="0" applyFont="1" applyBorder="1" applyAlignment="1">
      <alignment horizontal="right"/>
    </xf>
    <xf numFmtId="0" fontId="180" fillId="0" borderId="60" xfId="0" applyFont="1" applyBorder="1"/>
    <xf numFmtId="0" fontId="15" fillId="0" borderId="60" xfId="0" applyFont="1" applyBorder="1"/>
    <xf numFmtId="0" fontId="180" fillId="9" borderId="0" xfId="0" applyFont="1" applyFill="1"/>
    <xf numFmtId="0" fontId="180" fillId="10" borderId="0" xfId="0" applyFont="1" applyFill="1"/>
    <xf numFmtId="0" fontId="180" fillId="7" borderId="0" xfId="0" applyFont="1" applyFill="1"/>
    <xf numFmtId="0" fontId="180" fillId="0" borderId="63" xfId="0" applyFont="1" applyBorder="1" applyAlignment="1">
      <alignment horizontal="center"/>
    </xf>
    <xf numFmtId="38" fontId="183" fillId="0" borderId="58" xfId="0" applyNumberFormat="1" applyFont="1" applyBorder="1"/>
    <xf numFmtId="5" fontId="183" fillId="0" borderId="6" xfId="0" applyNumberFormat="1" applyFont="1" applyBorder="1"/>
    <xf numFmtId="6" fontId="183" fillId="0" borderId="6" xfId="0" applyNumberFormat="1" applyFont="1" applyBorder="1"/>
    <xf numFmtId="0" fontId="180" fillId="0" borderId="82" xfId="0" applyFont="1" applyBorder="1"/>
    <xf numFmtId="6" fontId="180" fillId="0" borderId="93" xfId="0" applyNumberFormat="1" applyFont="1" applyBorder="1"/>
    <xf numFmtId="0" fontId="180" fillId="0" borderId="62" xfId="0" applyFont="1" applyBorder="1"/>
    <xf numFmtId="5" fontId="180" fillId="0" borderId="87" xfId="0" applyNumberFormat="1" applyFont="1" applyBorder="1"/>
    <xf numFmtId="0" fontId="180" fillId="0" borderId="88" xfId="0" applyFont="1" applyBorder="1"/>
    <xf numFmtId="169" fontId="180" fillId="0" borderId="89" xfId="18" applyNumberFormat="1" applyFont="1" applyBorder="1"/>
    <xf numFmtId="0" fontId="180" fillId="0" borderId="61" xfId="0" applyFont="1" applyBorder="1"/>
    <xf numFmtId="6" fontId="180" fillId="0" borderId="63" xfId="0" applyNumberFormat="1" applyFont="1" applyBorder="1"/>
    <xf numFmtId="0" fontId="180" fillId="4" borderId="0" xfId="0" applyFont="1" applyFill="1"/>
    <xf numFmtId="0" fontId="183" fillId="0" borderId="0" xfId="0" applyFont="1" applyAlignment="1">
      <alignment horizontal="center" wrapText="1"/>
    </xf>
    <xf numFmtId="0" fontId="15" fillId="0" borderId="0" xfId="0" applyFont="1" applyAlignment="1">
      <alignment horizontal="left"/>
    </xf>
    <xf numFmtId="0" fontId="180" fillId="0" borderId="54" xfId="0" applyFont="1" applyBorder="1"/>
    <xf numFmtId="38" fontId="183" fillId="0" borderId="12" xfId="0" applyNumberFormat="1" applyFont="1" applyBorder="1"/>
    <xf numFmtId="6" fontId="180" fillId="0" borderId="84" xfId="0" applyNumberFormat="1" applyFont="1" applyBorder="1"/>
    <xf numFmtId="5" fontId="183" fillId="4" borderId="6" xfId="0" applyNumberFormat="1" applyFont="1" applyFill="1" applyBorder="1"/>
    <xf numFmtId="6" fontId="183" fillId="4" borderId="6" xfId="0" applyNumberFormat="1" applyFont="1" applyFill="1" applyBorder="1"/>
    <xf numFmtId="0" fontId="179" fillId="0" borderId="0" xfId="0" applyFont="1" applyAlignment="1">
      <alignment horizontal="center" vertical="center"/>
    </xf>
    <xf numFmtId="6" fontId="190" fillId="36" borderId="4" xfId="1347" applyNumberFormat="1" applyFont="1" applyFill="1" applyBorder="1" applyAlignment="1">
      <alignment horizontal="center"/>
    </xf>
    <xf numFmtId="0" fontId="23" fillId="36" borderId="86" xfId="1347" applyFont="1" applyFill="1" applyBorder="1" applyAlignment="1">
      <alignment horizontal="center" vertical="center"/>
    </xf>
    <xf numFmtId="0" fontId="190" fillId="36" borderId="4" xfId="1347" applyFont="1" applyFill="1" applyBorder="1" applyAlignment="1">
      <alignment horizontal="center" vertical="center"/>
    </xf>
    <xf numFmtId="0" fontId="183" fillId="36" borderId="4" xfId="1347" applyFont="1" applyFill="1" applyBorder="1"/>
    <xf numFmtId="38" fontId="190" fillId="36" borderId="4" xfId="1347" applyNumberFormat="1" applyFont="1" applyFill="1" applyBorder="1" applyAlignment="1">
      <alignment horizontal="center" vertical="center"/>
    </xf>
    <xf numFmtId="38" fontId="183" fillId="36" borderId="4" xfId="1347" applyNumberFormat="1" applyFont="1" applyFill="1" applyBorder="1" applyAlignment="1">
      <alignment horizontal="center"/>
    </xf>
    <xf numFmtId="8" fontId="190" fillId="36" borderId="4" xfId="1347" applyNumberFormat="1" applyFont="1" applyFill="1" applyBorder="1" applyAlignment="1">
      <alignment horizontal="center" vertical="center"/>
    </xf>
    <xf numFmtId="8" fontId="190" fillId="36" borderId="4" xfId="1347" applyNumberFormat="1" applyFont="1" applyFill="1" applyBorder="1" applyAlignment="1">
      <alignment horizontal="center"/>
    </xf>
    <xf numFmtId="8" fontId="183" fillId="36" borderId="4" xfId="1347" applyNumberFormat="1" applyFont="1" applyFill="1" applyBorder="1" applyAlignment="1">
      <alignment horizontal="center"/>
    </xf>
    <xf numFmtId="38" fontId="190" fillId="36" borderId="4" xfId="1347" applyNumberFormat="1" applyFont="1" applyFill="1" applyBorder="1" applyAlignment="1">
      <alignment horizontal="center"/>
    </xf>
    <xf numFmtId="166" fontId="190" fillId="36" borderId="4" xfId="1347" applyNumberFormat="1" applyFont="1" applyFill="1" applyBorder="1" applyAlignment="1">
      <alignment horizontal="center"/>
    </xf>
    <xf numFmtId="0" fontId="23" fillId="9" borderId="83" xfId="1347" applyFont="1" applyFill="1" applyBorder="1" applyAlignment="1">
      <alignment horizontal="center"/>
    </xf>
    <xf numFmtId="0" fontId="23" fillId="9" borderId="84" xfId="1347" applyFont="1" applyFill="1" applyBorder="1" applyAlignment="1">
      <alignment horizontal="center"/>
    </xf>
    <xf numFmtId="0" fontId="183" fillId="0" borderId="0" xfId="0" applyFont="1"/>
    <xf numFmtId="0" fontId="179" fillId="0" borderId="82" xfId="0" applyFont="1" applyBorder="1" applyAlignment="1">
      <alignment horizontal="center" vertical="center" wrapText="1"/>
    </xf>
    <xf numFmtId="0" fontId="179" fillId="0" borderId="83" xfId="0" applyFont="1" applyBorder="1" applyAlignment="1">
      <alignment horizontal="center" vertical="center" wrapText="1"/>
    </xf>
    <xf numFmtId="0" fontId="179" fillId="0" borderId="83" xfId="0" applyFont="1" applyBorder="1" applyAlignment="1">
      <alignment horizontal="center" vertical="center"/>
    </xf>
    <xf numFmtId="0" fontId="179" fillId="0" borderId="93" xfId="0" applyFont="1" applyBorder="1" applyAlignment="1">
      <alignment horizontal="center" vertical="center" wrapText="1"/>
    </xf>
    <xf numFmtId="0" fontId="179" fillId="0" borderId="94" xfId="0" applyFont="1" applyBorder="1" applyAlignment="1">
      <alignment horizontal="center" vertical="center"/>
    </xf>
    <xf numFmtId="0" fontId="179" fillId="0" borderId="93" xfId="0" applyFont="1" applyBorder="1" applyAlignment="1">
      <alignment horizontal="center" vertical="center"/>
    </xf>
    <xf numFmtId="0" fontId="179" fillId="0" borderId="84" xfId="0" applyFont="1" applyBorder="1" applyAlignment="1">
      <alignment horizontal="center" vertical="center" wrapText="1"/>
    </xf>
    <xf numFmtId="0" fontId="181" fillId="0" borderId="81" xfId="0" applyFont="1" applyBorder="1" applyAlignment="1">
      <alignment horizontal="center"/>
    </xf>
    <xf numFmtId="14" fontId="23" fillId="9" borderId="82" xfId="0" applyNumberFormat="1" applyFont="1" applyFill="1" applyBorder="1" applyAlignment="1">
      <alignment horizontal="right" vertical="center"/>
    </xf>
    <xf numFmtId="0" fontId="15" fillId="0" borderId="82" xfId="0" applyFont="1" applyBorder="1" applyAlignment="1">
      <alignment wrapText="1"/>
    </xf>
    <xf numFmtId="285" fontId="190" fillId="0" borderId="84" xfId="0" applyNumberFormat="1" applyFont="1" applyBorder="1" applyAlignment="1">
      <alignment horizontal="center"/>
    </xf>
    <xf numFmtId="6" fontId="180" fillId="0" borderId="12" xfId="0" applyNumberFormat="1" applyFont="1" applyBorder="1"/>
    <xf numFmtId="167" fontId="190" fillId="9" borderId="56" xfId="0" applyNumberFormat="1" applyFont="1" applyFill="1" applyBorder="1"/>
    <xf numFmtId="167" fontId="190" fillId="9" borderId="90" xfId="0" applyNumberFormat="1" applyFont="1" applyFill="1" applyBorder="1"/>
    <xf numFmtId="0" fontId="187" fillId="0" borderId="0" xfId="0" applyFont="1"/>
    <xf numFmtId="0" fontId="191" fillId="0" borderId="0" xfId="0" applyFont="1"/>
    <xf numFmtId="0" fontId="191" fillId="0" borderId="91" xfId="0" applyFont="1" applyBorder="1" applyAlignment="1">
      <alignment horizontal="center"/>
    </xf>
    <xf numFmtId="0" fontId="191" fillId="0" borderId="91" xfId="0" applyFont="1" applyBorder="1"/>
    <xf numFmtId="6" fontId="187" fillId="0" borderId="0" xfId="0" applyNumberFormat="1" applyFont="1"/>
    <xf numFmtId="5" fontId="187" fillId="0" borderId="0" xfId="0" applyNumberFormat="1" applyFont="1"/>
    <xf numFmtId="0" fontId="178" fillId="0" borderId="0" xfId="0" applyFont="1" applyAlignment="1">
      <alignment vertical="center"/>
    </xf>
    <xf numFmtId="0" fontId="179" fillId="0" borderId="83" xfId="0" applyFont="1" applyBorder="1" applyAlignment="1">
      <alignment horizontal="center" vertical="top" wrapText="1"/>
    </xf>
    <xf numFmtId="0" fontId="196" fillId="0" borderId="0" xfId="0" applyFont="1"/>
    <xf numFmtId="0" fontId="199" fillId="0" borderId="12" xfId="0" applyFont="1" applyBorder="1"/>
    <xf numFmtId="6" fontId="201" fillId="0" borderId="0" xfId="0" applyNumberFormat="1" applyFont="1" applyAlignment="1">
      <alignment horizontal="center"/>
    </xf>
    <xf numFmtId="6" fontId="201" fillId="0" borderId="4" xfId="0" applyNumberFormat="1" applyFont="1" applyBorder="1" applyAlignment="1">
      <alignment horizontal="center"/>
    </xf>
    <xf numFmtId="277" fontId="199" fillId="0" borderId="12" xfId="2" applyNumberFormat="1" applyFont="1" applyBorder="1"/>
    <xf numFmtId="6" fontId="199" fillId="0" borderId="0" xfId="2" applyNumberFormat="1" applyFont="1" applyAlignment="1">
      <alignment horizontal="center"/>
    </xf>
    <xf numFmtId="6" fontId="199" fillId="0" borderId="4" xfId="2" applyNumberFormat="1" applyFont="1" applyBorder="1" applyAlignment="1">
      <alignment horizontal="center"/>
    </xf>
    <xf numFmtId="0" fontId="198" fillId="0" borderId="12" xfId="0" applyFont="1" applyBorder="1"/>
    <xf numFmtId="6" fontId="198" fillId="0" borderId="0" xfId="0" applyNumberFormat="1" applyFont="1" applyAlignment="1">
      <alignment horizontal="center"/>
    </xf>
    <xf numFmtId="6" fontId="198" fillId="0" borderId="4" xfId="0" applyNumberFormat="1" applyFont="1" applyBorder="1" applyAlignment="1">
      <alignment horizontal="center"/>
    </xf>
    <xf numFmtId="0" fontId="202" fillId="0" borderId="0" xfId="0" applyFont="1"/>
    <xf numFmtId="0" fontId="198" fillId="0" borderId="0" xfId="5" applyFont="1"/>
    <xf numFmtId="0" fontId="198" fillId="0" borderId="0" xfId="5" applyFont="1" applyAlignment="1">
      <alignment horizontal="right"/>
    </xf>
    <xf numFmtId="168" fontId="201" fillId="0" borderId="0" xfId="0" applyNumberFormat="1" applyFont="1" applyAlignment="1">
      <alignment horizontal="center"/>
    </xf>
    <xf numFmtId="1" fontId="205" fillId="0" borderId="0" xfId="0" applyNumberFormat="1" applyFont="1" applyAlignment="1">
      <alignment horizontal="left"/>
    </xf>
    <xf numFmtId="0" fontId="201" fillId="0" borderId="0" xfId="0" applyFont="1"/>
    <xf numFmtId="175" fontId="204" fillId="8" borderId="12" xfId="0" applyNumberFormat="1" applyFont="1" applyFill="1" applyBorder="1" applyAlignment="1">
      <alignment horizontal="center"/>
    </xf>
    <xf numFmtId="175" fontId="204" fillId="8" borderId="0" xfId="0" applyNumberFormat="1" applyFont="1" applyFill="1" applyAlignment="1">
      <alignment horizontal="center"/>
    </xf>
    <xf numFmtId="0" fontId="204" fillId="8" borderId="12" xfId="0" applyFont="1" applyFill="1" applyBorder="1" applyAlignment="1">
      <alignment horizontal="left"/>
    </xf>
    <xf numFmtId="0" fontId="204" fillId="8" borderId="0" xfId="0" applyFont="1" applyFill="1" applyAlignment="1">
      <alignment horizontal="center"/>
    </xf>
    <xf numFmtId="0" fontId="204" fillId="8" borderId="0" xfId="0" applyFont="1" applyFill="1" applyAlignment="1">
      <alignment horizontal="center" wrapText="1"/>
    </xf>
    <xf numFmtId="0" fontId="204" fillId="8" borderId="4" xfId="0" applyFont="1" applyFill="1" applyBorder="1" applyAlignment="1">
      <alignment horizontal="center"/>
    </xf>
    <xf numFmtId="0" fontId="199" fillId="0" borderId="69" xfId="0" applyFont="1" applyBorder="1"/>
    <xf numFmtId="179" fontId="198" fillId="0" borderId="70" xfId="22" applyNumberFormat="1" applyFont="1" applyBorder="1" applyAlignment="1">
      <alignment horizontal="center"/>
    </xf>
    <xf numFmtId="176" fontId="198" fillId="0" borderId="70" xfId="22" applyNumberFormat="1" applyFont="1" applyBorder="1" applyAlignment="1">
      <alignment horizontal="center" vertical="center"/>
    </xf>
    <xf numFmtId="0" fontId="199" fillId="4" borderId="70" xfId="0" applyFont="1" applyFill="1" applyBorder="1" applyAlignment="1">
      <alignment horizontal="center"/>
    </xf>
    <xf numFmtId="0" fontId="199" fillId="0" borderId="80" xfId="0" applyFont="1" applyBorder="1"/>
    <xf numFmtId="6" fontId="201" fillId="0" borderId="0" xfId="0" applyNumberFormat="1" applyFont="1"/>
    <xf numFmtId="8" fontId="199" fillId="0" borderId="0" xfId="0" applyNumberFormat="1" applyFont="1"/>
    <xf numFmtId="6" fontId="199" fillId="0" borderId="0" xfId="0" applyNumberFormat="1" applyFont="1"/>
    <xf numFmtId="0" fontId="199" fillId="0" borderId="0" xfId="0" applyFont="1"/>
    <xf numFmtId="177" fontId="198" fillId="0" borderId="0" xfId="22" applyNumberFormat="1" applyFont="1" applyFill="1" applyBorder="1" applyAlignment="1">
      <alignment horizontal="center" vertical="center"/>
    </xf>
    <xf numFmtId="165" fontId="198" fillId="0" borderId="0" xfId="2" applyNumberFormat="1" applyFont="1" applyAlignment="1">
      <alignment horizontal="center"/>
    </xf>
    <xf numFmtId="0" fontId="199" fillId="0" borderId="64" xfId="0" applyFont="1" applyBorder="1"/>
    <xf numFmtId="5" fontId="198" fillId="0" borderId="65" xfId="22" applyNumberFormat="1" applyFont="1" applyBorder="1" applyAlignment="1">
      <alignment horizontal="center"/>
    </xf>
    <xf numFmtId="174" fontId="200" fillId="0" borderId="64" xfId="0" applyNumberFormat="1" applyFont="1" applyBorder="1" applyAlignment="1">
      <alignment horizontal="left"/>
    </xf>
    <xf numFmtId="5" fontId="199" fillId="0" borderId="65" xfId="22" applyNumberFormat="1" applyFont="1" applyBorder="1" applyAlignment="1">
      <alignment horizontal="center"/>
    </xf>
    <xf numFmtId="0" fontId="204" fillId="8" borderId="8" xfId="0" applyFont="1" applyFill="1" applyBorder="1" applyAlignment="1">
      <alignment horizontal="center"/>
    </xf>
    <xf numFmtId="0" fontId="199" fillId="0" borderId="60" xfId="0" applyFont="1" applyBorder="1" applyAlignment="1">
      <alignment wrapText="1"/>
    </xf>
    <xf numFmtId="10" fontId="201" fillId="0" borderId="0" xfId="1" applyNumberFormat="1" applyFont="1"/>
    <xf numFmtId="264" fontId="200" fillId="0" borderId="0" xfId="0" applyNumberFormat="1" applyFont="1" applyAlignment="1">
      <alignment horizontal="center"/>
    </xf>
    <xf numFmtId="7" fontId="201" fillId="5" borderId="0" xfId="0" applyNumberFormat="1" applyFont="1" applyFill="1"/>
    <xf numFmtId="5" fontId="201" fillId="5" borderId="0" xfId="0" applyNumberFormat="1" applyFont="1" applyFill="1"/>
    <xf numFmtId="166" fontId="201" fillId="0" borderId="0" xfId="0" applyNumberFormat="1" applyFont="1"/>
    <xf numFmtId="7" fontId="201" fillId="0" borderId="0" xfId="0" applyNumberFormat="1" applyFont="1"/>
    <xf numFmtId="0" fontId="210" fillId="0" borderId="0" xfId="0" applyFont="1"/>
    <xf numFmtId="266" fontId="198" fillId="0" borderId="0" xfId="0" applyNumberFormat="1" applyFont="1"/>
    <xf numFmtId="6" fontId="198" fillId="0" borderId="0" xfId="1" applyNumberFormat="1" applyFont="1" applyFill="1" applyBorder="1" applyAlignment="1">
      <alignment horizontal="center"/>
    </xf>
    <xf numFmtId="0" fontId="197" fillId="0" borderId="6" xfId="0" applyFont="1" applyBorder="1" applyAlignment="1">
      <alignment horizontal="right"/>
    </xf>
    <xf numFmtId="0" fontId="201" fillId="0" borderId="12" xfId="0" applyFont="1" applyBorder="1" applyAlignment="1">
      <alignment horizontal="right"/>
    </xf>
    <xf numFmtId="165" fontId="201" fillId="0" borderId="0" xfId="0" applyNumberFormat="1" applyFont="1"/>
    <xf numFmtId="5" fontId="201" fillId="0" borderId="0" xfId="0" applyNumberFormat="1" applyFont="1"/>
    <xf numFmtId="0" fontId="204" fillId="0" borderId="12" xfId="0" applyFont="1" applyBorder="1" applyAlignment="1">
      <alignment horizontal="center"/>
    </xf>
    <xf numFmtId="0" fontId="201" fillId="0" borderId="0" xfId="0" applyFont="1" applyAlignment="1">
      <alignment horizontal="right"/>
    </xf>
    <xf numFmtId="0" fontId="23" fillId="9" borderId="93" xfId="1347" applyFont="1" applyFill="1" applyBorder="1" applyAlignment="1">
      <alignment horizontal="center"/>
    </xf>
    <xf numFmtId="0" fontId="23" fillId="9" borderId="98" xfId="1347" applyFont="1" applyFill="1" applyBorder="1" applyAlignment="1">
      <alignment horizontal="center"/>
    </xf>
    <xf numFmtId="3" fontId="194" fillId="0" borderId="60" xfId="0" applyNumberFormat="1" applyFont="1" applyBorder="1" applyAlignment="1">
      <alignment vertical="center"/>
    </xf>
    <xf numFmtId="0" fontId="214" fillId="0" borderId="96" xfId="0" applyFont="1" applyBorder="1" applyAlignment="1">
      <alignment horizontal="center" vertical="center"/>
    </xf>
    <xf numFmtId="0" fontId="179" fillId="37" borderId="89" xfId="0" applyFont="1" applyFill="1" applyBorder="1" applyAlignment="1">
      <alignment horizontal="center" vertical="center" wrapText="1"/>
    </xf>
    <xf numFmtId="0" fontId="179" fillId="0" borderId="0" xfId="0" applyFont="1"/>
    <xf numFmtId="0" fontId="179" fillId="37" borderId="60" xfId="0" applyFont="1" applyFill="1" applyBorder="1" applyAlignment="1">
      <alignment horizontal="center" vertical="center"/>
    </xf>
    <xf numFmtId="3" fontId="194" fillId="0" borderId="80" xfId="0" applyNumberFormat="1" applyFont="1" applyBorder="1" applyAlignment="1">
      <alignment horizontal="center" vertical="center"/>
    </xf>
    <xf numFmtId="3" fontId="214" fillId="0" borderId="0" xfId="0" applyNumberFormat="1" applyFont="1" applyAlignment="1">
      <alignment horizontal="center" vertical="center"/>
    </xf>
    <xf numFmtId="3" fontId="214" fillId="0" borderId="97" xfId="0" applyNumberFormat="1" applyFont="1" applyBorder="1" applyAlignment="1">
      <alignment horizontal="center" vertical="center"/>
    </xf>
    <xf numFmtId="0" fontId="215" fillId="0" borderId="0" xfId="0" applyFont="1" applyAlignment="1">
      <alignment horizontal="left"/>
    </xf>
    <xf numFmtId="0" fontId="216" fillId="0" borderId="0" xfId="0" applyFont="1" applyAlignment="1">
      <alignment horizontal="center"/>
    </xf>
    <xf numFmtId="0" fontId="217" fillId="0" borderId="83" xfId="0" applyFont="1" applyBorder="1" applyAlignment="1">
      <alignment horizontal="center" vertical="center" wrapText="1"/>
    </xf>
    <xf numFmtId="0" fontId="204" fillId="33" borderId="85" xfId="0" applyFont="1" applyFill="1" applyBorder="1" applyAlignment="1">
      <alignment horizontal="right"/>
    </xf>
    <xf numFmtId="0" fontId="201" fillId="5" borderId="54" xfId="0" applyFont="1" applyFill="1" applyBorder="1" applyAlignment="1">
      <alignment horizontal="left" wrapText="1"/>
    </xf>
    <xf numFmtId="0" fontId="201" fillId="5" borderId="0" xfId="0" applyFont="1" applyFill="1" applyAlignment="1">
      <alignment horizontal="left" wrapText="1"/>
    </xf>
    <xf numFmtId="0" fontId="204" fillId="6" borderId="72" xfId="0" applyFont="1" applyFill="1" applyBorder="1" applyAlignment="1">
      <alignment horizontal="left"/>
    </xf>
    <xf numFmtId="0" fontId="204" fillId="6" borderId="73" xfId="0" applyFont="1" applyFill="1" applyBorder="1" applyAlignment="1">
      <alignment horizontal="left"/>
    </xf>
    <xf numFmtId="0" fontId="204" fillId="6" borderId="74" xfId="0" applyFont="1" applyFill="1" applyBorder="1" applyAlignment="1">
      <alignment horizontal="left"/>
    </xf>
    <xf numFmtId="0" fontId="204" fillId="6" borderId="85" xfId="0" applyFont="1" applyFill="1" applyBorder="1" applyAlignment="1">
      <alignment horizontal="left"/>
    </xf>
    <xf numFmtId="0" fontId="204" fillId="6" borderId="86" xfId="0" applyFont="1" applyFill="1" applyBorder="1" applyAlignment="1">
      <alignment horizontal="left"/>
    </xf>
    <xf numFmtId="0" fontId="218" fillId="0" borderId="0" xfId="0" applyFont="1"/>
    <xf numFmtId="3" fontId="219" fillId="0" borderId="102" xfId="0" applyNumberFormat="1" applyFont="1" applyBorder="1" applyAlignment="1">
      <alignment horizontal="center" vertical="center"/>
    </xf>
    <xf numFmtId="3" fontId="216" fillId="0" borderId="100" xfId="0" applyNumberFormat="1" applyFont="1" applyBorder="1" applyAlignment="1">
      <alignment horizontal="center" vertical="center" wrapText="1"/>
    </xf>
    <xf numFmtId="3" fontId="214" fillId="0" borderId="106" xfId="0" applyNumberFormat="1" applyFont="1" applyBorder="1" applyAlignment="1">
      <alignment horizontal="center" vertical="center"/>
    </xf>
    <xf numFmtId="3" fontId="215" fillId="0" borderId="104" xfId="0" applyNumberFormat="1" applyFont="1" applyBorder="1" applyAlignment="1">
      <alignment horizontal="left" vertical="center" wrapText="1"/>
    </xf>
    <xf numFmtId="3" fontId="218" fillId="0" borderId="102" xfId="0" applyNumberFormat="1" applyFont="1" applyBorder="1" applyAlignment="1">
      <alignment horizontal="center" vertical="center"/>
    </xf>
    <xf numFmtId="38" fontId="201" fillId="0" borderId="0" xfId="0" applyNumberFormat="1" applyFont="1"/>
    <xf numFmtId="0" fontId="193" fillId="0" borderId="102" xfId="0" applyFont="1" applyBorder="1" applyAlignment="1">
      <alignment horizontal="center" vertical="center"/>
    </xf>
    <xf numFmtId="10" fontId="193" fillId="4" borderId="0" xfId="0" applyNumberFormat="1" applyFont="1" applyFill="1" applyAlignment="1">
      <alignment horizontal="center" vertical="center"/>
    </xf>
    <xf numFmtId="3" fontId="217" fillId="0" borderId="100" xfId="0" applyNumberFormat="1" applyFont="1" applyBorder="1" applyAlignment="1">
      <alignment horizontal="center" vertical="center"/>
    </xf>
    <xf numFmtId="0" fontId="194" fillId="4" borderId="100" xfId="0" applyFont="1" applyFill="1" applyBorder="1" applyAlignment="1">
      <alignment horizontal="center" vertical="center"/>
    </xf>
    <xf numFmtId="0" fontId="179" fillId="0" borderId="98" xfId="0" applyFont="1" applyBorder="1" applyAlignment="1">
      <alignment horizontal="center" vertical="center" wrapText="1"/>
    </xf>
    <xf numFmtId="3" fontId="186" fillId="0" borderId="102" xfId="0" applyNumberFormat="1" applyFont="1" applyBorder="1" applyAlignment="1">
      <alignment horizontal="center" vertical="center"/>
    </xf>
    <xf numFmtId="288" fontId="178" fillId="0" borderId="100" xfId="0" applyNumberFormat="1" applyFont="1" applyBorder="1" applyAlignment="1">
      <alignment horizontal="center" vertical="center" wrapText="1"/>
    </xf>
    <xf numFmtId="14" fontId="178" fillId="0" borderId="100" xfId="0" applyNumberFormat="1" applyFont="1" applyBorder="1" applyAlignment="1">
      <alignment horizontal="center" vertical="center"/>
    </xf>
    <xf numFmtId="14" fontId="178" fillId="0" borderId="101" xfId="0" applyNumberFormat="1" applyFont="1" applyBorder="1" applyAlignment="1">
      <alignment vertical="center"/>
    </xf>
    <xf numFmtId="14" fontId="178" fillId="0" borderId="105" xfId="0" applyNumberFormat="1" applyFont="1" applyBorder="1" applyAlignment="1">
      <alignment horizontal="center" vertical="center" wrapText="1"/>
    </xf>
    <xf numFmtId="0" fontId="183" fillId="36" borderId="85" xfId="1347" applyFont="1" applyFill="1" applyBorder="1" applyAlignment="1">
      <alignment horizontal="left" vertical="center"/>
    </xf>
    <xf numFmtId="0" fontId="180" fillId="36" borderId="86" xfId="1347" applyFont="1" applyFill="1" applyBorder="1" applyAlignment="1">
      <alignment vertical="center"/>
    </xf>
    <xf numFmtId="168" fontId="199" fillId="0" borderId="0" xfId="22" applyNumberFormat="1" applyFont="1" applyFill="1" applyBorder="1" applyAlignment="1">
      <alignment horizontal="center"/>
    </xf>
    <xf numFmtId="0" fontId="199" fillId="0" borderId="107" xfId="0" applyFont="1" applyBorder="1"/>
    <xf numFmtId="168" fontId="199" fillId="4" borderId="108" xfId="22" applyNumberFormat="1" applyFont="1" applyFill="1" applyBorder="1" applyAlignment="1">
      <alignment horizontal="center"/>
    </xf>
    <xf numFmtId="177" fontId="198" fillId="0" borderId="108" xfId="22" applyNumberFormat="1" applyFont="1" applyBorder="1" applyAlignment="1">
      <alignment horizontal="center" vertical="center"/>
    </xf>
    <xf numFmtId="165" fontId="198" fillId="0" borderId="108" xfId="2" applyNumberFormat="1" applyFont="1" applyBorder="1" applyAlignment="1">
      <alignment horizontal="center"/>
    </xf>
    <xf numFmtId="179" fontId="178" fillId="0" borderId="100" xfId="0" applyNumberFormat="1" applyFont="1" applyBorder="1" applyAlignment="1">
      <alignment horizontal="center" vertical="center"/>
    </xf>
    <xf numFmtId="279" fontId="178" fillId="0" borderId="100" xfId="0" applyNumberFormat="1" applyFont="1" applyBorder="1" applyAlignment="1">
      <alignment horizontal="center" vertical="center"/>
    </xf>
    <xf numFmtId="6" fontId="178" fillId="0" borderId="100" xfId="0" applyNumberFormat="1" applyFont="1" applyBorder="1" applyAlignment="1">
      <alignment horizontal="center" vertical="center"/>
    </xf>
    <xf numFmtId="44" fontId="180" fillId="0" borderId="0" xfId="18" applyFont="1"/>
    <xf numFmtId="0" fontId="15" fillId="0" borderId="12" xfId="0" applyFont="1" applyBorder="1"/>
    <xf numFmtId="3" fontId="15" fillId="0" borderId="0" xfId="0" applyNumberFormat="1" applyFont="1" applyAlignment="1">
      <alignment horizontal="center"/>
    </xf>
    <xf numFmtId="0" fontId="2" fillId="0" borderId="0" xfId="1347"/>
    <xf numFmtId="0" fontId="2" fillId="0" borderId="0" xfId="1347" applyAlignment="1">
      <alignment horizontal="center"/>
    </xf>
    <xf numFmtId="9" fontId="2" fillId="0" borderId="0" xfId="1347" applyNumberFormat="1" applyAlignment="1">
      <alignment horizontal="center"/>
    </xf>
    <xf numFmtId="0" fontId="2" fillId="0" borderId="0" xfId="1347" applyAlignment="1">
      <alignment horizontal="center" vertical="center" wrapText="1"/>
    </xf>
    <xf numFmtId="166" fontId="0" fillId="0" borderId="0" xfId="1358" applyNumberFormat="1" applyFont="1" applyFill="1" applyBorder="1" applyAlignment="1">
      <alignment horizontal="center"/>
    </xf>
    <xf numFmtId="0" fontId="189" fillId="0" borderId="0" xfId="1347" applyFont="1"/>
    <xf numFmtId="0" fontId="167" fillId="0" borderId="0" xfId="1347" applyFont="1"/>
    <xf numFmtId="0" fontId="170" fillId="0" borderId="0" xfId="1357" applyFont="1" applyFill="1"/>
    <xf numFmtId="8" fontId="2" fillId="0" borderId="0" xfId="1347" applyNumberFormat="1" applyAlignment="1">
      <alignment horizontal="center"/>
    </xf>
    <xf numFmtId="6" fontId="2" fillId="0" borderId="0" xfId="1347" applyNumberFormat="1" applyAlignment="1">
      <alignment horizontal="center"/>
    </xf>
    <xf numFmtId="274" fontId="171" fillId="0" borderId="0" xfId="1347" applyNumberFormat="1" applyFont="1" applyAlignment="1">
      <alignment horizontal="center"/>
    </xf>
    <xf numFmtId="169" fontId="0" fillId="0" borderId="0" xfId="1358" applyNumberFormat="1" applyFont="1" applyFill="1"/>
    <xf numFmtId="166" fontId="171" fillId="0" borderId="0" xfId="1358" applyNumberFormat="1" applyFont="1" applyFill="1" applyAlignment="1">
      <alignment horizontal="center"/>
    </xf>
    <xf numFmtId="166" fontId="2" fillId="0" borderId="0" xfId="1347" applyNumberFormat="1" applyAlignment="1">
      <alignment horizontal="center"/>
    </xf>
    <xf numFmtId="44" fontId="0" fillId="0" borderId="0" xfId="1358" applyFont="1" applyFill="1"/>
    <xf numFmtId="10" fontId="2" fillId="0" borderId="0" xfId="1347" applyNumberFormat="1" applyAlignment="1">
      <alignment horizontal="center"/>
    </xf>
    <xf numFmtId="169" fontId="2" fillId="0" borderId="0" xfId="1347" applyNumberFormat="1"/>
    <xf numFmtId="0" fontId="175" fillId="0" borderId="0" xfId="1347" applyFont="1"/>
    <xf numFmtId="0" fontId="176" fillId="0" borderId="0" xfId="1347" applyFont="1"/>
    <xf numFmtId="0" fontId="177" fillId="0" borderId="0" xfId="1347" applyFont="1"/>
    <xf numFmtId="6" fontId="175" fillId="0" borderId="0" xfId="1347" applyNumberFormat="1" applyFont="1"/>
    <xf numFmtId="0" fontId="172" fillId="0" borderId="0" xfId="1347" applyFont="1"/>
    <xf numFmtId="0" fontId="173" fillId="0" borderId="0" xfId="1347" applyFont="1" applyAlignment="1">
      <alignment horizontal="center"/>
    </xf>
    <xf numFmtId="0" fontId="173" fillId="0" borderId="0" xfId="1347" applyFont="1"/>
    <xf numFmtId="6" fontId="2" fillId="0" borderId="0" xfId="1347" applyNumberFormat="1"/>
    <xf numFmtId="6" fontId="174" fillId="0" borderId="0" xfId="1347" applyNumberFormat="1" applyFont="1"/>
    <xf numFmtId="0" fontId="174" fillId="0" borderId="0" xfId="1347" applyFont="1"/>
    <xf numFmtId="0" fontId="220" fillId="0" borderId="0" xfId="0" applyFont="1" applyAlignment="1">
      <alignment horizontal="left" indent="1"/>
    </xf>
    <xf numFmtId="0" fontId="2" fillId="0" borderId="0" xfId="1347" applyAlignment="1">
      <alignment horizontal="center"/>
    </xf>
    <xf numFmtId="0" fontId="183" fillId="36" borderId="0" xfId="1347" applyFont="1" applyFill="1" applyAlignment="1">
      <alignment horizontal="center"/>
    </xf>
    <xf numFmtId="0" fontId="183" fillId="0" borderId="88" xfId="0" applyFont="1" applyBorder="1" applyAlignment="1">
      <alignment horizontal="center"/>
    </xf>
    <xf numFmtId="0" fontId="183" fillId="0" borderId="95" xfId="0" applyFont="1" applyBorder="1" applyAlignment="1">
      <alignment horizontal="center"/>
    </xf>
    <xf numFmtId="0" fontId="23" fillId="36" borderId="72" xfId="1347" applyFont="1" applyFill="1" applyBorder="1" applyAlignment="1">
      <alignment horizontal="center" vertical="center"/>
    </xf>
    <xf numFmtId="0" fontId="23" fillId="36" borderId="73" xfId="1347" applyFont="1" applyFill="1" applyBorder="1" applyAlignment="1">
      <alignment horizontal="center" vertical="center"/>
    </xf>
    <xf numFmtId="0" fontId="23" fillId="36" borderId="74" xfId="1347" applyFont="1" applyFill="1" applyBorder="1" applyAlignment="1">
      <alignment horizontal="center" vertical="center"/>
    </xf>
    <xf numFmtId="0" fontId="183" fillId="36" borderId="75" xfId="1347" applyFont="1" applyFill="1" applyBorder="1" applyAlignment="1">
      <alignment horizontal="center"/>
    </xf>
    <xf numFmtId="0" fontId="183" fillId="36" borderId="76" xfId="1347" applyFont="1" applyFill="1" applyBorder="1" applyAlignment="1">
      <alignment horizontal="center"/>
    </xf>
    <xf numFmtId="0" fontId="183" fillId="36" borderId="72" xfId="1347" applyFont="1" applyFill="1" applyBorder="1" applyAlignment="1">
      <alignment horizontal="center" vertical="center"/>
    </xf>
    <xf numFmtId="0" fontId="183" fillId="36" borderId="74" xfId="1347" applyFont="1" applyFill="1" applyBorder="1" applyAlignment="1">
      <alignment horizontal="center" vertical="center"/>
    </xf>
    <xf numFmtId="6" fontId="178" fillId="0" borderId="100" xfId="0" applyNumberFormat="1" applyFont="1" applyBorder="1" applyAlignment="1">
      <alignment horizontal="center" vertical="center"/>
    </xf>
    <xf numFmtId="6" fontId="178" fillId="0" borderId="112" xfId="0" applyNumberFormat="1" applyFont="1" applyBorder="1" applyAlignment="1">
      <alignment horizontal="center" vertical="center"/>
    </xf>
    <xf numFmtId="6" fontId="178" fillId="0" borderId="109" xfId="0" applyNumberFormat="1" applyFont="1" applyBorder="1" applyAlignment="1">
      <alignment horizontal="center" vertical="center"/>
    </xf>
    <xf numFmtId="9" fontId="178" fillId="0" borderId="101" xfId="0" applyNumberFormat="1" applyFont="1" applyBorder="1" applyAlignment="1">
      <alignment horizontal="center" vertical="center"/>
    </xf>
    <xf numFmtId="9" fontId="178" fillId="0" borderId="110" xfId="0" applyNumberFormat="1" applyFont="1" applyBorder="1" applyAlignment="1">
      <alignment horizontal="center" vertical="center"/>
    </xf>
    <xf numFmtId="9" fontId="178" fillId="0" borderId="111" xfId="0" applyNumberFormat="1" applyFont="1" applyBorder="1" applyAlignment="1">
      <alignment horizontal="center" vertical="center"/>
    </xf>
    <xf numFmtId="283" fontId="178" fillId="0" borderId="100" xfId="0" applyNumberFormat="1" applyFont="1" applyBorder="1" applyAlignment="1">
      <alignment horizontal="center" vertical="center"/>
    </xf>
    <xf numFmtId="283" fontId="178" fillId="0" borderId="112" xfId="0" applyNumberFormat="1" applyFont="1" applyBorder="1" applyAlignment="1">
      <alignment horizontal="center" vertical="center"/>
    </xf>
    <xf numFmtId="283" fontId="178" fillId="0" borderId="109" xfId="0" applyNumberFormat="1" applyFont="1" applyBorder="1" applyAlignment="1">
      <alignment horizontal="center" vertical="center"/>
    </xf>
    <xf numFmtId="279" fontId="178" fillId="0" borderId="100" xfId="0" applyNumberFormat="1" applyFont="1" applyBorder="1" applyAlignment="1">
      <alignment horizontal="center" vertical="center"/>
    </xf>
    <xf numFmtId="279" fontId="178" fillId="0" borderId="112" xfId="0" applyNumberFormat="1" applyFont="1" applyBorder="1" applyAlignment="1">
      <alignment horizontal="center" vertical="center"/>
    </xf>
    <xf numFmtId="279" fontId="178" fillId="0" borderId="109" xfId="0" applyNumberFormat="1" applyFont="1" applyBorder="1" applyAlignment="1">
      <alignment horizontal="center" vertical="center"/>
    </xf>
    <xf numFmtId="3" fontId="186" fillId="0" borderId="100" xfId="0" applyNumberFormat="1" applyFont="1" applyBorder="1" applyAlignment="1">
      <alignment horizontal="center" vertical="center" wrapText="1"/>
    </xf>
    <xf numFmtId="3" fontId="186" fillId="0" borderId="103" xfId="0" applyNumberFormat="1" applyFont="1" applyBorder="1" applyAlignment="1">
      <alignment horizontal="center" vertical="center" wrapText="1"/>
    </xf>
    <xf numFmtId="291" fontId="218" fillId="0" borderId="100" xfId="0" applyNumberFormat="1" applyFont="1" applyBorder="1" applyAlignment="1">
      <alignment horizontal="center" vertical="center"/>
    </xf>
    <xf numFmtId="291" fontId="218" fillId="0" borderId="112" xfId="0" applyNumberFormat="1" applyFont="1" applyBorder="1" applyAlignment="1">
      <alignment horizontal="center" vertical="center"/>
    </xf>
    <xf numFmtId="291" fontId="218" fillId="0" borderId="109" xfId="0" applyNumberFormat="1" applyFont="1" applyBorder="1" applyAlignment="1">
      <alignment horizontal="center" vertical="center"/>
    </xf>
    <xf numFmtId="283" fontId="218" fillId="0" borderId="100" xfId="0" applyNumberFormat="1" applyFont="1" applyBorder="1" applyAlignment="1">
      <alignment horizontal="center" vertical="center" wrapText="1"/>
    </xf>
    <xf numFmtId="283" fontId="218" fillId="0" borderId="112" xfId="0" applyNumberFormat="1" applyFont="1" applyBorder="1" applyAlignment="1">
      <alignment horizontal="center" vertical="center" wrapText="1"/>
    </xf>
    <xf numFmtId="283" fontId="218" fillId="0" borderId="109" xfId="0" applyNumberFormat="1" applyFont="1" applyBorder="1" applyAlignment="1">
      <alignment horizontal="center" vertical="center" wrapText="1"/>
    </xf>
    <xf numFmtId="279" fontId="218" fillId="0" borderId="100" xfId="0" applyNumberFormat="1" applyFont="1" applyBorder="1" applyAlignment="1">
      <alignment horizontal="center" vertical="center"/>
    </xf>
    <xf numFmtId="279" fontId="218" fillId="0" borderId="112" xfId="0" applyNumberFormat="1" applyFont="1" applyBorder="1" applyAlignment="1">
      <alignment horizontal="center" vertical="center"/>
    </xf>
    <xf numFmtId="279" fontId="218" fillId="0" borderId="109" xfId="0" applyNumberFormat="1" applyFont="1" applyBorder="1" applyAlignment="1">
      <alignment horizontal="center" vertical="center"/>
    </xf>
    <xf numFmtId="6" fontId="218" fillId="0" borderId="100" xfId="0" applyNumberFormat="1" applyFont="1" applyBorder="1" applyAlignment="1">
      <alignment horizontal="center" vertical="center"/>
    </xf>
    <xf numFmtId="6" fontId="218" fillId="0" borderId="112" xfId="0" applyNumberFormat="1" applyFont="1" applyBorder="1" applyAlignment="1">
      <alignment horizontal="center" vertical="center"/>
    </xf>
    <xf numFmtId="6" fontId="218" fillId="0" borderId="109" xfId="0" applyNumberFormat="1" applyFont="1" applyBorder="1" applyAlignment="1">
      <alignment horizontal="center" vertical="center"/>
    </xf>
    <xf numFmtId="0" fontId="192" fillId="4" borderId="72" xfId="0" applyFont="1" applyFill="1" applyBorder="1" applyAlignment="1">
      <alignment horizontal="center" vertical="center"/>
    </xf>
    <xf numFmtId="0" fontId="192" fillId="4" borderId="73" xfId="0" applyFont="1" applyFill="1" applyBorder="1" applyAlignment="1">
      <alignment horizontal="center" vertical="center"/>
    </xf>
    <xf numFmtId="0" fontId="192" fillId="4" borderId="74" xfId="0" applyFont="1" applyFill="1" applyBorder="1" applyAlignment="1">
      <alignment horizontal="center" vertical="center"/>
    </xf>
    <xf numFmtId="5" fontId="218" fillId="0" borderId="100" xfId="0" applyNumberFormat="1" applyFont="1" applyBorder="1" applyAlignment="1">
      <alignment horizontal="center" vertical="center"/>
    </xf>
    <xf numFmtId="5" fontId="218" fillId="0" borderId="112" xfId="0" applyNumberFormat="1" applyFont="1" applyBorder="1" applyAlignment="1">
      <alignment horizontal="center" vertical="center"/>
    </xf>
    <xf numFmtId="5" fontId="218" fillId="0" borderId="109" xfId="0" applyNumberFormat="1" applyFont="1" applyBorder="1" applyAlignment="1">
      <alignment horizontal="center" vertical="center"/>
    </xf>
    <xf numFmtId="9" fontId="218" fillId="0" borderId="101" xfId="0" applyNumberFormat="1" applyFont="1" applyBorder="1" applyAlignment="1">
      <alignment horizontal="center" vertical="center"/>
    </xf>
    <xf numFmtId="9" fontId="218" fillId="0" borderId="110" xfId="0" applyNumberFormat="1" applyFont="1" applyBorder="1" applyAlignment="1">
      <alignment horizontal="center" vertical="center"/>
    </xf>
    <xf numFmtId="9" fontId="218" fillId="0" borderId="111" xfId="0" applyNumberFormat="1" applyFont="1" applyBorder="1" applyAlignment="1">
      <alignment horizontal="center" vertical="center"/>
    </xf>
    <xf numFmtId="179" fontId="178" fillId="0" borderId="100" xfId="0" applyNumberFormat="1" applyFont="1" applyBorder="1" applyAlignment="1">
      <alignment horizontal="center" vertical="center"/>
    </xf>
    <xf numFmtId="179" fontId="178" fillId="0" borderId="112" xfId="0" applyNumberFormat="1" applyFont="1" applyBorder="1" applyAlignment="1">
      <alignment horizontal="center" vertical="center"/>
    </xf>
    <xf numFmtId="179" fontId="178" fillId="0" borderId="109" xfId="0" applyNumberFormat="1" applyFont="1" applyBorder="1" applyAlignment="1">
      <alignment horizontal="center" vertical="center"/>
    </xf>
    <xf numFmtId="49" fontId="178" fillId="37" borderId="99" xfId="0" applyNumberFormat="1" applyFont="1" applyFill="1" applyBorder="1" applyAlignment="1">
      <alignment horizontal="center" vertical="center"/>
    </xf>
    <xf numFmtId="49" fontId="178" fillId="37" borderId="92" xfId="0" applyNumberFormat="1" applyFont="1" applyFill="1" applyBorder="1" applyAlignment="1">
      <alignment horizontal="center" vertical="center"/>
    </xf>
    <xf numFmtId="49" fontId="180" fillId="37" borderId="99" xfId="0" applyNumberFormat="1" applyFont="1" applyFill="1" applyBorder="1" applyAlignment="1">
      <alignment horizontal="center" vertical="center" wrapText="1"/>
    </xf>
    <xf numFmtId="49" fontId="180" fillId="37" borderId="92" xfId="0" applyNumberFormat="1" applyFont="1" applyFill="1" applyBorder="1" applyAlignment="1">
      <alignment horizontal="center" vertical="center" wrapText="1"/>
    </xf>
    <xf numFmtId="0" fontId="178" fillId="38" borderId="60" xfId="0" applyFont="1" applyFill="1" applyBorder="1" applyAlignment="1">
      <alignment horizontal="center" vertical="center" wrapText="1"/>
    </xf>
    <xf numFmtId="0" fontId="179" fillId="37" borderId="72" xfId="0" applyFont="1" applyFill="1" applyBorder="1" applyAlignment="1">
      <alignment horizontal="center"/>
    </xf>
    <xf numFmtId="0" fontId="179" fillId="37" borderId="73" xfId="0" applyFont="1" applyFill="1" applyBorder="1" applyAlignment="1">
      <alignment horizontal="center"/>
    </xf>
    <xf numFmtId="0" fontId="179" fillId="37" borderId="74" xfId="0" applyFont="1" applyFill="1" applyBorder="1" applyAlignment="1">
      <alignment horizontal="center"/>
    </xf>
    <xf numFmtId="49" fontId="178" fillId="37" borderId="99" xfId="0" applyNumberFormat="1" applyFont="1" applyFill="1" applyBorder="1" applyAlignment="1">
      <alignment horizontal="center" vertical="center" wrapText="1"/>
    </xf>
    <xf numFmtId="49" fontId="178" fillId="37" borderId="92" xfId="0" applyNumberFormat="1" applyFont="1" applyFill="1" applyBorder="1" applyAlignment="1">
      <alignment horizontal="center" vertical="center" wrapText="1"/>
    </xf>
    <xf numFmtId="175" fontId="206" fillId="34" borderId="72" xfId="0" applyNumberFormat="1" applyFont="1" applyFill="1" applyBorder="1" applyAlignment="1">
      <alignment horizontal="center"/>
    </xf>
    <xf numFmtId="175" fontId="206" fillId="34" borderId="73" xfId="0" applyNumberFormat="1" applyFont="1" applyFill="1" applyBorder="1" applyAlignment="1">
      <alignment horizontal="center"/>
    </xf>
    <xf numFmtId="5" fontId="199" fillId="0" borderId="67" xfId="22" applyNumberFormat="1" applyFont="1" applyBorder="1" applyAlignment="1">
      <alignment horizontal="center"/>
    </xf>
    <xf numFmtId="5" fontId="199" fillId="0" borderId="68" xfId="22" applyNumberFormat="1" applyFont="1" applyBorder="1" applyAlignment="1">
      <alignment horizontal="center"/>
    </xf>
    <xf numFmtId="0" fontId="204" fillId="32" borderId="72" xfId="0" applyFont="1" applyFill="1" applyBorder="1" applyAlignment="1">
      <alignment horizontal="right"/>
    </xf>
    <xf numFmtId="0" fontId="204" fillId="32" borderId="73" xfId="0" applyFont="1" applyFill="1" applyBorder="1" applyAlignment="1">
      <alignment horizontal="right"/>
    </xf>
    <xf numFmtId="3" fontId="183" fillId="0" borderId="0" xfId="0" applyNumberFormat="1" applyFont="1" applyAlignment="1">
      <alignment horizontal="center" vertical="center"/>
    </xf>
    <xf numFmtId="0" fontId="183" fillId="0" borderId="0" xfId="0" applyFont="1" applyAlignment="1">
      <alignment horizontal="center" vertical="center"/>
    </xf>
    <xf numFmtId="0" fontId="183" fillId="0" borderId="71" xfId="0" applyFont="1" applyBorder="1" applyAlignment="1">
      <alignment horizontal="center" vertical="center"/>
    </xf>
    <xf numFmtId="0" fontId="183" fillId="4" borderId="62" xfId="0" applyFont="1" applyFill="1" applyBorder="1" applyAlignment="1">
      <alignment horizontal="center"/>
    </xf>
    <xf numFmtId="0" fontId="181" fillId="6" borderId="72" xfId="0" applyFont="1" applyFill="1" applyBorder="1" applyAlignment="1">
      <alignment horizontal="right"/>
    </xf>
    <xf numFmtId="0" fontId="181" fillId="6" borderId="73" xfId="0" applyFont="1" applyFill="1" applyBorder="1" applyAlignment="1">
      <alignment horizontal="right"/>
    </xf>
    <xf numFmtId="5" fontId="15" fillId="0" borderId="62" xfId="22" applyNumberFormat="1" applyFont="1" applyBorder="1" applyAlignment="1">
      <alignment horizontal="center"/>
    </xf>
    <xf numFmtId="5" fontId="15" fillId="0" borderId="66" xfId="22" applyNumberFormat="1" applyFont="1" applyBorder="1" applyAlignment="1">
      <alignment horizontal="center"/>
    </xf>
    <xf numFmtId="0" fontId="181" fillId="6" borderId="57" xfId="0" applyFont="1" applyFill="1" applyBorder="1" applyAlignment="1">
      <alignment horizontal="center"/>
    </xf>
    <xf numFmtId="0" fontId="15" fillId="0" borderId="81" xfId="0" applyFont="1" applyBorder="1" applyAlignment="1">
      <alignment horizontal="right"/>
    </xf>
    <xf numFmtId="0" fontId="15" fillId="0" borderId="79" xfId="0" applyFont="1" applyBorder="1" applyAlignment="1">
      <alignment horizontal="right"/>
    </xf>
    <xf numFmtId="0" fontId="180" fillId="5" borderId="54" xfId="0" applyFont="1" applyFill="1" applyBorder="1" applyAlignment="1">
      <alignment horizontal="left"/>
    </xf>
    <xf numFmtId="0" fontId="180" fillId="5" borderId="0" xfId="0" applyFont="1" applyFill="1" applyAlignment="1">
      <alignment horizontal="left"/>
    </xf>
    <xf numFmtId="175" fontId="195" fillId="34" borderId="72" xfId="0" applyNumberFormat="1" applyFont="1" applyFill="1" applyBorder="1" applyAlignment="1">
      <alignment horizontal="center"/>
    </xf>
    <xf numFmtId="175" fontId="195" fillId="34" borderId="73" xfId="0" applyNumberFormat="1" applyFont="1" applyFill="1" applyBorder="1" applyAlignment="1">
      <alignment horizontal="center"/>
    </xf>
    <xf numFmtId="0" fontId="181" fillId="33" borderId="85" xfId="0" applyFont="1" applyFill="1" applyBorder="1" applyAlignment="1">
      <alignment horizontal="right"/>
    </xf>
    <xf numFmtId="0" fontId="183" fillId="36" borderId="90" xfId="1347" applyFont="1" applyFill="1" applyBorder="1" applyAlignment="1">
      <alignment horizontal="center"/>
    </xf>
    <xf numFmtId="0" fontId="181" fillId="8" borderId="113" xfId="0" applyFont="1" applyFill="1" applyBorder="1" applyAlignment="1">
      <alignment horizontal="center" vertical="center" wrapText="1"/>
    </xf>
    <xf numFmtId="0" fontId="181" fillId="8" borderId="114" xfId="0" applyFont="1" applyFill="1" applyBorder="1" applyAlignment="1">
      <alignment horizontal="center" vertical="center" wrapText="1"/>
    </xf>
    <xf numFmtId="0" fontId="23" fillId="36" borderId="115" xfId="1347" applyFont="1" applyFill="1" applyBorder="1" applyAlignment="1">
      <alignment vertical="center"/>
    </xf>
    <xf numFmtId="0" fontId="23" fillId="36" borderId="116" xfId="1347" applyFont="1" applyFill="1" applyBorder="1" applyAlignment="1">
      <alignment horizontal="center" vertical="center"/>
    </xf>
    <xf numFmtId="0" fontId="183" fillId="36" borderId="115" xfId="1347" applyFont="1" applyFill="1" applyBorder="1" applyAlignment="1">
      <alignment vertical="center"/>
    </xf>
    <xf numFmtId="0" fontId="183" fillId="36" borderId="116" xfId="1347" applyFont="1" applyFill="1" applyBorder="1" applyAlignment="1">
      <alignment horizontal="center" vertical="center"/>
    </xf>
    <xf numFmtId="0" fontId="181" fillId="8" borderId="117" xfId="0" applyFont="1" applyFill="1" applyBorder="1"/>
    <xf numFmtId="0" fontId="181" fillId="8" borderId="117" xfId="0" applyFont="1" applyFill="1" applyBorder="1" applyAlignment="1">
      <alignment horizontal="center" wrapText="1"/>
    </xf>
    <xf numFmtId="0" fontId="15" fillId="36" borderId="104" xfId="1347" applyFont="1" applyFill="1" applyBorder="1" applyAlignment="1">
      <alignment horizontal="center" vertical="center"/>
    </xf>
    <xf numFmtId="0" fontId="23" fillId="36" borderId="105" xfId="1347" applyFont="1" applyFill="1" applyBorder="1" applyAlignment="1">
      <alignment horizontal="center" vertical="center"/>
    </xf>
    <xf numFmtId="37" fontId="23" fillId="36" borderId="118" xfId="1347" applyNumberFormat="1" applyFont="1" applyFill="1" applyBorder="1" applyAlignment="1">
      <alignment horizontal="center" vertical="center"/>
    </xf>
    <xf numFmtId="37" fontId="190" fillId="36" borderId="105" xfId="1347" applyNumberFormat="1" applyFont="1" applyFill="1" applyBorder="1" applyAlignment="1">
      <alignment horizontal="center" vertical="center"/>
    </xf>
    <xf numFmtId="0" fontId="190" fillId="36" borderId="118" xfId="1347" applyFont="1" applyFill="1" applyBorder="1" applyAlignment="1">
      <alignment horizontal="center" vertical="center"/>
    </xf>
    <xf numFmtId="0" fontId="15" fillId="0" borderId="119" xfId="0" applyFont="1" applyBorder="1" applyAlignment="1">
      <alignment wrapText="1"/>
    </xf>
    <xf numFmtId="285" fontId="190" fillId="0" borderId="120" xfId="0" applyNumberFormat="1" applyFont="1" applyBorder="1" applyAlignment="1">
      <alignment horizontal="center"/>
    </xf>
    <xf numFmtId="165" fontId="190" fillId="36" borderId="105" xfId="1358" applyNumberFormat="1" applyFont="1" applyFill="1" applyBorder="1" applyAlignment="1">
      <alignment horizontal="center" vertical="center"/>
    </xf>
    <xf numFmtId="6" fontId="190" fillId="36" borderId="118" xfId="1347" applyNumberFormat="1" applyFont="1" applyFill="1" applyBorder="1" applyAlignment="1">
      <alignment horizontal="center"/>
    </xf>
    <xf numFmtId="0" fontId="180" fillId="36" borderId="119" xfId="1347" applyFont="1" applyFill="1" applyBorder="1" applyAlignment="1">
      <alignment wrapText="1"/>
    </xf>
    <xf numFmtId="267" fontId="190" fillId="0" borderId="120" xfId="0" applyNumberFormat="1" applyFont="1" applyBorder="1" applyAlignment="1">
      <alignment horizontal="center"/>
    </xf>
    <xf numFmtId="37" fontId="180" fillId="4" borderId="105" xfId="1347" applyNumberFormat="1" applyFont="1" applyFill="1" applyBorder="1" applyAlignment="1">
      <alignment horizontal="center" vertical="center"/>
    </xf>
    <xf numFmtId="0" fontId="180" fillId="4" borderId="118" xfId="1347" applyFont="1" applyFill="1" applyBorder="1"/>
    <xf numFmtId="0" fontId="15" fillId="36" borderId="115" xfId="1347" applyFont="1" applyFill="1" applyBorder="1" applyAlignment="1">
      <alignment horizontal="left" vertical="center"/>
    </xf>
    <xf numFmtId="6" fontId="190" fillId="36" borderId="116" xfId="1347" applyNumberFormat="1" applyFont="1" applyFill="1" applyBorder="1" applyAlignment="1">
      <alignment horizontal="center"/>
    </xf>
    <xf numFmtId="0" fontId="180" fillId="36" borderId="119" xfId="1347" applyFont="1" applyFill="1" applyBorder="1"/>
    <xf numFmtId="0" fontId="180" fillId="36" borderId="120" xfId="1347" applyFont="1" applyFill="1" applyBorder="1" applyAlignment="1">
      <alignment horizontal="center"/>
    </xf>
    <xf numFmtId="0" fontId="190" fillId="36" borderId="118" xfId="1347" applyFont="1" applyFill="1" applyBorder="1" applyAlignment="1">
      <alignment horizontal="center"/>
    </xf>
    <xf numFmtId="0" fontId="23" fillId="36" borderId="85" xfId="1347" applyFont="1" applyFill="1" applyBorder="1" applyAlignment="1">
      <alignment vertical="center"/>
    </xf>
    <xf numFmtId="261" fontId="190" fillId="0" borderId="120" xfId="0" applyNumberFormat="1" applyFont="1" applyBorder="1" applyAlignment="1">
      <alignment horizontal="center"/>
    </xf>
    <xf numFmtId="0" fontId="15" fillId="36" borderId="85" xfId="1347" applyFont="1" applyFill="1" applyBorder="1" applyAlignment="1">
      <alignment horizontal="left" vertical="center"/>
    </xf>
    <xf numFmtId="166" fontId="190" fillId="36" borderId="86" xfId="1347" applyNumberFormat="1" applyFont="1" applyFill="1" applyBorder="1" applyAlignment="1">
      <alignment horizontal="center" vertical="center"/>
    </xf>
    <xf numFmtId="0" fontId="180" fillId="0" borderId="120" xfId="0" applyFont="1" applyBorder="1" applyAlignment="1">
      <alignment horizontal="center" wrapText="1"/>
    </xf>
    <xf numFmtId="0" fontId="180" fillId="4" borderId="118" xfId="1347" applyFont="1" applyFill="1" applyBorder="1" applyAlignment="1">
      <alignment horizontal="center"/>
    </xf>
    <xf numFmtId="14" fontId="180" fillId="36" borderId="115" xfId="1347" applyNumberFormat="1" applyFont="1" applyFill="1" applyBorder="1" applyAlignment="1">
      <alignment horizontal="left"/>
    </xf>
    <xf numFmtId="166" fontId="190" fillId="36" borderId="116" xfId="1347" applyNumberFormat="1" applyFont="1" applyFill="1" applyBorder="1" applyAlignment="1">
      <alignment horizontal="center" vertical="center"/>
    </xf>
    <xf numFmtId="0" fontId="180" fillId="36" borderId="115" xfId="1347" applyFont="1" applyFill="1" applyBorder="1" applyAlignment="1">
      <alignment vertical="center"/>
    </xf>
    <xf numFmtId="10" fontId="187" fillId="36" borderId="116" xfId="1347" applyNumberFormat="1" applyFont="1" applyFill="1" applyBorder="1" applyAlignment="1">
      <alignment horizontal="center" vertical="center"/>
    </xf>
    <xf numFmtId="0" fontId="15" fillId="0" borderId="119" xfId="0" applyFont="1" applyBorder="1"/>
    <xf numFmtId="9" fontId="190" fillId="0" borderId="120" xfId="0" applyNumberFormat="1" applyFont="1" applyBorder="1" applyAlignment="1">
      <alignment horizontal="center"/>
    </xf>
    <xf numFmtId="3" fontId="190" fillId="36" borderId="118" xfId="1347" applyNumberFormat="1" applyFont="1" applyFill="1" applyBorder="1" applyAlignment="1">
      <alignment horizontal="center"/>
    </xf>
    <xf numFmtId="0" fontId="190" fillId="0" borderId="120" xfId="0" applyFont="1" applyBorder="1" applyAlignment="1">
      <alignment horizontal="center"/>
    </xf>
    <xf numFmtId="14" fontId="15" fillId="36" borderId="118" xfId="1347" applyNumberFormat="1" applyFont="1" applyFill="1" applyBorder="1" applyAlignment="1">
      <alignment horizontal="center" wrapText="1"/>
    </xf>
    <xf numFmtId="275" fontId="190" fillId="36" borderId="113" xfId="1" applyNumberFormat="1" applyFont="1" applyFill="1" applyBorder="1" applyAlignment="1">
      <alignment horizontal="center" vertical="center"/>
    </xf>
    <xf numFmtId="263" fontId="190" fillId="0" borderId="120" xfId="0" applyNumberFormat="1" applyFont="1" applyBorder="1" applyAlignment="1">
      <alignment horizontal="center"/>
    </xf>
    <xf numFmtId="271" fontId="190" fillId="0" borderId="120" xfId="0" applyNumberFormat="1" applyFont="1" applyBorder="1" applyAlignment="1">
      <alignment horizontal="center"/>
    </xf>
    <xf numFmtId="14" fontId="180" fillId="36" borderId="118" xfId="1347" applyNumberFormat="1" applyFont="1" applyFill="1" applyBorder="1" applyAlignment="1">
      <alignment horizontal="center" wrapText="1"/>
    </xf>
    <xf numFmtId="0" fontId="15" fillId="36" borderId="121" xfId="1347" applyFont="1" applyFill="1" applyBorder="1" applyAlignment="1">
      <alignment horizontal="left" vertical="center" indent="1"/>
    </xf>
    <xf numFmtId="0" fontId="15" fillId="36" borderId="122" xfId="1347" applyFont="1" applyFill="1" applyBorder="1" applyAlignment="1">
      <alignment vertical="center"/>
    </xf>
    <xf numFmtId="165" fontId="190" fillId="36" borderId="123" xfId="1358" applyNumberFormat="1" applyFont="1" applyFill="1" applyBorder="1" applyAlignment="1">
      <alignment horizontal="center" vertical="center"/>
    </xf>
    <xf numFmtId="6" fontId="190" fillId="36" borderId="124" xfId="1347" applyNumberFormat="1" applyFont="1" applyFill="1" applyBorder="1" applyAlignment="1">
      <alignment horizontal="center"/>
    </xf>
    <xf numFmtId="10" fontId="190" fillId="0" borderId="120" xfId="1" applyNumberFormat="1" applyFont="1" applyBorder="1" applyAlignment="1">
      <alignment horizontal="center"/>
    </xf>
    <xf numFmtId="262" fontId="190" fillId="0" borderId="120" xfId="0" applyNumberFormat="1" applyFont="1" applyBorder="1" applyAlignment="1">
      <alignment horizontal="center"/>
    </xf>
    <xf numFmtId="0" fontId="180" fillId="36" borderId="115" xfId="1347" applyFont="1" applyFill="1" applyBorder="1" applyAlignment="1">
      <alignment horizontal="left" vertical="center" indent="1"/>
    </xf>
    <xf numFmtId="9" fontId="187" fillId="36" borderId="116" xfId="1347" applyNumberFormat="1" applyFont="1" applyFill="1" applyBorder="1" applyAlignment="1">
      <alignment horizontal="center" vertical="center"/>
    </xf>
    <xf numFmtId="0" fontId="15" fillId="36" borderId="57" xfId="1347" applyFont="1" applyFill="1" applyBorder="1" applyAlignment="1">
      <alignment vertical="center"/>
    </xf>
    <xf numFmtId="268" fontId="190" fillId="0" borderId="120" xfId="0" applyNumberFormat="1" applyFont="1" applyBorder="1" applyAlignment="1">
      <alignment horizontal="center"/>
    </xf>
    <xf numFmtId="264" fontId="190" fillId="0" borderId="120" xfId="0" applyNumberFormat="1" applyFont="1" applyBorder="1" applyAlignment="1">
      <alignment horizontal="center"/>
    </xf>
    <xf numFmtId="270" fontId="190" fillId="0" borderId="120" xfId="0" applyNumberFormat="1" applyFont="1" applyBorder="1" applyAlignment="1">
      <alignment horizontal="center"/>
    </xf>
    <xf numFmtId="265" fontId="190" fillId="0" borderId="120" xfId="0" applyNumberFormat="1" applyFont="1" applyBorder="1" applyAlignment="1">
      <alignment horizontal="center"/>
    </xf>
    <xf numFmtId="182" fontId="15" fillId="0" borderId="125" xfId="0" applyNumberFormat="1" applyFont="1" applyBorder="1"/>
    <xf numFmtId="276" fontId="190" fillId="0" borderId="126" xfId="0" applyNumberFormat="1" applyFont="1" applyBorder="1" applyAlignment="1">
      <alignment horizontal="center"/>
    </xf>
    <xf numFmtId="0" fontId="15" fillId="36" borderId="115" xfId="1347" applyFont="1" applyFill="1" applyBorder="1" applyAlignment="1">
      <alignment horizontal="left" vertical="center" indent="1"/>
    </xf>
    <xf numFmtId="0" fontId="15" fillId="36" borderId="127" xfId="1347" applyFont="1" applyFill="1" applyBorder="1" applyAlignment="1">
      <alignment vertical="center"/>
    </xf>
    <xf numFmtId="8" fontId="190" fillId="36" borderId="116" xfId="1347" applyNumberFormat="1" applyFont="1" applyFill="1" applyBorder="1" applyAlignment="1">
      <alignment horizontal="center" vertical="center"/>
    </xf>
    <xf numFmtId="0" fontId="197" fillId="36" borderId="83" xfId="1347" applyFont="1" applyFill="1" applyBorder="1" applyAlignment="1">
      <alignment horizontal="center"/>
    </xf>
    <xf numFmtId="0" fontId="197" fillId="36" borderId="84" xfId="1347" applyFont="1" applyFill="1" applyBorder="1" applyAlignment="1">
      <alignment horizontal="center"/>
    </xf>
    <xf numFmtId="0" fontId="197" fillId="0" borderId="118" xfId="0" applyFont="1" applyBorder="1" applyAlignment="1">
      <alignment horizontal="center"/>
    </xf>
    <xf numFmtId="0" fontId="197" fillId="0" borderId="120" xfId="0" applyFont="1" applyBorder="1" applyAlignment="1">
      <alignment horizontal="center"/>
    </xf>
    <xf numFmtId="0" fontId="183" fillId="0" borderId="128" xfId="0" applyFont="1" applyBorder="1" applyAlignment="1">
      <alignment horizontal="center"/>
    </xf>
    <xf numFmtId="0" fontId="197" fillId="36" borderId="82" xfId="1347" applyFont="1" applyFill="1" applyBorder="1" applyAlignment="1">
      <alignment horizontal="center"/>
    </xf>
    <xf numFmtId="6" fontId="201" fillId="0" borderId="118" xfId="0" applyNumberFormat="1" applyFont="1" applyBorder="1" applyAlignment="1">
      <alignment horizontal="center"/>
    </xf>
    <xf numFmtId="0" fontId="180" fillId="0" borderId="109" xfId="0" applyFont="1" applyBorder="1" applyAlignment="1">
      <alignment horizontal="center"/>
    </xf>
    <xf numFmtId="0" fontId="180" fillId="0" borderId="111" xfId="0" applyFont="1" applyBorder="1" applyAlignment="1">
      <alignment horizontal="center"/>
    </xf>
    <xf numFmtId="0" fontId="198" fillId="0" borderId="119" xfId="0" applyFont="1" applyBorder="1" applyAlignment="1">
      <alignment horizontal="right"/>
    </xf>
    <xf numFmtId="6" fontId="201" fillId="0" borderId="57" xfId="0" applyNumberFormat="1" applyFont="1" applyBorder="1" applyAlignment="1">
      <alignment horizontal="center"/>
    </xf>
    <xf numFmtId="6" fontId="201" fillId="0" borderId="86" xfId="0" applyNumberFormat="1" applyFont="1" applyBorder="1" applyAlignment="1">
      <alignment horizontal="center"/>
    </xf>
    <xf numFmtId="0" fontId="23" fillId="0" borderId="119" xfId="0" applyFont="1" applyBorder="1" applyAlignment="1">
      <alignment horizontal="right"/>
    </xf>
    <xf numFmtId="6" fontId="180" fillId="0" borderId="118" xfId="0" applyNumberFormat="1" applyFont="1" applyBorder="1"/>
    <xf numFmtId="6" fontId="180" fillId="0" borderId="120" xfId="0" applyNumberFormat="1" applyFont="1" applyBorder="1"/>
    <xf numFmtId="0" fontId="23" fillId="0" borderId="119" xfId="0" applyFont="1" applyBorder="1"/>
    <xf numFmtId="0" fontId="198" fillId="0" borderId="85" xfId="0" applyFont="1" applyBorder="1" applyAlignment="1">
      <alignment vertical="top" wrapText="1"/>
    </xf>
    <xf numFmtId="0" fontId="15" fillId="0" borderId="129" xfId="0" applyFont="1" applyBorder="1"/>
    <xf numFmtId="6" fontId="180" fillId="0" borderId="130" xfId="0" applyNumberFormat="1" applyFont="1" applyBorder="1"/>
    <xf numFmtId="6" fontId="180" fillId="0" borderId="131" xfId="0" applyNumberFormat="1" applyFont="1" applyBorder="1"/>
    <xf numFmtId="6" fontId="201" fillId="0" borderId="132" xfId="0" applyNumberFormat="1" applyFont="1" applyBorder="1" applyAlignment="1">
      <alignment horizontal="center"/>
    </xf>
    <xf numFmtId="6" fontId="201" fillId="0" borderId="133" xfId="0" applyNumberFormat="1" applyFont="1" applyBorder="1" applyAlignment="1">
      <alignment horizontal="center"/>
    </xf>
    <xf numFmtId="6" fontId="180" fillId="0" borderId="109" xfId="0" applyNumberFormat="1" applyFont="1" applyBorder="1"/>
    <xf numFmtId="6" fontId="180" fillId="0" borderId="111" xfId="0" applyNumberFormat="1" applyFont="1" applyBorder="1"/>
    <xf numFmtId="6" fontId="23" fillId="0" borderId="118" xfId="0" applyNumberFormat="1" applyFont="1" applyBorder="1"/>
    <xf numFmtId="6" fontId="23" fillId="0" borderId="120" xfId="0" applyNumberFormat="1" applyFont="1" applyBorder="1"/>
    <xf numFmtId="0" fontId="199" fillId="0" borderId="134" xfId="0" applyFont="1" applyBorder="1"/>
    <xf numFmtId="6" fontId="199" fillId="0" borderId="132" xfId="2" applyNumberFormat="1" applyFont="1" applyBorder="1" applyAlignment="1">
      <alignment horizontal="center"/>
    </xf>
    <xf numFmtId="6" fontId="199" fillId="0" borderId="133" xfId="2" applyNumberFormat="1" applyFont="1" applyBorder="1" applyAlignment="1">
      <alignment horizontal="center"/>
    </xf>
    <xf numFmtId="6" fontId="198" fillId="0" borderId="127" xfId="0" applyNumberFormat="1" applyFont="1" applyBorder="1" applyAlignment="1">
      <alignment horizontal="center"/>
    </xf>
    <xf numFmtId="6" fontId="198" fillId="0" borderId="116" xfId="0" applyNumberFormat="1" applyFont="1" applyBorder="1" applyAlignment="1">
      <alignment horizontal="center"/>
    </xf>
    <xf numFmtId="278" fontId="199" fillId="0" borderId="134" xfId="2" applyNumberFormat="1" applyFont="1" applyBorder="1"/>
    <xf numFmtId="0" fontId="198" fillId="0" borderId="115" xfId="0" applyFont="1" applyBorder="1"/>
    <xf numFmtId="0" fontId="203" fillId="0" borderId="85" xfId="0" applyFont="1" applyBorder="1" applyAlignment="1">
      <alignment vertical="top" wrapText="1"/>
    </xf>
    <xf numFmtId="10" fontId="180" fillId="0" borderId="118" xfId="7" applyNumberFormat="1" applyFont="1" applyBorder="1"/>
    <xf numFmtId="10" fontId="180" fillId="0" borderId="120" xfId="7" applyNumberFormat="1" applyFont="1" applyBorder="1"/>
    <xf numFmtId="0" fontId="23" fillId="0" borderId="125" xfId="0" applyFont="1" applyBorder="1"/>
    <xf numFmtId="6" fontId="23" fillId="0" borderId="124" xfId="0" applyNumberFormat="1" applyFont="1" applyBorder="1"/>
    <xf numFmtId="6" fontId="23" fillId="0" borderId="126" xfId="0" applyNumberFormat="1" applyFont="1" applyBorder="1"/>
    <xf numFmtId="0" fontId="203" fillId="0" borderId="85" xfId="0" applyFont="1" applyBorder="1" applyAlignment="1">
      <alignment wrapText="1"/>
    </xf>
    <xf numFmtId="0" fontId="179" fillId="0" borderId="57" xfId="0" applyFont="1" applyBorder="1" applyAlignment="1">
      <alignment horizontal="center" vertical="center"/>
    </xf>
    <xf numFmtId="3" fontId="186" fillId="0" borderId="112" xfId="0" applyNumberFormat="1" applyFont="1" applyBorder="1" applyAlignment="1">
      <alignment horizontal="center" vertical="center" wrapText="1"/>
    </xf>
    <xf numFmtId="0" fontId="194" fillId="0" borderId="119" xfId="0" applyFont="1" applyBorder="1" applyAlignment="1">
      <alignment horizontal="center" vertical="center"/>
    </xf>
    <xf numFmtId="0" fontId="214" fillId="0" borderId="97" xfId="0" applyFont="1" applyBorder="1" applyAlignment="1">
      <alignment horizontal="center" vertical="center"/>
    </xf>
    <xf numFmtId="0" fontId="216" fillId="0" borderId="112" xfId="0" applyFont="1" applyBorder="1" applyAlignment="1">
      <alignment horizontal="center"/>
    </xf>
    <xf numFmtId="0" fontId="215" fillId="0" borderId="118" xfId="0" applyFont="1" applyBorder="1" applyAlignment="1">
      <alignment horizontal="left" vertical="center" wrapText="1"/>
    </xf>
    <xf numFmtId="0" fontId="186" fillId="0" borderId="100" xfId="0" applyFont="1" applyBorder="1" applyAlignment="1">
      <alignment horizontal="center" vertical="center" wrapText="1"/>
    </xf>
    <xf numFmtId="0" fontId="194" fillId="0" borderId="102" xfId="0" applyFont="1" applyBorder="1" applyAlignment="1">
      <alignment horizontal="center" vertical="center"/>
    </xf>
    <xf numFmtId="0" fontId="215" fillId="0" borderId="118" xfId="0" applyFont="1" applyBorder="1" applyAlignment="1">
      <alignment horizontal="left"/>
    </xf>
    <xf numFmtId="0" fontId="186" fillId="0" borderId="112" xfId="0" applyFont="1" applyBorder="1" applyAlignment="1">
      <alignment horizontal="center" vertical="center" wrapText="1"/>
    </xf>
    <xf numFmtId="0" fontId="215" fillId="0" borderId="100" xfId="0" applyFont="1" applyBorder="1" applyAlignment="1">
      <alignment horizontal="left" vertical="center" wrapText="1"/>
    </xf>
    <xf numFmtId="0" fontId="186" fillId="0" borderId="109" xfId="0" applyFont="1" applyBorder="1" applyAlignment="1">
      <alignment horizontal="center" vertical="center" wrapText="1"/>
    </xf>
    <xf numFmtId="3" fontId="194" fillId="0" borderId="119" xfId="0" applyNumberFormat="1" applyFont="1" applyBorder="1" applyAlignment="1">
      <alignment horizontal="center" vertical="center"/>
    </xf>
    <xf numFmtId="3" fontId="215" fillId="0" borderId="118" xfId="0" applyNumberFormat="1" applyFont="1" applyBorder="1" applyAlignment="1">
      <alignment horizontal="left" vertical="center" wrapText="1"/>
    </xf>
    <xf numFmtId="3" fontId="194" fillId="0" borderId="102" xfId="0" applyNumberFormat="1" applyFont="1" applyBorder="1" applyAlignment="1">
      <alignment horizontal="center" vertical="center"/>
    </xf>
    <xf numFmtId="3" fontId="215" fillId="0" borderId="100" xfId="0" applyNumberFormat="1" applyFont="1" applyBorder="1" applyAlignment="1">
      <alignment horizontal="left" vertical="center" wrapText="1"/>
    </xf>
    <xf numFmtId="3" fontId="186" fillId="0" borderId="109" xfId="0" applyNumberFormat="1" applyFont="1" applyBorder="1" applyAlignment="1">
      <alignment horizontal="center" vertical="center" wrapText="1"/>
    </xf>
    <xf numFmtId="3" fontId="178" fillId="0" borderId="102" xfId="0" applyNumberFormat="1" applyFont="1" applyBorder="1" applyAlignment="1">
      <alignment horizontal="center" vertical="center"/>
    </xf>
    <xf numFmtId="3" fontId="194" fillId="0" borderId="102" xfId="0" applyNumberFormat="1" applyFont="1" applyBorder="1" applyAlignment="1">
      <alignment horizontal="center" vertical="center" wrapText="1"/>
    </xf>
    <xf numFmtId="3" fontId="214" fillId="0" borderId="96" xfId="0" applyNumberFormat="1" applyFont="1" applyBorder="1" applyAlignment="1">
      <alignment horizontal="center" vertical="center"/>
    </xf>
    <xf numFmtId="0" fontId="215" fillId="0" borderId="100" xfId="0" applyFont="1" applyBorder="1" applyAlignment="1">
      <alignment horizontal="center"/>
    </xf>
    <xf numFmtId="289" fontId="178" fillId="0" borderId="100" xfId="0" applyNumberFormat="1" applyFont="1" applyBorder="1" applyAlignment="1">
      <alignment horizontal="center" vertical="center" wrapText="1"/>
    </xf>
    <xf numFmtId="166" fontId="178" fillId="0" borderId="118" xfId="0" applyNumberFormat="1" applyFont="1" applyBorder="1" applyAlignment="1">
      <alignment horizontal="center" vertical="center"/>
    </xf>
    <xf numFmtId="166" fontId="178" fillId="0" borderId="100" xfId="0" applyNumberFormat="1" applyFont="1" applyBorder="1" applyAlignment="1">
      <alignment horizontal="center" vertical="center"/>
    </xf>
    <xf numFmtId="6" fontId="178" fillId="0" borderId="118" xfId="0" applyNumberFormat="1" applyFont="1" applyBorder="1" applyAlignment="1">
      <alignment horizontal="center" vertical="center"/>
    </xf>
    <xf numFmtId="6" fontId="178" fillId="0" borderId="113" xfId="0" applyNumberFormat="1" applyFont="1" applyBorder="1" applyAlignment="1">
      <alignment horizontal="center" vertical="center"/>
    </xf>
    <xf numFmtId="9" fontId="178" fillId="0" borderId="120" xfId="0" applyNumberFormat="1" applyFont="1" applyBorder="1" applyAlignment="1">
      <alignment horizontal="center" vertical="center"/>
    </xf>
    <xf numFmtId="3" fontId="216" fillId="0" borderId="100" xfId="0" applyNumberFormat="1" applyFont="1" applyBorder="1" applyAlignment="1">
      <alignment horizontal="center" vertical="center"/>
    </xf>
    <xf numFmtId="3" fontId="216" fillId="0" borderId="112" xfId="0" applyNumberFormat="1" applyFont="1" applyBorder="1" applyAlignment="1">
      <alignment horizontal="center" vertical="center"/>
    </xf>
    <xf numFmtId="3" fontId="216" fillId="0" borderId="109" xfId="0" applyNumberFormat="1" applyFont="1" applyBorder="1" applyAlignment="1">
      <alignment horizontal="center" vertical="center"/>
    </xf>
    <xf numFmtId="3" fontId="215" fillId="0" borderId="109" xfId="0" applyNumberFormat="1" applyFont="1" applyBorder="1" applyAlignment="1">
      <alignment horizontal="left" vertical="center" wrapText="1"/>
    </xf>
    <xf numFmtId="0" fontId="216" fillId="0" borderId="109" xfId="0" applyFont="1" applyBorder="1" applyAlignment="1">
      <alignment horizontal="center"/>
    </xf>
    <xf numFmtId="3" fontId="216" fillId="0" borderId="118" xfId="0" applyNumberFormat="1" applyFont="1" applyBorder="1" applyAlignment="1">
      <alignment horizontal="center" vertical="center" wrapText="1"/>
    </xf>
    <xf numFmtId="3" fontId="213" fillId="0" borderId="100" xfId="0" applyNumberFormat="1" applyFont="1" applyBorder="1" applyAlignment="1">
      <alignment horizontal="center" vertical="center" wrapText="1"/>
    </xf>
    <xf numFmtId="3" fontId="213" fillId="0" borderId="112" xfId="0" applyNumberFormat="1" applyFont="1" applyBorder="1" applyAlignment="1">
      <alignment horizontal="center" vertical="center" wrapText="1"/>
    </xf>
    <xf numFmtId="3" fontId="216" fillId="0" borderId="118" xfId="0" applyNumberFormat="1" applyFont="1" applyBorder="1" applyAlignment="1">
      <alignment horizontal="center" vertical="center"/>
    </xf>
    <xf numFmtId="3" fontId="213" fillId="0" borderId="109" xfId="0" applyNumberFormat="1" applyFont="1" applyBorder="1" applyAlignment="1">
      <alignment horizontal="center" vertical="center" wrapText="1"/>
    </xf>
    <xf numFmtId="287" fontId="193" fillId="0" borderId="124" xfId="0" applyNumberFormat="1" applyFont="1" applyBorder="1" applyAlignment="1">
      <alignment horizontal="center" vertical="center"/>
    </xf>
    <xf numFmtId="0" fontId="194" fillId="4" borderId="124" xfId="0" applyFont="1" applyFill="1" applyBorder="1" applyAlignment="1">
      <alignment horizontal="center" vertical="center"/>
    </xf>
    <xf numFmtId="166" fontId="193" fillId="0" borderId="124" xfId="0" applyNumberFormat="1" applyFont="1" applyBorder="1" applyAlignment="1">
      <alignment horizontal="center" vertical="center"/>
    </xf>
    <xf numFmtId="0" fontId="186" fillId="0" borderId="119" xfId="0" applyFont="1" applyBorder="1" applyAlignment="1">
      <alignment horizontal="center" vertical="center"/>
    </xf>
    <xf numFmtId="288" fontId="178" fillId="0" borderId="118" xfId="0" applyNumberFormat="1" applyFont="1" applyBorder="1" applyAlignment="1">
      <alignment horizontal="center" vertical="center"/>
    </xf>
    <xf numFmtId="14" fontId="178" fillId="0" borderId="113" xfId="0" applyNumberFormat="1" applyFont="1" applyBorder="1" applyAlignment="1">
      <alignment horizontal="center" vertical="center"/>
    </xf>
    <xf numFmtId="14" fontId="178" fillId="0" borderId="120" xfId="0" applyNumberFormat="1" applyFont="1" applyBorder="1" applyAlignment="1">
      <alignment horizontal="center" vertical="center"/>
    </xf>
    <xf numFmtId="0" fontId="178" fillId="0" borderId="113" xfId="0" applyFont="1" applyBorder="1" applyAlignment="1">
      <alignment horizontal="center" vertical="center"/>
    </xf>
    <xf numFmtId="0" fontId="178" fillId="0" borderId="120" xfId="0" applyFont="1" applyBorder="1" applyAlignment="1">
      <alignment horizontal="center" vertical="center"/>
    </xf>
    <xf numFmtId="3" fontId="186" fillId="0" borderId="125" xfId="0" applyNumberFormat="1" applyFont="1" applyBorder="1" applyAlignment="1">
      <alignment horizontal="center" vertical="center"/>
    </xf>
    <xf numFmtId="0" fontId="178" fillId="0" borderId="135" xfId="0" applyFont="1" applyBorder="1"/>
    <xf numFmtId="0" fontId="178" fillId="0" borderId="121" xfId="0" applyFont="1" applyBorder="1"/>
    <xf numFmtId="0" fontId="178" fillId="0" borderId="136" xfId="0" applyFont="1" applyBorder="1"/>
    <xf numFmtId="0" fontId="179" fillId="37" borderId="109" xfId="0" applyFont="1" applyFill="1" applyBorder="1" applyAlignment="1">
      <alignment horizontal="center" vertical="center"/>
    </xf>
    <xf numFmtId="0" fontId="179" fillId="37" borderId="111" xfId="0" applyFont="1" applyFill="1" applyBorder="1" applyAlignment="1">
      <alignment horizontal="center" vertical="center" wrapText="1"/>
    </xf>
    <xf numFmtId="0" fontId="178" fillId="38" borderId="102" xfId="0" applyFont="1" applyFill="1" applyBorder="1" applyAlignment="1">
      <alignment horizontal="center" vertical="center" wrapText="1"/>
    </xf>
    <xf numFmtId="0" fontId="178" fillId="37" borderId="118" xfId="0" applyFont="1" applyFill="1" applyBorder="1" applyAlignment="1">
      <alignment horizontal="center" vertical="center"/>
    </xf>
    <xf numFmtId="0" fontId="178" fillId="37" borderId="100" xfId="0" applyFont="1" applyFill="1" applyBorder="1" applyAlignment="1">
      <alignment horizontal="center" vertical="center" wrapText="1"/>
    </xf>
    <xf numFmtId="0" fontId="178" fillId="37" borderId="100" xfId="0" applyFont="1" applyFill="1" applyBorder="1" applyAlignment="1">
      <alignment horizontal="center" vertical="center" wrapText="1"/>
    </xf>
    <xf numFmtId="9" fontId="186" fillId="37" borderId="101" xfId="0" applyNumberFormat="1" applyFont="1" applyFill="1" applyBorder="1" applyAlignment="1">
      <alignment horizontal="center" vertical="center" wrapText="1"/>
    </xf>
    <xf numFmtId="0" fontId="178" fillId="37" borderId="109" xfId="0" applyFont="1" applyFill="1" applyBorder="1" applyAlignment="1">
      <alignment horizontal="center" vertical="center" wrapText="1"/>
    </xf>
    <xf numFmtId="0" fontId="178" fillId="37" borderId="109" xfId="0" applyFont="1" applyFill="1" applyBorder="1" applyAlignment="1">
      <alignment horizontal="center" vertical="center" wrapText="1"/>
    </xf>
    <xf numFmtId="9" fontId="186" fillId="37" borderId="111" xfId="0" applyNumberFormat="1" applyFont="1" applyFill="1" applyBorder="1" applyAlignment="1">
      <alignment horizontal="center" vertical="center" wrapText="1"/>
    </xf>
    <xf numFmtId="0" fontId="178" fillId="37" borderId="100" xfId="0" applyFont="1" applyFill="1" applyBorder="1" applyAlignment="1">
      <alignment horizontal="center" vertical="center"/>
    </xf>
    <xf numFmtId="0" fontId="178" fillId="37" borderId="118" xfId="0" applyFont="1" applyFill="1" applyBorder="1" applyAlignment="1">
      <alignment horizontal="center" vertical="center" wrapText="1"/>
    </xf>
    <xf numFmtId="0" fontId="178" fillId="37" borderId="109" xfId="0" applyFont="1" applyFill="1" applyBorder="1" applyAlignment="1">
      <alignment horizontal="center" vertical="center"/>
    </xf>
    <xf numFmtId="9" fontId="186" fillId="37" borderId="101" xfId="0" applyNumberFormat="1" applyFont="1" applyFill="1" applyBorder="1" applyAlignment="1">
      <alignment horizontal="center" vertical="center"/>
    </xf>
    <xf numFmtId="9" fontId="186" fillId="37" borderId="111" xfId="0" applyNumberFormat="1" applyFont="1" applyFill="1" applyBorder="1" applyAlignment="1">
      <alignment horizontal="center" vertical="center"/>
    </xf>
    <xf numFmtId="0" fontId="178" fillId="38" borderId="125" xfId="0" applyFont="1" applyFill="1" applyBorder="1" applyAlignment="1">
      <alignment horizontal="center" vertical="center" wrapText="1"/>
    </xf>
    <xf numFmtId="0" fontId="178" fillId="37" borderId="124" xfId="0" applyFont="1" applyFill="1" applyBorder="1" applyAlignment="1">
      <alignment horizontal="center" vertical="center" wrapText="1"/>
    </xf>
    <xf numFmtId="0" fontId="178" fillId="37" borderId="100" xfId="0" applyFont="1" applyFill="1" applyBorder="1" applyAlignment="1">
      <alignment vertical="center" wrapText="1"/>
    </xf>
    <xf numFmtId="0" fontId="178" fillId="37" borderId="124" xfId="0" applyFont="1" applyFill="1" applyBorder="1" applyAlignment="1">
      <alignment horizontal="center" vertical="center"/>
    </xf>
    <xf numFmtId="9" fontId="186" fillId="37" borderId="126" xfId="0" applyNumberFormat="1" applyFont="1" applyFill="1" applyBorder="1" applyAlignment="1">
      <alignment horizontal="center" vertical="center"/>
    </xf>
    <xf numFmtId="49" fontId="178" fillId="37" borderId="137" xfId="0" applyNumberFormat="1" applyFont="1" applyFill="1" applyBorder="1" applyAlignment="1">
      <alignment horizontal="center" vertical="center"/>
    </xf>
    <xf numFmtId="0" fontId="179" fillId="38" borderId="125" xfId="0" applyFont="1" applyFill="1" applyBorder="1" applyAlignment="1">
      <alignment horizontal="center" vertical="center" wrapText="1"/>
    </xf>
    <xf numFmtId="175" fontId="204" fillId="34" borderId="128" xfId="0" applyNumberFormat="1" applyFont="1" applyFill="1" applyBorder="1" applyAlignment="1">
      <alignment horizontal="center"/>
    </xf>
    <xf numFmtId="167" fontId="200" fillId="0" borderId="118" xfId="1" applyNumberFormat="1" applyFont="1" applyBorder="1" applyAlignment="1">
      <alignment horizontal="center"/>
    </xf>
    <xf numFmtId="0" fontId="198" fillId="0" borderId="118" xfId="2" applyFont="1" applyBorder="1"/>
    <xf numFmtId="178" fontId="199" fillId="0" borderId="119" xfId="0" applyNumberFormat="1" applyFont="1" applyBorder="1" applyAlignment="1">
      <alignment horizontal="left"/>
    </xf>
    <xf numFmtId="38" fontId="200" fillId="0" borderId="118" xfId="22" applyNumberFormat="1" applyFont="1" applyBorder="1" applyAlignment="1">
      <alignment horizontal="center"/>
    </xf>
    <xf numFmtId="38" fontId="199" fillId="0" borderId="118" xfId="22" applyNumberFormat="1" applyFont="1" applyBorder="1" applyAlignment="1">
      <alignment horizontal="center"/>
    </xf>
    <xf numFmtId="8" fontId="199" fillId="0" borderId="118" xfId="0" applyNumberFormat="1" applyFont="1" applyBorder="1" applyAlignment="1">
      <alignment horizontal="center"/>
    </xf>
    <xf numFmtId="164" fontId="199" fillId="0" borderId="118" xfId="22" applyNumberFormat="1" applyFont="1" applyBorder="1" applyAlignment="1">
      <alignment horizontal="center"/>
    </xf>
    <xf numFmtId="178" fontId="199" fillId="0" borderId="60" xfId="0" applyNumberFormat="1" applyFont="1" applyBorder="1" applyAlignment="1">
      <alignment horizontal="left"/>
    </xf>
    <xf numFmtId="38" fontId="200" fillId="0" borderId="109" xfId="22" applyNumberFormat="1" applyFont="1" applyBorder="1" applyAlignment="1">
      <alignment horizontal="center"/>
    </xf>
    <xf numFmtId="38" fontId="199" fillId="0" borderId="109" xfId="22" applyNumberFormat="1" applyFont="1" applyBorder="1" applyAlignment="1">
      <alignment horizontal="center"/>
    </xf>
    <xf numFmtId="8" fontId="201" fillId="0" borderId="118" xfId="0" applyNumberFormat="1" applyFont="1" applyBorder="1" applyAlignment="1">
      <alignment horizontal="center"/>
    </xf>
    <xf numFmtId="164" fontId="199" fillId="0" borderId="100" xfId="22" applyNumberFormat="1" applyFont="1" applyBorder="1" applyAlignment="1">
      <alignment horizontal="center"/>
    </xf>
    <xf numFmtId="6" fontId="197" fillId="0" borderId="118" xfId="0" applyNumberFormat="1" applyFont="1" applyBorder="1" applyAlignment="1">
      <alignment horizontal="center"/>
    </xf>
    <xf numFmtId="0" fontId="199" fillId="4" borderId="135" xfId="0" applyFont="1" applyFill="1" applyBorder="1"/>
    <xf numFmtId="0" fontId="207" fillId="0" borderId="119" xfId="14" applyFont="1" applyBorder="1"/>
    <xf numFmtId="3" fontId="200" fillId="0" borderId="118" xfId="14" applyNumberFormat="1" applyFont="1" applyBorder="1" applyAlignment="1">
      <alignment horizontal="center"/>
    </xf>
    <xf numFmtId="8" fontId="199" fillId="0" borderId="118" xfId="0" applyNumberFormat="1" applyFont="1" applyBorder="1"/>
    <xf numFmtId="6" fontId="199" fillId="0" borderId="118" xfId="0" applyNumberFormat="1" applyFont="1" applyBorder="1"/>
    <xf numFmtId="0" fontId="207" fillId="0" borderId="129" xfId="14" applyFont="1" applyBorder="1"/>
    <xf numFmtId="3" fontId="200" fillId="0" borderId="130" xfId="14" applyNumberFormat="1" applyFont="1" applyBorder="1" applyAlignment="1">
      <alignment horizontal="center"/>
    </xf>
    <xf numFmtId="8" fontId="199" fillId="0" borderId="130" xfId="0" applyNumberFormat="1" applyFont="1" applyBorder="1"/>
    <xf numFmtId="6" fontId="199" fillId="0" borderId="130" xfId="0" applyNumberFormat="1" applyFont="1" applyBorder="1"/>
    <xf numFmtId="3" fontId="199" fillId="0" borderId="112" xfId="0" applyNumberFormat="1" applyFont="1" applyBorder="1" applyAlignment="1">
      <alignment horizontal="center"/>
    </xf>
    <xf numFmtId="8" fontId="199" fillId="0" borderId="109" xfId="0" applyNumberFormat="1" applyFont="1" applyBorder="1"/>
    <xf numFmtId="6" fontId="199" fillId="0" borderId="109" xfId="0" applyNumberFormat="1" applyFont="1" applyBorder="1"/>
    <xf numFmtId="0" fontId="204" fillId="8" borderId="85" xfId="0" applyFont="1" applyFill="1" applyBorder="1" applyAlignment="1">
      <alignment horizontal="left"/>
    </xf>
    <xf numFmtId="3" fontId="204" fillId="8" borderId="86" xfId="0" applyNumberFormat="1" applyFont="1" applyFill="1" applyBorder="1"/>
    <xf numFmtId="0" fontId="199" fillId="0" borderId="119" xfId="0" applyFont="1" applyBorder="1"/>
    <xf numFmtId="3" fontId="200" fillId="0" borderId="120" xfId="0" applyNumberFormat="1" applyFont="1" applyBorder="1"/>
    <xf numFmtId="0" fontId="199" fillId="0" borderId="129" xfId="0" applyFont="1" applyBorder="1"/>
    <xf numFmtId="0" fontId="199" fillId="0" borderId="138" xfId="0" applyFont="1" applyBorder="1"/>
    <xf numFmtId="3" fontId="199" fillId="0" borderId="136" xfId="0" applyNumberFormat="1" applyFont="1" applyBorder="1"/>
    <xf numFmtId="0" fontId="204" fillId="8" borderId="85" xfId="0" applyFont="1" applyFill="1" applyBorder="1"/>
    <xf numFmtId="175" fontId="204" fillId="8" borderId="85" xfId="0" applyNumberFormat="1" applyFont="1" applyFill="1" applyBorder="1"/>
    <xf numFmtId="0" fontId="199" fillId="0" borderId="119" xfId="0" applyFont="1" applyBorder="1" applyAlignment="1">
      <alignment horizontal="right"/>
    </xf>
    <xf numFmtId="168" fontId="199" fillId="0" borderId="120" xfId="22" applyNumberFormat="1" applyFont="1" applyFill="1" applyBorder="1" applyAlignment="1">
      <alignment horizontal="center"/>
    </xf>
    <xf numFmtId="282" fontId="199" fillId="0" borderId="119" xfId="0" applyNumberFormat="1" applyFont="1" applyBorder="1" applyAlignment="1">
      <alignment horizontal="right"/>
    </xf>
    <xf numFmtId="281" fontId="200" fillId="0" borderId="119" xfId="0" applyNumberFormat="1" applyFont="1" applyBorder="1" applyAlignment="1">
      <alignment horizontal="right"/>
    </xf>
    <xf numFmtId="280" fontId="200" fillId="0" borderId="125" xfId="0" applyNumberFormat="1" applyFont="1" applyBorder="1"/>
    <xf numFmtId="168" fontId="199" fillId="0" borderId="126" xfId="22" applyNumberFormat="1" applyFont="1" applyFill="1" applyBorder="1" applyAlignment="1">
      <alignment horizontal="center"/>
    </xf>
    <xf numFmtId="175" fontId="204" fillId="32" borderId="73" xfId="0" applyNumberFormat="1" applyFont="1" applyFill="1" applyBorder="1"/>
    <xf numFmtId="0" fontId="204" fillId="32" borderId="74" xfId="0" applyFont="1" applyFill="1" applyBorder="1"/>
    <xf numFmtId="0" fontId="204" fillId="8" borderId="72" xfId="0" applyFont="1" applyFill="1" applyBorder="1" applyAlignment="1">
      <alignment horizontal="left"/>
    </xf>
    <xf numFmtId="0" fontId="204" fillId="8" borderId="73" xfId="0" applyFont="1" applyFill="1" applyBorder="1" applyAlignment="1">
      <alignment horizontal="center"/>
    </xf>
    <xf numFmtId="0" fontId="204" fillId="8" borderId="74" xfId="0" applyFont="1" applyFill="1" applyBorder="1" applyAlignment="1">
      <alignment horizontal="center"/>
    </xf>
    <xf numFmtId="0" fontId="199" fillId="11" borderId="60" xfId="0" applyFont="1" applyFill="1" applyBorder="1"/>
    <xf numFmtId="5" fontId="199" fillId="11" borderId="109" xfId="22" applyNumberFormat="1" applyFont="1" applyFill="1" applyBorder="1" applyAlignment="1">
      <alignment horizontal="center"/>
    </xf>
    <xf numFmtId="165" fontId="199" fillId="11" borderId="109" xfId="22" applyNumberFormat="1" applyFont="1" applyFill="1" applyBorder="1" applyAlignment="1">
      <alignment horizontal="center"/>
    </xf>
    <xf numFmtId="5" fontId="199" fillId="11" borderId="111" xfId="22" applyNumberFormat="1" applyFont="1" applyFill="1" applyBorder="1" applyAlignment="1">
      <alignment horizontal="center"/>
    </xf>
    <xf numFmtId="260" fontId="199" fillId="0" borderId="102" xfId="0" applyNumberFormat="1" applyFont="1" applyBorder="1" applyAlignment="1">
      <alignment horizontal="left"/>
    </xf>
    <xf numFmtId="5" fontId="199" fillId="0" borderId="113" xfId="22" applyNumberFormat="1" applyFont="1" applyBorder="1" applyAlignment="1">
      <alignment horizontal="center"/>
    </xf>
    <xf numFmtId="5" fontId="199" fillId="0" borderId="139" xfId="22" applyNumberFormat="1" applyFont="1" applyBorder="1" applyAlignment="1">
      <alignment horizontal="center"/>
    </xf>
    <xf numFmtId="5" fontId="199" fillId="0" borderId="99" xfId="22" applyNumberFormat="1" applyFont="1" applyBorder="1" applyAlignment="1">
      <alignment horizontal="center"/>
    </xf>
    <xf numFmtId="260" fontId="199" fillId="0" borderId="118" xfId="0" applyNumberFormat="1" applyFont="1" applyBorder="1" applyAlignment="1">
      <alignment horizontal="left"/>
    </xf>
    <xf numFmtId="5" fontId="198" fillId="0" borderId="113" xfId="22" applyNumberFormat="1" applyFont="1" applyBorder="1" applyAlignment="1">
      <alignment horizontal="center"/>
    </xf>
    <xf numFmtId="5" fontId="198" fillId="0" borderId="114" xfId="22" applyNumberFormat="1" applyFont="1" applyBorder="1" applyAlignment="1">
      <alignment horizontal="center"/>
    </xf>
    <xf numFmtId="5" fontId="198" fillId="0" borderId="118" xfId="22" applyNumberFormat="1" applyFont="1" applyBorder="1" applyAlignment="1">
      <alignment horizontal="center"/>
    </xf>
    <xf numFmtId="260" fontId="198" fillId="0" borderId="113" xfId="0" applyNumberFormat="1" applyFont="1" applyBorder="1" applyAlignment="1">
      <alignment horizontal="left"/>
    </xf>
    <xf numFmtId="5" fontId="199" fillId="0" borderId="118" xfId="22" applyNumberFormat="1" applyFont="1" applyBorder="1" applyAlignment="1">
      <alignment horizontal="center"/>
    </xf>
    <xf numFmtId="7" fontId="199" fillId="0" borderId="118" xfId="22" applyNumberFormat="1" applyFont="1" applyBorder="1" applyAlignment="1">
      <alignment horizontal="center"/>
    </xf>
    <xf numFmtId="5" fontId="198" fillId="0" borderId="140" xfId="22" applyNumberFormat="1" applyFont="1" applyBorder="1" applyAlignment="1">
      <alignment horizontal="center"/>
    </xf>
    <xf numFmtId="5" fontId="198" fillId="0" borderId="141" xfId="22" applyNumberFormat="1" applyFont="1" applyBorder="1" applyAlignment="1">
      <alignment horizontal="center"/>
    </xf>
    <xf numFmtId="5" fontId="198" fillId="3" borderId="138" xfId="22" applyNumberFormat="1" applyFont="1" applyFill="1" applyBorder="1" applyAlignment="1">
      <alignment horizontal="left"/>
    </xf>
    <xf numFmtId="5" fontId="198" fillId="3" borderId="135" xfId="22" applyNumberFormat="1" applyFont="1" applyFill="1" applyBorder="1" applyAlignment="1">
      <alignment horizontal="center"/>
    </xf>
    <xf numFmtId="165" fontId="198" fillId="3" borderId="136" xfId="22" applyNumberFormat="1" applyFont="1" applyFill="1" applyBorder="1" applyAlignment="1">
      <alignment horizontal="center"/>
    </xf>
    <xf numFmtId="5" fontId="198" fillId="3" borderId="142" xfId="22" applyNumberFormat="1" applyFont="1" applyFill="1" applyBorder="1" applyAlignment="1">
      <alignment horizontal="center"/>
    </xf>
    <xf numFmtId="0" fontId="197" fillId="0" borderId="109" xfId="0" applyFont="1" applyBorder="1" applyAlignment="1">
      <alignment horizontal="left"/>
    </xf>
    <xf numFmtId="5" fontId="197" fillId="0" borderId="109" xfId="0" applyNumberFormat="1" applyFont="1" applyBorder="1" applyAlignment="1">
      <alignment horizontal="center"/>
    </xf>
    <xf numFmtId="0" fontId="197" fillId="30" borderId="72" xfId="0" applyFont="1" applyFill="1" applyBorder="1"/>
    <xf numFmtId="166" fontId="197" fillId="30" borderId="73" xfId="0" applyNumberFormat="1" applyFont="1" applyFill="1" applyBorder="1" applyAlignment="1">
      <alignment horizontal="center"/>
    </xf>
    <xf numFmtId="165" fontId="197" fillId="30" borderId="73" xfId="0" applyNumberFormat="1" applyFont="1" applyFill="1" applyBorder="1" applyAlignment="1">
      <alignment horizontal="center"/>
    </xf>
    <xf numFmtId="0" fontId="204" fillId="8" borderId="81" xfId="2" applyFont="1" applyFill="1" applyBorder="1"/>
    <xf numFmtId="0" fontId="208" fillId="8" borderId="135" xfId="2" applyFont="1" applyFill="1" applyBorder="1" applyAlignment="1">
      <alignment horizontal="right" wrapText="1"/>
    </xf>
    <xf numFmtId="10" fontId="209" fillId="8" borderId="135" xfId="2" applyNumberFormat="1" applyFont="1" applyFill="1" applyBorder="1" applyAlignment="1">
      <alignment horizontal="center"/>
    </xf>
    <xf numFmtId="166" fontId="204" fillId="8" borderId="126" xfId="2" applyNumberFormat="1" applyFont="1" applyFill="1" applyBorder="1"/>
    <xf numFmtId="0" fontId="204" fillId="33" borderId="57" xfId="0" applyFont="1" applyFill="1" applyBorder="1" applyAlignment="1">
      <alignment horizontal="right"/>
    </xf>
    <xf numFmtId="175" fontId="204" fillId="33" borderId="57" xfId="0" applyNumberFormat="1" applyFont="1" applyFill="1" applyBorder="1" applyAlignment="1">
      <alignment horizontal="center"/>
    </xf>
    <xf numFmtId="0" fontId="199" fillId="0" borderId="82" xfId="0" applyFont="1" applyBorder="1" applyAlignment="1">
      <alignment wrapText="1"/>
    </xf>
    <xf numFmtId="267" fontId="199" fillId="0" borderId="118" xfId="0" applyNumberFormat="1" applyFont="1" applyBorder="1" applyAlignment="1">
      <alignment horizontal="center"/>
    </xf>
    <xf numFmtId="5" fontId="199" fillId="0" borderId="83" xfId="22" applyNumberFormat="1" applyFont="1" applyFill="1" applyBorder="1" applyAlignment="1">
      <alignment horizontal="center"/>
    </xf>
    <xf numFmtId="272" fontId="199" fillId="0" borderId="118" xfId="0" applyNumberFormat="1" applyFont="1" applyBorder="1" applyAlignment="1">
      <alignment horizontal="center"/>
    </xf>
    <xf numFmtId="5" fontId="199" fillId="0" borderId="109" xfId="22" applyNumberFormat="1" applyFont="1" applyFill="1" applyBorder="1" applyAlignment="1">
      <alignment horizontal="center"/>
    </xf>
    <xf numFmtId="261" fontId="200" fillId="0" borderId="118" xfId="0" applyNumberFormat="1" applyFont="1" applyBorder="1" applyAlignment="1">
      <alignment horizontal="center"/>
    </xf>
    <xf numFmtId="0" fontId="201" fillId="0" borderId="118" xfId="0" applyFont="1" applyBorder="1" applyAlignment="1">
      <alignment horizontal="center" wrapText="1"/>
    </xf>
    <xf numFmtId="5" fontId="200" fillId="0" borderId="109" xfId="22" applyNumberFormat="1" applyFont="1" applyFill="1" applyBorder="1" applyAlignment="1">
      <alignment horizontal="center"/>
    </xf>
    <xf numFmtId="0" fontId="201" fillId="0" borderId="118" xfId="0" applyFont="1" applyBorder="1" applyAlignment="1">
      <alignment horizontal="center"/>
    </xf>
    <xf numFmtId="5" fontId="200" fillId="0" borderId="118" xfId="22" applyNumberFormat="1" applyFont="1" applyFill="1" applyBorder="1" applyAlignment="1">
      <alignment horizontal="center"/>
    </xf>
    <xf numFmtId="263" fontId="200" fillId="0" borderId="118" xfId="0" applyNumberFormat="1" applyFont="1" applyBorder="1" applyAlignment="1">
      <alignment horizontal="center"/>
    </xf>
    <xf numFmtId="5" fontId="199" fillId="0" borderId="118" xfId="22" applyNumberFormat="1" applyFont="1" applyFill="1" applyBorder="1" applyAlignment="1">
      <alignment horizontal="center"/>
    </xf>
    <xf numFmtId="271" fontId="200" fillId="0" borderId="118" xfId="0" applyNumberFormat="1" applyFont="1" applyBorder="1" applyAlignment="1">
      <alignment horizontal="center"/>
    </xf>
    <xf numFmtId="5" fontId="201" fillId="0" borderId="118" xfId="22" applyNumberFormat="1" applyFont="1" applyFill="1" applyBorder="1" applyAlignment="1">
      <alignment horizontal="center"/>
    </xf>
    <xf numFmtId="10" fontId="201" fillId="0" borderId="118" xfId="1" applyNumberFormat="1" applyFont="1" applyBorder="1" applyAlignment="1">
      <alignment horizontal="center"/>
    </xf>
    <xf numFmtId="262" fontId="200" fillId="0" borderId="118" xfId="0" applyNumberFormat="1" applyFont="1" applyBorder="1" applyAlignment="1">
      <alignment horizontal="center"/>
    </xf>
    <xf numFmtId="268" fontId="200" fillId="0" borderId="118" xfId="0" applyNumberFormat="1" applyFont="1" applyBorder="1" applyAlignment="1">
      <alignment horizontal="center"/>
    </xf>
    <xf numFmtId="270" fontId="200" fillId="0" borderId="118" xfId="0" applyNumberFormat="1" applyFont="1" applyBorder="1" applyAlignment="1">
      <alignment horizontal="center"/>
    </xf>
    <xf numFmtId="265" fontId="200" fillId="0" borderId="118" xfId="0" applyNumberFormat="1" applyFont="1" applyBorder="1" applyAlignment="1">
      <alignment horizontal="center"/>
    </xf>
    <xf numFmtId="182" fontId="199" fillId="0" borderId="119" xfId="0" applyNumberFormat="1" applyFont="1" applyBorder="1"/>
    <xf numFmtId="276" fontId="200" fillId="0" borderId="118" xfId="0" applyNumberFormat="1" applyFont="1" applyBorder="1" applyAlignment="1">
      <alignment horizontal="center"/>
    </xf>
    <xf numFmtId="269" fontId="201" fillId="0" borderId="130" xfId="1" applyNumberFormat="1" applyFont="1" applyBorder="1" applyAlignment="1">
      <alignment horizontal="center"/>
    </xf>
    <xf numFmtId="5" fontId="200" fillId="0" borderId="130" xfId="22" applyNumberFormat="1" applyFont="1" applyFill="1" applyBorder="1" applyAlignment="1">
      <alignment horizontal="center"/>
    </xf>
    <xf numFmtId="5" fontId="199" fillId="0" borderId="130" xfId="22" applyNumberFormat="1" applyFont="1" applyBorder="1" applyAlignment="1">
      <alignment horizontal="center"/>
    </xf>
    <xf numFmtId="0" fontId="198" fillId="3" borderId="112" xfId="0" applyFont="1" applyFill="1" applyBorder="1"/>
    <xf numFmtId="0" fontId="201" fillId="3" borderId="112" xfId="0" applyFont="1" applyFill="1" applyBorder="1"/>
    <xf numFmtId="5" fontId="198" fillId="3" borderId="109" xfId="22" applyNumberFormat="1" applyFont="1" applyFill="1" applyBorder="1" applyAlignment="1">
      <alignment horizontal="center"/>
    </xf>
    <xf numFmtId="0" fontId="198" fillId="3" borderId="82" xfId="0" applyFont="1" applyFill="1" applyBorder="1"/>
    <xf numFmtId="167" fontId="198" fillId="3" borderId="84" xfId="1" applyNumberFormat="1" applyFont="1" applyFill="1" applyBorder="1" applyAlignment="1">
      <alignment horizontal="center"/>
    </xf>
    <xf numFmtId="0" fontId="198" fillId="3" borderId="119" xfId="0" applyFont="1" applyFill="1" applyBorder="1"/>
    <xf numFmtId="167" fontId="198" fillId="3" borderId="120" xfId="1" applyNumberFormat="1" applyFont="1" applyFill="1" applyBorder="1" applyAlignment="1">
      <alignment horizontal="center"/>
    </xf>
    <xf numFmtId="290" fontId="200" fillId="3" borderId="125" xfId="0" applyNumberFormat="1" applyFont="1" applyFill="1" applyBorder="1" applyAlignment="1">
      <alignment horizontal="left"/>
    </xf>
    <xf numFmtId="6" fontId="198" fillId="3" borderId="126" xfId="1" applyNumberFormat="1" applyFont="1" applyFill="1" applyBorder="1" applyAlignment="1">
      <alignment horizontal="center"/>
    </xf>
    <xf numFmtId="273" fontId="200" fillId="3" borderId="119" xfId="0" applyNumberFormat="1" applyFont="1" applyFill="1" applyBorder="1" applyAlignment="1">
      <alignment horizontal="left"/>
    </xf>
    <xf numFmtId="175" fontId="204" fillId="6" borderId="74" xfId="0" applyNumberFormat="1" applyFont="1" applyFill="1" applyBorder="1"/>
    <xf numFmtId="0" fontId="197" fillId="0" borderId="115" xfId="0" applyFont="1" applyBorder="1" applyAlignment="1">
      <alignment horizontal="left"/>
    </xf>
    <xf numFmtId="0" fontId="197" fillId="0" borderId="81" xfId="0" applyFont="1" applyBorder="1" applyAlignment="1">
      <alignment horizontal="center"/>
    </xf>
    <xf numFmtId="0" fontId="197" fillId="0" borderId="116" xfId="0" applyFont="1" applyBorder="1" applyAlignment="1">
      <alignment horizontal="center"/>
    </xf>
    <xf numFmtId="0" fontId="197" fillId="0" borderId="109" xfId="0" applyFont="1" applyBorder="1" applyAlignment="1">
      <alignment horizontal="right"/>
    </xf>
    <xf numFmtId="6" fontId="197" fillId="0" borderId="109" xfId="0" applyNumberFormat="1" applyFont="1" applyBorder="1" applyAlignment="1">
      <alignment horizontal="center" vertical="center"/>
    </xf>
    <xf numFmtId="6" fontId="197" fillId="0" borderId="118" xfId="0" applyNumberFormat="1" applyFont="1" applyBorder="1" applyAlignment="1">
      <alignment horizontal="center" vertical="center"/>
    </xf>
    <xf numFmtId="180" fontId="198" fillId="0" borderId="60" xfId="0" applyNumberFormat="1" applyFont="1" applyBorder="1" applyAlignment="1">
      <alignment horizontal="right"/>
    </xf>
    <xf numFmtId="5" fontId="199" fillId="0" borderId="109" xfId="22" applyNumberFormat="1" applyFont="1" applyBorder="1" applyAlignment="1">
      <alignment horizontal="center" vertical="center"/>
    </xf>
    <xf numFmtId="5" fontId="199" fillId="0" borderId="111" xfId="22" applyNumberFormat="1" applyFont="1" applyBorder="1" applyAlignment="1">
      <alignment horizontal="center" vertical="center"/>
    </xf>
    <xf numFmtId="181" fontId="199" fillId="0" borderId="129" xfId="0" applyNumberFormat="1" applyFont="1" applyBorder="1" applyAlignment="1">
      <alignment horizontal="right"/>
    </xf>
    <xf numFmtId="5" fontId="199" fillId="0" borderId="131" xfId="22" applyNumberFormat="1" applyFont="1" applyBorder="1" applyAlignment="1">
      <alignment horizontal="center" vertical="center"/>
    </xf>
    <xf numFmtId="0" fontId="198" fillId="0" borderId="60" xfId="0" applyFont="1" applyBorder="1" applyAlignment="1">
      <alignment horizontal="right"/>
    </xf>
    <xf numFmtId="5" fontId="198" fillId="0" borderId="109" xfId="0" applyNumberFormat="1" applyFont="1" applyBorder="1" applyAlignment="1">
      <alignment horizontal="center" vertical="center"/>
    </xf>
    <xf numFmtId="5" fontId="198" fillId="0" borderId="111" xfId="0" applyNumberFormat="1" applyFont="1" applyBorder="1" applyAlignment="1">
      <alignment horizontal="center" vertical="center"/>
    </xf>
    <xf numFmtId="0" fontId="204" fillId="0" borderId="115" xfId="0" applyFont="1" applyBorder="1" applyAlignment="1">
      <alignment horizontal="center"/>
    </xf>
    <xf numFmtId="0" fontId="204" fillId="0" borderId="81" xfId="0" applyFont="1" applyBorder="1" applyAlignment="1">
      <alignment horizontal="center"/>
    </xf>
    <xf numFmtId="0" fontId="204" fillId="0" borderId="116" xfId="0" applyFont="1" applyBorder="1" applyAlignment="1">
      <alignment horizontal="center"/>
    </xf>
    <xf numFmtId="0" fontId="197" fillId="0" borderId="91" xfId="0" applyFont="1" applyBorder="1" applyAlignment="1">
      <alignment horizontal="center"/>
    </xf>
    <xf numFmtId="0" fontId="199" fillId="0" borderId="88" xfId="0" applyFont="1" applyBorder="1"/>
    <xf numFmtId="37" fontId="199" fillId="0" borderId="89" xfId="22" applyNumberFormat="1" applyFont="1" applyBorder="1" applyAlignment="1">
      <alignment horizontal="center"/>
    </xf>
    <xf numFmtId="37" fontId="199" fillId="0" borderId="89" xfId="22" applyNumberFormat="1" applyFont="1" applyBorder="1"/>
    <xf numFmtId="173" fontId="200" fillId="0" borderId="143" xfId="0" applyNumberFormat="1" applyFont="1" applyBorder="1" applyAlignment="1" applyProtection="1">
      <alignment horizontal="left"/>
      <protection locked="0"/>
    </xf>
    <xf numFmtId="5" fontId="199" fillId="0" borderId="144" xfId="22" applyNumberFormat="1" applyFont="1" applyBorder="1" applyAlignment="1">
      <alignment horizontal="center"/>
    </xf>
    <xf numFmtId="37" fontId="199" fillId="0" borderId="144" xfId="22" applyNumberFormat="1" applyFont="1" applyBorder="1"/>
    <xf numFmtId="0" fontId="199" fillId="0" borderId="115" xfId="0" applyFont="1" applyBorder="1"/>
    <xf numFmtId="37" fontId="199" fillId="0" borderId="142" xfId="22" applyNumberFormat="1" applyFont="1" applyBorder="1" applyAlignment="1">
      <alignment horizontal="center"/>
    </xf>
    <xf numFmtId="37" fontId="199" fillId="0" borderId="142" xfId="22" applyNumberFormat="1" applyFont="1" applyBorder="1"/>
    <xf numFmtId="0" fontId="199" fillId="0" borderId="143" xfId="0" applyFont="1" applyBorder="1"/>
    <xf numFmtId="37" fontId="199" fillId="0" borderId="144" xfId="22" applyNumberFormat="1" applyFont="1" applyBorder="1" applyAlignment="1">
      <alignment horizontal="center"/>
    </xf>
    <xf numFmtId="166" fontId="198" fillId="0" borderId="142" xfId="22" applyNumberFormat="1" applyFont="1" applyBorder="1" applyAlignment="1">
      <alignment horizontal="center"/>
    </xf>
    <xf numFmtId="166" fontId="198" fillId="0" borderId="142" xfId="22" applyNumberFormat="1" applyFont="1" applyBorder="1"/>
    <xf numFmtId="0" fontId="199" fillId="0" borderId="145" xfId="0" applyFont="1" applyBorder="1" applyAlignment="1">
      <alignment horizontal="right"/>
    </xf>
    <xf numFmtId="166" fontId="201" fillId="0" borderId="146" xfId="18" applyNumberFormat="1" applyFont="1" applyBorder="1" applyAlignment="1">
      <alignment horizontal="center"/>
    </xf>
    <xf numFmtId="166" fontId="201" fillId="0" borderId="147" xfId="0" applyNumberFormat="1" applyFont="1" applyBorder="1" applyAlignment="1">
      <alignment horizontal="right"/>
    </xf>
    <xf numFmtId="166" fontId="201" fillId="0" borderId="137" xfId="0" applyNumberFormat="1" applyFont="1" applyBorder="1" applyAlignment="1">
      <alignment horizontal="center"/>
    </xf>
    <xf numFmtId="0" fontId="204" fillId="6" borderId="57" xfId="0" applyFont="1" applyFill="1" applyBorder="1" applyAlignment="1">
      <alignment horizontal="left"/>
    </xf>
    <xf numFmtId="0" fontId="204" fillId="0" borderId="142" xfId="0" applyFont="1" applyBorder="1" applyAlignment="1">
      <alignment horizontal="center"/>
    </xf>
    <xf numFmtId="0" fontId="199" fillId="0" borderId="145" xfId="0" applyFont="1" applyBorder="1"/>
    <xf numFmtId="171" fontId="199" fillId="0" borderId="146" xfId="1" applyNumberFormat="1" applyFont="1" applyFill="1" applyBorder="1" applyAlignment="1">
      <alignment horizontal="center"/>
    </xf>
    <xf numFmtId="0" fontId="198" fillId="0" borderId="145" xfId="0" applyFont="1" applyBorder="1"/>
    <xf numFmtId="9" fontId="198" fillId="0" borderId="146" xfId="0" applyNumberFormat="1" applyFont="1" applyBorder="1" applyAlignment="1">
      <alignment horizontal="center"/>
    </xf>
    <xf numFmtId="9" fontId="199" fillId="0" borderId="146" xfId="0" applyNumberFormat="1" applyFont="1" applyBorder="1" applyAlignment="1">
      <alignment horizontal="center"/>
    </xf>
    <xf numFmtId="10" fontId="199" fillId="0" borderId="146" xfId="0" applyNumberFormat="1" applyFont="1" applyBorder="1" applyAlignment="1">
      <alignment horizontal="center"/>
    </xf>
    <xf numFmtId="0" fontId="23" fillId="9" borderId="106" xfId="1347" applyFont="1" applyFill="1" applyBorder="1" applyAlignment="1">
      <alignment horizontal="center"/>
    </xf>
    <xf numFmtId="14" fontId="23" fillId="9" borderId="125" xfId="0" applyNumberFormat="1" applyFont="1" applyFill="1" applyBorder="1" applyAlignment="1">
      <alignment horizontal="right" vertical="center"/>
    </xf>
    <xf numFmtId="14" fontId="23" fillId="9" borderId="124" xfId="1347" applyNumberFormat="1" applyFont="1" applyFill="1" applyBorder="1"/>
    <xf numFmtId="14" fontId="23" fillId="9" borderId="124" xfId="1347" applyNumberFormat="1" applyFont="1" applyFill="1" applyBorder="1" applyAlignment="1">
      <alignment horizontal="center"/>
    </xf>
    <xf numFmtId="14" fontId="23" fillId="9" borderId="148" xfId="1347" applyNumberFormat="1" applyFont="1" applyFill="1" applyBorder="1"/>
    <xf numFmtId="0" fontId="23" fillId="9" borderId="149" xfId="1347" applyFont="1" applyFill="1" applyBorder="1" applyAlignment="1">
      <alignment horizontal="center"/>
    </xf>
    <xf numFmtId="14" fontId="23" fillId="9" borderId="150" xfId="1347" applyNumberFormat="1" applyFont="1" applyFill="1" applyBorder="1"/>
    <xf numFmtId="0" fontId="183" fillId="0" borderId="106" xfId="0" applyFont="1" applyBorder="1"/>
    <xf numFmtId="0" fontId="183" fillId="0" borderId="116" xfId="0" applyFont="1" applyBorder="1" applyAlignment="1">
      <alignment horizontal="center" vertical="center"/>
    </xf>
    <xf numFmtId="0" fontId="183" fillId="0" borderId="109" xfId="0" applyFont="1" applyBorder="1" applyAlignment="1">
      <alignment horizontal="center"/>
    </xf>
    <xf numFmtId="292" fontId="183" fillId="0" borderId="109" xfId="0" applyNumberFormat="1" applyFont="1" applyBorder="1" applyAlignment="1">
      <alignment horizontal="center"/>
    </xf>
    <xf numFmtId="172" fontId="180" fillId="0" borderId="118" xfId="0" applyNumberFormat="1" applyFont="1" applyBorder="1"/>
    <xf numFmtId="172" fontId="180" fillId="0" borderId="118" xfId="0" applyNumberFormat="1" applyFont="1" applyBorder="1" applyAlignment="1">
      <alignment horizontal="center"/>
    </xf>
    <xf numFmtId="0" fontId="180" fillId="9" borderId="72" xfId="0" applyFont="1" applyFill="1" applyBorder="1"/>
    <xf numFmtId="10" fontId="180" fillId="9" borderId="85" xfId="0" applyNumberFormat="1" applyFont="1" applyFill="1" applyBorder="1"/>
    <xf numFmtId="167" fontId="190" fillId="9" borderId="135" xfId="0" applyNumberFormat="1" applyFont="1" applyFill="1" applyBorder="1"/>
    <xf numFmtId="167" fontId="23" fillId="9" borderId="112" xfId="0" applyNumberFormat="1" applyFont="1" applyFill="1" applyBorder="1"/>
    <xf numFmtId="167" fontId="182" fillId="9" borderId="112" xfId="0" applyNumberFormat="1" applyFont="1" applyFill="1" applyBorder="1"/>
    <xf numFmtId="9" fontId="23" fillId="0" borderId="112" xfId="0" applyNumberFormat="1" applyFont="1" applyBorder="1" applyAlignment="1">
      <alignment horizontal="center"/>
    </xf>
    <xf numFmtId="38" fontId="180" fillId="0" borderId="118" xfId="0" applyNumberFormat="1" applyFont="1" applyBorder="1"/>
    <xf numFmtId="5" fontId="187" fillId="0" borderId="118" xfId="0" applyNumberFormat="1" applyFont="1" applyBorder="1"/>
    <xf numFmtId="5" fontId="180" fillId="0" borderId="118" xfId="0" applyNumberFormat="1" applyFont="1" applyBorder="1"/>
    <xf numFmtId="5" fontId="190" fillId="0" borderId="118" xfId="0" applyNumberFormat="1" applyFont="1" applyBorder="1"/>
    <xf numFmtId="0" fontId="187" fillId="0" borderId="118" xfId="0" applyFont="1" applyBorder="1"/>
    <xf numFmtId="5" fontId="182" fillId="0" borderId="118" xfId="0" applyNumberFormat="1" applyFont="1" applyBorder="1"/>
    <xf numFmtId="38" fontId="182" fillId="0" borderId="118" xfId="0" applyNumberFormat="1" applyFont="1" applyBorder="1"/>
    <xf numFmtId="38" fontId="187" fillId="0" borderId="118" xfId="0" applyNumberFormat="1" applyFont="1" applyBorder="1"/>
    <xf numFmtId="6" fontId="187" fillId="0" borderId="118" xfId="0" applyNumberFormat="1" applyFont="1" applyBorder="1"/>
    <xf numFmtId="166" fontId="180" fillId="0" borderId="118" xfId="0" applyNumberFormat="1" applyFont="1" applyBorder="1"/>
    <xf numFmtId="5" fontId="187" fillId="0" borderId="118" xfId="0" applyNumberFormat="1" applyFont="1" applyBorder="1" applyAlignment="1">
      <alignment horizontal="center" wrapText="1"/>
    </xf>
    <xf numFmtId="38" fontId="180" fillId="0" borderId="130" xfId="0" applyNumberFormat="1" applyFont="1" applyBorder="1"/>
    <xf numFmtId="5" fontId="187" fillId="0" borderId="130" xfId="0" applyNumberFormat="1" applyFont="1" applyBorder="1"/>
    <xf numFmtId="5" fontId="180" fillId="0" borderId="130" xfId="0" applyNumberFormat="1" applyFont="1" applyBorder="1"/>
    <xf numFmtId="5" fontId="183" fillId="0" borderId="109" xfId="0" applyNumberFormat="1" applyFont="1" applyBorder="1"/>
    <xf numFmtId="0" fontId="180" fillId="0" borderId="125" xfId="0" applyFont="1" applyBorder="1"/>
    <xf numFmtId="6" fontId="180" fillId="0" borderId="148" xfId="0" applyNumberFormat="1" applyFont="1" applyBorder="1"/>
    <xf numFmtId="0" fontId="180" fillId="0" borderId="118" xfId="0" applyFont="1" applyBorder="1"/>
    <xf numFmtId="0" fontId="180" fillId="0" borderId="114" xfId="0" applyFont="1" applyBorder="1"/>
    <xf numFmtId="0" fontId="180" fillId="0" borderId="113" xfId="0" applyFont="1" applyBorder="1"/>
    <xf numFmtId="6" fontId="180" fillId="0" borderId="145" xfId="0" applyNumberFormat="1" applyFont="1" applyBorder="1"/>
    <xf numFmtId="5" fontId="180" fillId="0" borderId="114" xfId="0" applyNumberFormat="1" applyFont="1" applyBorder="1"/>
    <xf numFmtId="5" fontId="180" fillId="4" borderId="114" xfId="0" applyNumberFormat="1" applyFont="1" applyFill="1" applyBorder="1"/>
    <xf numFmtId="5" fontId="180" fillId="4" borderId="118" xfId="0" applyNumberFormat="1" applyFont="1" applyFill="1" applyBorder="1"/>
    <xf numFmtId="0" fontId="180" fillId="0" borderId="147" xfId="0" applyFont="1" applyBorder="1"/>
    <xf numFmtId="6" fontId="180" fillId="0" borderId="137" xfId="0" applyNumberFormat="1" applyFont="1" applyBorder="1"/>
    <xf numFmtId="0" fontId="183" fillId="4" borderId="113" xfId="0" applyFont="1" applyFill="1" applyBorder="1" applyAlignment="1">
      <alignment horizontal="center"/>
    </xf>
    <xf numFmtId="0" fontId="183" fillId="4" borderId="114" xfId="0" applyFont="1" applyFill="1" applyBorder="1" applyAlignment="1">
      <alignment horizontal="center"/>
    </xf>
    <xf numFmtId="6" fontId="180" fillId="4" borderId="118" xfId="0" applyNumberFormat="1" applyFont="1" applyFill="1" applyBorder="1"/>
    <xf numFmtId="166" fontId="180" fillId="4" borderId="118" xfId="0" applyNumberFormat="1" applyFont="1" applyFill="1" applyBorder="1"/>
    <xf numFmtId="0" fontId="180" fillId="4" borderId="118" xfId="0" applyFont="1" applyFill="1" applyBorder="1"/>
    <xf numFmtId="37" fontId="183" fillId="4" borderId="118" xfId="0" applyNumberFormat="1" applyFont="1" applyFill="1" applyBorder="1"/>
    <xf numFmtId="37" fontId="183" fillId="0" borderId="114" xfId="0" applyNumberFormat="1" applyFont="1" applyBorder="1"/>
    <xf numFmtId="5" fontId="180" fillId="0" borderId="145" xfId="0" applyNumberFormat="1" applyFont="1" applyBorder="1"/>
    <xf numFmtId="5" fontId="180" fillId="0" borderId="100" xfId="0" applyNumberFormat="1" applyFont="1" applyBorder="1"/>
    <xf numFmtId="5" fontId="183" fillId="0" borderId="100" xfId="0" applyNumberFormat="1" applyFont="1" applyBorder="1"/>
    <xf numFmtId="37" fontId="183" fillId="0" borderId="118" xfId="0" applyNumberFormat="1" applyFont="1" applyBorder="1"/>
    <xf numFmtId="10" fontId="180" fillId="0" borderId="145" xfId="0" applyNumberFormat="1" applyFont="1" applyBorder="1"/>
    <xf numFmtId="5" fontId="183" fillId="4" borderId="118" xfId="0" applyNumberFormat="1" applyFont="1" applyFill="1" applyBorder="1"/>
    <xf numFmtId="5" fontId="183" fillId="0" borderId="118" xfId="0" applyNumberFormat="1" applyFont="1" applyBorder="1"/>
    <xf numFmtId="10" fontId="183" fillId="0" borderId="113" xfId="0" applyNumberFormat="1" applyFont="1" applyBorder="1"/>
    <xf numFmtId="0" fontId="183" fillId="4" borderId="118" xfId="0" applyFont="1" applyFill="1" applyBorder="1" applyAlignment="1">
      <alignment horizontal="center" wrapText="1"/>
    </xf>
    <xf numFmtId="0" fontId="183" fillId="4" borderId="118" xfId="0" applyFont="1" applyFill="1" applyBorder="1" applyAlignment="1">
      <alignment horizontal="center" vertical="center" wrapText="1"/>
    </xf>
    <xf numFmtId="0" fontId="183" fillId="0" borderId="118" xfId="0" applyFont="1" applyBorder="1" applyAlignment="1">
      <alignment horizontal="center" wrapText="1"/>
    </xf>
    <xf numFmtId="0" fontId="183" fillId="4" borderId="96" xfId="0" applyFont="1" applyFill="1" applyBorder="1" applyAlignment="1">
      <alignment horizontal="center"/>
    </xf>
    <xf numFmtId="175" fontId="181" fillId="34" borderId="128" xfId="0" applyNumberFormat="1" applyFont="1" applyFill="1" applyBorder="1" applyAlignment="1">
      <alignment horizontal="center"/>
    </xf>
    <xf numFmtId="167" fontId="190" fillId="0" borderId="118" xfId="1" applyNumberFormat="1" applyFont="1" applyBorder="1" applyAlignment="1">
      <alignment horizontal="center"/>
    </xf>
    <xf numFmtId="0" fontId="23" fillId="0" borderId="118" xfId="2" applyFont="1" applyBorder="1"/>
    <xf numFmtId="0" fontId="15" fillId="0" borderId="118" xfId="2" applyFont="1" applyBorder="1"/>
    <xf numFmtId="38" fontId="190" fillId="0" borderId="118" xfId="22" applyNumberFormat="1" applyFont="1" applyBorder="1" applyAlignment="1">
      <alignment horizontal="center"/>
    </xf>
    <xf numFmtId="8" fontId="23" fillId="0" borderId="118" xfId="0" applyNumberFormat="1" applyFont="1" applyBorder="1" applyAlignment="1">
      <alignment horizontal="center"/>
    </xf>
    <xf numFmtId="164" fontId="15" fillId="0" borderId="118" xfId="22" applyNumberFormat="1" applyFont="1" applyBorder="1" applyAlignment="1">
      <alignment horizontal="center"/>
    </xf>
    <xf numFmtId="178" fontId="15" fillId="0" borderId="60" xfId="0" applyNumberFormat="1" applyFont="1" applyBorder="1" applyAlignment="1">
      <alignment horizontal="left"/>
    </xf>
    <xf numFmtId="38" fontId="182" fillId="0" borderId="109" xfId="22" applyNumberFormat="1" applyFont="1" applyBorder="1" applyAlignment="1">
      <alignment horizontal="center"/>
    </xf>
    <xf numFmtId="8" fontId="182" fillId="0" borderId="118" xfId="0" applyNumberFormat="1" applyFont="1" applyBorder="1" applyAlignment="1">
      <alignment horizontal="center"/>
    </xf>
    <xf numFmtId="38" fontId="182" fillId="0" borderId="118" xfId="22" applyNumberFormat="1" applyFont="1" applyBorder="1" applyAlignment="1">
      <alignment horizontal="center"/>
    </xf>
    <xf numFmtId="38" fontId="15" fillId="0" borderId="118" xfId="22" applyNumberFormat="1" applyFont="1" applyBorder="1" applyAlignment="1">
      <alignment horizontal="center"/>
    </xf>
    <xf numFmtId="8" fontId="180" fillId="0" borderId="118" xfId="0" applyNumberFormat="1" applyFont="1" applyBorder="1" applyAlignment="1">
      <alignment horizontal="center"/>
    </xf>
    <xf numFmtId="164" fontId="15" fillId="0" borderId="100" xfId="22" applyNumberFormat="1" applyFont="1" applyBorder="1" applyAlignment="1">
      <alignment horizontal="center"/>
    </xf>
    <xf numFmtId="6" fontId="183" fillId="0" borderId="118" xfId="0" applyNumberFormat="1" applyFont="1" applyBorder="1" applyAlignment="1">
      <alignment horizontal="center"/>
    </xf>
    <xf numFmtId="0" fontId="15" fillId="4" borderId="135" xfId="0" applyFont="1" applyFill="1" applyBorder="1"/>
    <xf numFmtId="168" fontId="15" fillId="0" borderId="109" xfId="22" applyNumberFormat="1" applyFont="1" applyFill="1" applyBorder="1" applyAlignment="1">
      <alignment horizontal="center"/>
    </xf>
    <xf numFmtId="177" fontId="23" fillId="0" borderId="109" xfId="22" applyNumberFormat="1" applyFont="1" applyFill="1" applyBorder="1" applyAlignment="1">
      <alignment horizontal="center" vertical="center"/>
    </xf>
    <xf numFmtId="165" fontId="23" fillId="0" borderId="109" xfId="2" applyNumberFormat="1" applyFont="1" applyBorder="1" applyAlignment="1">
      <alignment horizontal="center"/>
    </xf>
    <xf numFmtId="0" fontId="24" fillId="0" borderId="119" xfId="14" applyFont="1" applyBorder="1"/>
    <xf numFmtId="3" fontId="190" fillId="0" borderId="118" xfId="14" applyNumberFormat="1" applyFont="1" applyBorder="1" applyAlignment="1">
      <alignment horizontal="center"/>
    </xf>
    <xf numFmtId="6" fontId="15" fillId="0" borderId="118" xfId="0" applyNumberFormat="1" applyFont="1" applyBorder="1"/>
    <xf numFmtId="0" fontId="24" fillId="0" borderId="129" xfId="14" applyFont="1" applyBorder="1"/>
    <xf numFmtId="3" fontId="190" fillId="0" borderId="130" xfId="14" applyNumberFormat="1" applyFont="1" applyBorder="1" applyAlignment="1">
      <alignment horizontal="center"/>
    </xf>
    <xf numFmtId="8" fontId="23" fillId="0" borderId="118" xfId="0" applyNumberFormat="1" applyFont="1" applyBorder="1"/>
    <xf numFmtId="6" fontId="15" fillId="0" borderId="130" xfId="0" applyNumberFormat="1" applyFont="1" applyBorder="1"/>
    <xf numFmtId="3" fontId="15" fillId="0" borderId="112" xfId="0" applyNumberFormat="1" applyFont="1" applyBorder="1" applyAlignment="1">
      <alignment horizontal="center"/>
    </xf>
    <xf numFmtId="8" fontId="15" fillId="0" borderId="109" xfId="0" applyNumberFormat="1" applyFont="1" applyBorder="1"/>
    <xf numFmtId="6" fontId="15" fillId="0" borderId="109" xfId="0" applyNumberFormat="1" applyFont="1" applyBorder="1"/>
    <xf numFmtId="0" fontId="181" fillId="8" borderId="85" xfId="0" applyFont="1" applyFill="1" applyBorder="1"/>
    <xf numFmtId="3" fontId="181" fillId="8" borderId="86" xfId="0" applyNumberFormat="1" applyFont="1" applyFill="1" applyBorder="1"/>
    <xf numFmtId="3" fontId="190" fillId="0" borderId="120" xfId="0" applyNumberFormat="1" applyFont="1" applyBorder="1"/>
    <xf numFmtId="0" fontId="15" fillId="0" borderId="138" xfId="0" applyFont="1" applyBorder="1"/>
    <xf numFmtId="3" fontId="15" fillId="0" borderId="136" xfId="0" applyNumberFormat="1" applyFont="1" applyBorder="1"/>
    <xf numFmtId="0" fontId="181" fillId="8" borderId="85" xfId="0" applyFont="1" applyFill="1" applyBorder="1" applyAlignment="1">
      <alignment horizontal="center"/>
    </xf>
    <xf numFmtId="0" fontId="15" fillId="0" borderId="119" xfId="0" applyFont="1" applyBorder="1" applyAlignment="1">
      <alignment horizontal="right"/>
    </xf>
    <xf numFmtId="168" fontId="15" fillId="0" borderId="120" xfId="22" applyNumberFormat="1" applyFont="1" applyFill="1" applyBorder="1" applyAlignment="1">
      <alignment horizontal="center"/>
    </xf>
    <xf numFmtId="284" fontId="15" fillId="0" borderId="119" xfId="0" applyNumberFormat="1" applyFont="1" applyBorder="1" applyAlignment="1">
      <alignment horizontal="right"/>
    </xf>
    <xf numFmtId="281" fontId="15" fillId="0" borderId="119" xfId="0" applyNumberFormat="1" applyFont="1" applyBorder="1" applyAlignment="1">
      <alignment horizontal="right"/>
    </xf>
    <xf numFmtId="280" fontId="15" fillId="0" borderId="125" xfId="0" applyNumberFormat="1" applyFont="1" applyBorder="1"/>
    <xf numFmtId="168" fontId="15" fillId="0" borderId="126" xfId="22" applyNumberFormat="1" applyFont="1" applyFill="1" applyBorder="1" applyAlignment="1">
      <alignment horizontal="center"/>
    </xf>
    <xf numFmtId="0" fontId="181" fillId="32" borderId="72" xfId="0" applyFont="1" applyFill="1" applyBorder="1" applyAlignment="1">
      <alignment horizontal="center"/>
    </xf>
    <xf numFmtId="0" fontId="181" fillId="32" borderId="73" xfId="0" applyFont="1" applyFill="1" applyBorder="1" applyAlignment="1">
      <alignment horizontal="center"/>
    </xf>
    <xf numFmtId="0" fontId="181" fillId="32" borderId="74" xfId="0" applyFont="1" applyFill="1" applyBorder="1" applyAlignment="1">
      <alignment horizontal="center"/>
    </xf>
    <xf numFmtId="0" fontId="181" fillId="8" borderId="72" xfId="0" applyFont="1" applyFill="1" applyBorder="1" applyAlignment="1">
      <alignment horizontal="left"/>
    </xf>
    <xf numFmtId="0" fontId="181" fillId="8" borderId="73" xfId="0" applyFont="1" applyFill="1" applyBorder="1" applyAlignment="1">
      <alignment horizontal="center"/>
    </xf>
    <xf numFmtId="0" fontId="181" fillId="8" borderId="74" xfId="0" applyFont="1" applyFill="1" applyBorder="1" applyAlignment="1">
      <alignment horizontal="center"/>
    </xf>
    <xf numFmtId="0" fontId="15" fillId="0" borderId="88" xfId="0" applyFont="1" applyBorder="1"/>
    <xf numFmtId="5" fontId="15" fillId="11" borderId="109" xfId="22" applyNumberFormat="1" applyFont="1" applyFill="1" applyBorder="1" applyAlignment="1">
      <alignment horizontal="center"/>
    </xf>
    <xf numFmtId="7" fontId="15" fillId="11" borderId="109" xfId="22" applyNumberFormat="1" applyFont="1" applyFill="1" applyBorder="1" applyAlignment="1">
      <alignment horizontal="center"/>
    </xf>
    <xf numFmtId="5" fontId="15" fillId="11" borderId="111" xfId="22" applyNumberFormat="1" applyFont="1" applyFill="1" applyBorder="1" applyAlignment="1">
      <alignment horizontal="center"/>
    </xf>
    <xf numFmtId="173" fontId="15" fillId="0" borderId="143" xfId="0" applyNumberFormat="1" applyFont="1" applyBorder="1" applyAlignment="1" applyProtection="1">
      <alignment horizontal="left"/>
      <protection locked="0"/>
    </xf>
    <xf numFmtId="5" fontId="15" fillId="0" borderId="99" xfId="22" applyNumberFormat="1" applyFont="1" applyBorder="1" applyAlignment="1">
      <alignment horizontal="center"/>
    </xf>
    <xf numFmtId="0" fontId="15" fillId="0" borderId="115" xfId="0" applyFont="1" applyBorder="1" applyAlignment="1">
      <alignment horizontal="right"/>
    </xf>
    <xf numFmtId="166" fontId="181" fillId="8" borderId="126" xfId="2" applyNumberFormat="1" applyFont="1" applyFill="1" applyBorder="1"/>
    <xf numFmtId="0" fontId="181" fillId="33" borderId="57" xfId="0" applyFont="1" applyFill="1" applyBorder="1" applyAlignment="1">
      <alignment horizontal="right"/>
    </xf>
    <xf numFmtId="175" fontId="181" fillId="33" borderId="57" xfId="0" applyNumberFormat="1" applyFont="1" applyFill="1" applyBorder="1" applyAlignment="1">
      <alignment horizontal="center"/>
    </xf>
    <xf numFmtId="0" fontId="181" fillId="33" borderId="57" xfId="0" applyFont="1" applyFill="1" applyBorder="1" applyAlignment="1">
      <alignment horizontal="center"/>
    </xf>
    <xf numFmtId="286" fontId="182" fillId="0" borderId="118" xfId="0" applyNumberFormat="1" applyFont="1" applyBorder="1" applyAlignment="1">
      <alignment horizontal="center"/>
    </xf>
    <xf numFmtId="5" fontId="15" fillId="0" borderId="83" xfId="22" applyNumberFormat="1" applyFont="1" applyFill="1" applyBorder="1" applyAlignment="1">
      <alignment horizontal="center"/>
    </xf>
    <xf numFmtId="5" fontId="15" fillId="0" borderId="118" xfId="22" applyNumberFormat="1" applyFont="1" applyBorder="1" applyAlignment="1">
      <alignment horizontal="center"/>
    </xf>
    <xf numFmtId="272" fontId="182" fillId="0" borderId="118" xfId="0" applyNumberFormat="1" applyFont="1" applyBorder="1" applyAlignment="1">
      <alignment horizontal="center"/>
    </xf>
    <xf numFmtId="5" fontId="15" fillId="0" borderId="109" xfId="22" applyNumberFormat="1" applyFont="1" applyFill="1" applyBorder="1" applyAlignment="1">
      <alignment horizontal="center"/>
    </xf>
    <xf numFmtId="261" fontId="182" fillId="0" borderId="118" xfId="0" applyNumberFormat="1" applyFont="1" applyBorder="1" applyAlignment="1">
      <alignment horizontal="center"/>
    </xf>
    <xf numFmtId="261" fontId="190" fillId="0" borderId="118" xfId="0" applyNumberFormat="1" applyFont="1" applyBorder="1" applyAlignment="1">
      <alignment horizontal="center"/>
    </xf>
    <xf numFmtId="0" fontId="180" fillId="0" borderId="118" xfId="0" applyFont="1" applyBorder="1" applyAlignment="1">
      <alignment horizontal="center" wrapText="1"/>
    </xf>
    <xf numFmtId="5" fontId="182" fillId="0" borderId="109" xfId="22" applyNumberFormat="1" applyFont="1" applyFill="1" applyBorder="1" applyAlignment="1">
      <alignment horizontal="center"/>
    </xf>
    <xf numFmtId="0" fontId="180" fillId="0" borderId="118" xfId="0" applyFont="1" applyBorder="1" applyAlignment="1">
      <alignment horizontal="center"/>
    </xf>
    <xf numFmtId="5" fontId="182" fillId="0" borderId="118" xfId="22" applyNumberFormat="1" applyFont="1" applyFill="1" applyBorder="1" applyAlignment="1">
      <alignment horizontal="center"/>
    </xf>
    <xf numFmtId="263" fontId="182" fillId="0" borderId="118" xfId="0" applyNumberFormat="1" applyFont="1" applyBorder="1" applyAlignment="1">
      <alignment horizontal="center"/>
    </xf>
    <xf numFmtId="5" fontId="15" fillId="0" borderId="118" xfId="22" applyNumberFormat="1" applyFont="1" applyFill="1" applyBorder="1" applyAlignment="1">
      <alignment horizontal="center"/>
    </xf>
    <xf numFmtId="271" fontId="182" fillId="0" borderId="118" xfId="0" applyNumberFormat="1" applyFont="1" applyBorder="1" applyAlignment="1">
      <alignment horizontal="center"/>
    </xf>
    <xf numFmtId="5" fontId="180" fillId="0" borderId="118" xfId="22" applyNumberFormat="1" applyFont="1" applyFill="1" applyBorder="1" applyAlignment="1">
      <alignment horizontal="center"/>
    </xf>
    <xf numFmtId="10" fontId="180" fillId="0" borderId="118" xfId="1" applyNumberFormat="1" applyFont="1" applyBorder="1" applyAlignment="1">
      <alignment horizontal="center"/>
    </xf>
    <xf numFmtId="262" fontId="182" fillId="0" borderId="118" xfId="0" applyNumberFormat="1" applyFont="1" applyBorder="1" applyAlignment="1">
      <alignment horizontal="center"/>
    </xf>
    <xf numFmtId="268" fontId="182" fillId="0" borderId="118" xfId="0" applyNumberFormat="1" applyFont="1" applyBorder="1" applyAlignment="1">
      <alignment horizontal="center"/>
    </xf>
    <xf numFmtId="270" fontId="182" fillId="0" borderId="118" xfId="0" applyNumberFormat="1" applyFont="1" applyBorder="1" applyAlignment="1">
      <alignment horizontal="center"/>
    </xf>
    <xf numFmtId="265" fontId="182" fillId="0" borderId="118" xfId="0" applyNumberFormat="1" applyFont="1" applyBorder="1" applyAlignment="1">
      <alignment horizontal="center"/>
    </xf>
    <xf numFmtId="182" fontId="15" fillId="0" borderId="119" xfId="0" applyNumberFormat="1" applyFont="1" applyBorder="1"/>
    <xf numFmtId="276" fontId="184" fillId="0" borderId="118" xfId="0" applyNumberFormat="1" applyFont="1" applyBorder="1" applyAlignment="1">
      <alignment horizontal="center"/>
    </xf>
    <xf numFmtId="269" fontId="180" fillId="0" borderId="130" xfId="1" applyNumberFormat="1" applyFont="1" applyBorder="1" applyAlignment="1">
      <alignment horizontal="center"/>
    </xf>
    <xf numFmtId="5" fontId="182" fillId="0" borderId="130" xfId="22" applyNumberFormat="1" applyFont="1" applyFill="1" applyBorder="1" applyAlignment="1">
      <alignment horizontal="center"/>
    </xf>
    <xf numFmtId="0" fontId="23" fillId="3" borderId="112" xfId="0" applyFont="1" applyFill="1" applyBorder="1"/>
    <xf numFmtId="0" fontId="180" fillId="3" borderId="112" xfId="0" applyFont="1" applyFill="1" applyBorder="1"/>
    <xf numFmtId="5" fontId="23" fillId="3" borderId="109" xfId="22" applyNumberFormat="1" applyFont="1" applyFill="1" applyBorder="1" applyAlignment="1">
      <alignment horizontal="center"/>
    </xf>
    <xf numFmtId="0" fontId="23" fillId="3" borderId="82" xfId="0" applyFont="1" applyFill="1" applyBorder="1"/>
    <xf numFmtId="167" fontId="23" fillId="3" borderId="84" xfId="1" applyNumberFormat="1" applyFont="1" applyFill="1" applyBorder="1" applyAlignment="1">
      <alignment horizontal="center"/>
    </xf>
    <xf numFmtId="0" fontId="23" fillId="3" borderId="119" xfId="0" applyFont="1" applyFill="1" applyBorder="1"/>
    <xf numFmtId="167" fontId="23" fillId="3" borderId="120" xfId="1" applyNumberFormat="1" applyFont="1" applyFill="1" applyBorder="1" applyAlignment="1">
      <alignment horizontal="center"/>
    </xf>
    <xf numFmtId="290" fontId="190" fillId="3" borderId="125" xfId="0" applyNumberFormat="1" applyFont="1" applyFill="1" applyBorder="1" applyAlignment="1">
      <alignment horizontal="left"/>
    </xf>
    <xf numFmtId="6" fontId="23" fillId="3" borderId="126" xfId="1" applyNumberFormat="1" applyFont="1" applyFill="1" applyBorder="1" applyAlignment="1">
      <alignment horizontal="center"/>
    </xf>
    <xf numFmtId="273" fontId="23" fillId="3" borderId="119" xfId="0" applyNumberFormat="1" applyFont="1" applyFill="1" applyBorder="1"/>
    <xf numFmtId="0" fontId="183" fillId="35" borderId="113" xfId="0" applyFont="1" applyFill="1" applyBorder="1" applyAlignment="1">
      <alignment horizontal="right"/>
    </xf>
    <xf numFmtId="0" fontId="183" fillId="35" borderId="114" xfId="0" applyFont="1" applyFill="1" applyBorder="1" applyAlignment="1">
      <alignment horizontal="right"/>
    </xf>
    <xf numFmtId="175" fontId="183" fillId="35" borderId="118" xfId="0" applyNumberFormat="1" applyFont="1" applyFill="1" applyBorder="1"/>
    <xf numFmtId="0" fontId="183" fillId="0" borderId="118" xfId="0" applyFont="1" applyBorder="1" applyAlignment="1">
      <alignment horizontal="left"/>
    </xf>
    <xf numFmtId="0" fontId="183" fillId="0" borderId="118" xfId="0" applyFont="1" applyBorder="1" applyAlignment="1">
      <alignment horizontal="center"/>
    </xf>
    <xf numFmtId="0" fontId="183" fillId="0" borderId="118" xfId="0" applyFont="1" applyBorder="1" applyAlignment="1">
      <alignment horizontal="right"/>
    </xf>
    <xf numFmtId="180" fontId="182" fillId="0" borderId="118" xfId="0" applyNumberFormat="1" applyFont="1" applyBorder="1" applyAlignment="1">
      <alignment horizontal="right"/>
    </xf>
    <xf numFmtId="5" fontId="15" fillId="0" borderId="118" xfId="22" applyNumberFormat="1" applyFont="1" applyBorder="1"/>
    <xf numFmtId="181" fontId="15" fillId="0" borderId="118" xfId="0" applyNumberFormat="1" applyFont="1" applyBorder="1" applyAlignment="1">
      <alignment horizontal="right"/>
    </xf>
    <xf numFmtId="0" fontId="23" fillId="0" borderId="118" xfId="0" applyFont="1" applyBorder="1" applyAlignment="1">
      <alignment horizontal="right"/>
    </xf>
    <xf numFmtId="5" fontId="23" fillId="0" borderId="118" xfId="0" applyNumberFormat="1" applyFont="1" applyBorder="1"/>
    <xf numFmtId="0" fontId="181" fillId="0" borderId="115" xfId="0" applyFont="1" applyBorder="1" applyAlignment="1">
      <alignment horizontal="center"/>
    </xf>
    <xf numFmtId="175" fontId="181" fillId="6" borderId="74" xfId="0" applyNumberFormat="1" applyFont="1" applyFill="1" applyBorder="1"/>
    <xf numFmtId="0" fontId="183" fillId="0" borderId="91" xfId="0" applyFont="1" applyBorder="1" applyAlignment="1">
      <alignment horizontal="center"/>
    </xf>
    <xf numFmtId="37" fontId="15" fillId="0" borderId="89" xfId="22" applyNumberFormat="1" applyFont="1" applyBorder="1"/>
    <xf numFmtId="173" fontId="182" fillId="0" borderId="143" xfId="0" applyNumberFormat="1" applyFont="1" applyBorder="1" applyAlignment="1" applyProtection="1">
      <alignment horizontal="left"/>
      <protection locked="0"/>
    </xf>
    <xf numFmtId="5" fontId="15" fillId="0" borderId="144" xfId="22" applyNumberFormat="1" applyFont="1" applyBorder="1"/>
    <xf numFmtId="37" fontId="15" fillId="0" borderId="144" xfId="22" applyNumberFormat="1" applyFont="1" applyBorder="1"/>
    <xf numFmtId="0" fontId="15" fillId="0" borderId="115" xfId="0" applyFont="1" applyBorder="1"/>
    <xf numFmtId="37" fontId="15" fillId="0" borderId="142" xfId="22" applyNumberFormat="1" applyFont="1" applyBorder="1"/>
    <xf numFmtId="0" fontId="15" fillId="0" borderId="143" xfId="0" applyFont="1" applyBorder="1"/>
    <xf numFmtId="0" fontId="23" fillId="0" borderId="115" xfId="0" applyFont="1" applyBorder="1"/>
    <xf numFmtId="166" fontId="23" fillId="0" borderId="142" xfId="22" applyNumberFormat="1" applyFont="1" applyBorder="1"/>
    <xf numFmtId="0" fontId="181" fillId="6" borderId="115" xfId="0" applyFont="1" applyFill="1" applyBorder="1" applyAlignment="1">
      <alignment horizontal="center"/>
    </xf>
    <xf numFmtId="0" fontId="181" fillId="6" borderId="81" xfId="0" applyFont="1" applyFill="1" applyBorder="1" applyAlignment="1">
      <alignment horizontal="center"/>
    </xf>
    <xf numFmtId="0" fontId="181" fillId="6" borderId="71" xfId="0" applyFont="1" applyFill="1" applyBorder="1" applyAlignment="1">
      <alignment horizontal="center"/>
    </xf>
    <xf numFmtId="0" fontId="15" fillId="0" borderId="145" xfId="0" applyFont="1" applyBorder="1" applyAlignment="1">
      <alignment horizontal="right"/>
    </xf>
    <xf numFmtId="166" fontId="180" fillId="0" borderId="146" xfId="18" applyNumberFormat="1" applyFont="1" applyBorder="1" applyAlignment="1">
      <alignment horizontal="center"/>
    </xf>
    <xf numFmtId="166" fontId="180" fillId="0" borderId="147" xfId="0" applyNumberFormat="1" applyFont="1" applyBorder="1" applyAlignment="1">
      <alignment horizontal="right"/>
    </xf>
    <xf numFmtId="166" fontId="180" fillId="0" borderId="137" xfId="0" applyNumberFormat="1" applyFont="1" applyBorder="1" applyAlignment="1">
      <alignment horizontal="center"/>
    </xf>
    <xf numFmtId="0" fontId="181" fillId="6" borderId="85" xfId="0" applyFont="1" applyFill="1" applyBorder="1" applyAlignment="1">
      <alignment horizontal="center"/>
    </xf>
    <xf numFmtId="0" fontId="181" fillId="6" borderId="86" xfId="0" applyFont="1" applyFill="1" applyBorder="1" applyAlignment="1">
      <alignment horizontal="center"/>
    </xf>
    <xf numFmtId="0" fontId="181" fillId="0" borderId="142" xfId="0" applyFont="1" applyBorder="1" applyAlignment="1">
      <alignment horizontal="center"/>
    </xf>
    <xf numFmtId="0" fontId="15" fillId="0" borderId="145" xfId="0" applyFont="1" applyBorder="1"/>
    <xf numFmtId="171" fontId="15" fillId="0" borderId="146" xfId="1" applyNumberFormat="1" applyFont="1" applyFill="1" applyBorder="1" applyAlignment="1">
      <alignment horizontal="center"/>
    </xf>
    <xf numFmtId="0" fontId="23" fillId="0" borderId="145" xfId="0" applyFont="1" applyBorder="1"/>
    <xf numFmtId="9" fontId="23" fillId="0" borderId="146" xfId="0" applyNumberFormat="1" applyFont="1" applyBorder="1" applyAlignment="1">
      <alignment horizontal="center"/>
    </xf>
    <xf numFmtId="9" fontId="15" fillId="0" borderId="146" xfId="0" applyNumberFormat="1" applyFont="1" applyBorder="1" applyAlignment="1">
      <alignment horizontal="center"/>
    </xf>
    <xf numFmtId="10" fontId="15" fillId="0" borderId="146" xfId="0" applyNumberFormat="1" applyFont="1" applyBorder="1" applyAlignment="1">
      <alignment horizontal="center"/>
    </xf>
    <xf numFmtId="0" fontId="23" fillId="9" borderId="124" xfId="1347" applyFont="1" applyFill="1" applyBorder="1" applyAlignment="1">
      <alignment horizontal="center"/>
    </xf>
    <xf numFmtId="14" fontId="23" fillId="9" borderId="126" xfId="1347" applyNumberFormat="1" applyFont="1" applyFill="1" applyBorder="1" applyAlignment="1">
      <alignment horizontal="center"/>
    </xf>
    <xf numFmtId="0" fontId="183" fillId="0" borderId="106" xfId="0" applyFont="1" applyBorder="1" applyAlignment="1">
      <alignment horizontal="left"/>
    </xf>
    <xf numFmtId="172" fontId="183" fillId="0" borderId="118" xfId="0" applyNumberFormat="1" applyFont="1" applyBorder="1"/>
    <xf numFmtId="172" fontId="183" fillId="0" borderId="118" xfId="0" applyNumberFormat="1" applyFont="1" applyBorder="1" applyAlignment="1">
      <alignment horizontal="center"/>
    </xf>
    <xf numFmtId="5" fontId="180" fillId="0" borderId="62" xfId="0" applyNumberFormat="1" applyFont="1" applyBorder="1"/>
    <xf numFmtId="5" fontId="187" fillId="0" borderId="109" xfId="0" applyNumberFormat="1" applyFont="1" applyBorder="1"/>
    <xf numFmtId="38" fontId="190" fillId="0" borderId="118" xfId="0" applyNumberFormat="1" applyFont="1" applyBorder="1"/>
    <xf numFmtId="0" fontId="190" fillId="0" borderId="118" xfId="0" applyFont="1" applyBorder="1"/>
    <xf numFmtId="5" fontId="190" fillId="0" borderId="114" xfId="0" applyNumberFormat="1" applyFont="1" applyBorder="1"/>
    <xf numFmtId="0" fontId="187" fillId="0" borderId="114" xfId="0" applyFont="1" applyBorder="1"/>
    <xf numFmtId="5" fontId="187" fillId="0" borderId="114" xfId="0" applyNumberFormat="1" applyFont="1" applyBorder="1"/>
    <xf numFmtId="166" fontId="187" fillId="0" borderId="118" xfId="0" applyNumberFormat="1" applyFont="1" applyBorder="1"/>
    <xf numFmtId="38" fontId="187" fillId="0" borderId="114" xfId="0" applyNumberFormat="1" applyFont="1" applyBorder="1"/>
    <xf numFmtId="0" fontId="180" fillId="0" borderId="140" xfId="0" applyFont="1" applyBorder="1"/>
    <xf numFmtId="5" fontId="183" fillId="4" borderId="109" xfId="0" applyNumberFormat="1" applyFont="1" applyFill="1" applyBorder="1"/>
    <xf numFmtId="5" fontId="183" fillId="4" borderId="106" xfId="0" applyNumberFormat="1" applyFont="1" applyFill="1" applyBorder="1"/>
    <xf numFmtId="6" fontId="180" fillId="0" borderId="126" xfId="0" applyNumberFormat="1" applyFont="1" applyBorder="1"/>
    <xf numFmtId="0" fontId="180" fillId="4" borderId="114" xfId="0" applyFont="1" applyFill="1" applyBorder="1"/>
    <xf numFmtId="0" fontId="180" fillId="4" borderId="97" xfId="0" applyFont="1" applyFill="1" applyBorder="1"/>
    <xf numFmtId="6" fontId="180" fillId="0" borderId="100" xfId="0" applyNumberFormat="1" applyFont="1" applyBorder="1"/>
    <xf numFmtId="6" fontId="180" fillId="4" borderId="100" xfId="0" applyNumberFormat="1" applyFont="1" applyFill="1" applyBorder="1"/>
    <xf numFmtId="0" fontId="183" fillId="4" borderId="118" xfId="0" applyFont="1" applyFill="1" applyBorder="1" applyAlignment="1">
      <alignment horizontal="center"/>
    </xf>
    <xf numFmtId="5" fontId="180" fillId="0" borderId="97" xfId="0" applyNumberFormat="1" applyFont="1" applyBorder="1"/>
    <xf numFmtId="10" fontId="180" fillId="0" borderId="118" xfId="0" applyNumberFormat="1" applyFont="1" applyBorder="1"/>
    <xf numFmtId="5" fontId="183" fillId="0" borderId="114" xfId="0" applyNumberFormat="1" applyFont="1" applyBorder="1"/>
    <xf numFmtId="10" fontId="183" fillId="0" borderId="118" xfId="0" applyNumberFormat="1" applyFont="1" applyBorder="1"/>
  </cellXfs>
  <cellStyles count="1360">
    <cellStyle name="$ 0 decimal" xfId="131" xr:uid="{00000000-0005-0000-0000-00009F020000}"/>
    <cellStyle name="$ 1 decimal" xfId="132" xr:uid="{00000000-0005-0000-0000-0000A0020000}"/>
    <cellStyle name="$ 2 decimals" xfId="133" xr:uid="{00000000-0005-0000-0000-0000A1020000}"/>
    <cellStyle name="_%(SignOnly)" xfId="134" xr:uid="{00000000-0005-0000-0000-000000000000}"/>
    <cellStyle name="_%(SignSpaceOnly)" xfId="135" xr:uid="{00000000-0005-0000-0000-000001000000}"/>
    <cellStyle name="_%(SignSpaceOnly)_ControlTables" xfId="136" xr:uid="{00000000-0005-0000-0000-000002000000}"/>
    <cellStyle name="_%(SignSpaceOnly)_ControlTablesI" xfId="137" xr:uid="{00000000-0005-0000-0000-000003000000}"/>
    <cellStyle name="_%(SignSpaceOnly)_Database - Comparables" xfId="138" xr:uid="{00000000-0005-0000-0000-000004000000}"/>
    <cellStyle name="_%(SignSpaceOnly)_DB_Eye" xfId="139" xr:uid="{00000000-0005-0000-0000-000005000000}"/>
    <cellStyle name="_%(SignSpaceOnly)_Exec Summary" xfId="140" xr:uid="{00000000-0005-0000-0000-000006000000}"/>
    <cellStyle name="_%(SignSpaceOnly)_Exec Summary_1" xfId="141" xr:uid="{00000000-0005-0000-0000-000007000000}"/>
    <cellStyle name="_%(SignSpaceOnly)_Sheet1" xfId="142" xr:uid="{00000000-0005-0000-0000-000008000000}"/>
    <cellStyle name="_ARI Base Case July 25 TPS1" xfId="143" xr:uid="{00000000-0005-0000-0000-000009000000}"/>
    <cellStyle name="_Comma" xfId="144" xr:uid="{00000000-0005-0000-0000-00000A000000}"/>
    <cellStyle name="_Comma_3-Yr Eyechart" xfId="145" xr:uid="{00000000-0005-0000-0000-00000B000000}"/>
    <cellStyle name="_Comma_Asset Comparisons" xfId="146" xr:uid="{00000000-0005-0000-0000-00000C000000}"/>
    <cellStyle name="_Comma_Balance Sheet" xfId="147" xr:uid="{00000000-0005-0000-0000-00000D000000}"/>
    <cellStyle name="_Comma_Balance Sheet_ControlTables" xfId="148" xr:uid="{00000000-0005-0000-0000-00000E000000}"/>
    <cellStyle name="_Comma_Balance Sheet_ControlTablesI" xfId="149" xr:uid="{00000000-0005-0000-0000-00000F000000}"/>
    <cellStyle name="_Comma_Balance Sheet_Database - Comparables" xfId="150" xr:uid="{00000000-0005-0000-0000-000010000000}"/>
    <cellStyle name="_Comma_Balance Sheet_DB_Eye" xfId="151" xr:uid="{00000000-0005-0000-0000-000011000000}"/>
    <cellStyle name="_Comma_Balance Sheet_Exec Summary" xfId="152" xr:uid="{00000000-0005-0000-0000-000012000000}"/>
    <cellStyle name="_Comma_Balance Sheet_Existing Debt" xfId="153" xr:uid="{00000000-0005-0000-0000-000013000000}"/>
    <cellStyle name="_Comma_Balance Sheet_Kor-Port_LEQ_6-10-04_CR_Final-Struct_FINAL" xfId="154" xr:uid="{00000000-0005-0000-0000-000014000000}"/>
    <cellStyle name="_Comma_Balance Sheet_Mallard's_Landing_LEQ_8-17-04" xfId="155" xr:uid="{00000000-0005-0000-0000-000015000000}"/>
    <cellStyle name="_Comma_Balance Sheet_Quick Property Input" xfId="156" xr:uid="{00000000-0005-0000-0000-000016000000}"/>
    <cellStyle name="_Comma_Balance Sheet_Sheet1" xfId="157" xr:uid="{00000000-0005-0000-0000-000017000000}"/>
    <cellStyle name="_Comma_Balance Sheet_Sheet1_Data Tape" xfId="158" xr:uid="{00000000-0005-0000-0000-000018000000}"/>
    <cellStyle name="_Comma_Balance Sheet_Sheet1_Deal Assumptions" xfId="159" xr:uid="{00000000-0005-0000-0000-000019000000}"/>
    <cellStyle name="_Comma_Balance Sheet_Sheet1_RE Valuation 2" xfId="160" xr:uid="{00000000-0005-0000-0000-00001A000000}"/>
    <cellStyle name="_Comma_Balance Sheet_Sheet2" xfId="161" xr:uid="{00000000-0005-0000-0000-00001B000000}"/>
    <cellStyle name="_Comma_ControlTables" xfId="162" xr:uid="{00000000-0005-0000-0000-00001C000000}"/>
    <cellStyle name="_Comma_ControlTablesI" xfId="163" xr:uid="{00000000-0005-0000-0000-00001D000000}"/>
    <cellStyle name="_Comma_Cost Of Funds" xfId="164" xr:uid="{00000000-0005-0000-0000-00001E000000}"/>
    <cellStyle name="_Comma_Criteria" xfId="165" xr:uid="{00000000-0005-0000-0000-00001F000000}"/>
    <cellStyle name="_Comma_Criteria Test Export" xfId="166" xr:uid="{00000000-0005-0000-0000-000020000000}"/>
    <cellStyle name="_Comma_Criteria_ControlTables" xfId="167" xr:uid="{00000000-0005-0000-0000-000021000000}"/>
    <cellStyle name="_Comma_Criteria_ControlTablesI" xfId="168" xr:uid="{00000000-0005-0000-0000-000022000000}"/>
    <cellStyle name="_Comma_Criteria_Database - Comparables" xfId="169" xr:uid="{00000000-0005-0000-0000-000023000000}"/>
    <cellStyle name="_Comma_Criteria_DB_Eye" xfId="170" xr:uid="{00000000-0005-0000-0000-000024000000}"/>
    <cellStyle name="_Comma_Criteria_Exec Summary" xfId="171" xr:uid="{00000000-0005-0000-0000-000025000000}"/>
    <cellStyle name="_Comma_Criteria_Existing Debt" xfId="172" xr:uid="{00000000-0005-0000-0000-000026000000}"/>
    <cellStyle name="_Comma_Criteria_Kor-Port_LEQ_6-10-04_CR_Final-Struct_FINAL" xfId="173" xr:uid="{00000000-0005-0000-0000-000027000000}"/>
    <cellStyle name="_Comma_Criteria_Mallard's_Landing_LEQ_8-17-04" xfId="174" xr:uid="{00000000-0005-0000-0000-000028000000}"/>
    <cellStyle name="_Comma_Criteria_Quick Property Input" xfId="175" xr:uid="{00000000-0005-0000-0000-000029000000}"/>
    <cellStyle name="_Comma_Criteria_Sheet1" xfId="176" xr:uid="{00000000-0005-0000-0000-00002A000000}"/>
    <cellStyle name="_Comma_Criteria_Sheet1_Data Tape" xfId="177" xr:uid="{00000000-0005-0000-0000-00002B000000}"/>
    <cellStyle name="_Comma_Criteria_Sheet1_Deal Assumptions" xfId="178" xr:uid="{00000000-0005-0000-0000-00002C000000}"/>
    <cellStyle name="_Comma_Criteria_Sheet1_RE Valuation 2" xfId="179" xr:uid="{00000000-0005-0000-0000-00002D000000}"/>
    <cellStyle name="_Comma_Criteria_Sheet2" xfId="180" xr:uid="{00000000-0005-0000-0000-00002E000000}"/>
    <cellStyle name="_Comma_Data Tape" xfId="181" xr:uid="{00000000-0005-0000-0000-00002F000000}"/>
    <cellStyle name="_Comma_Data Tape_1" xfId="182" xr:uid="{00000000-0005-0000-0000-000030000000}"/>
    <cellStyle name="_Comma_Data Tape_ControlTables" xfId="183" xr:uid="{00000000-0005-0000-0000-000031000000}"/>
    <cellStyle name="_Comma_Data Tape_ControlTablesI" xfId="184" xr:uid="{00000000-0005-0000-0000-000032000000}"/>
    <cellStyle name="_Comma_Data Tape_Database - Comparables" xfId="185" xr:uid="{00000000-0005-0000-0000-000033000000}"/>
    <cellStyle name="_Comma_Data Tape_DB_Eye" xfId="186" xr:uid="{00000000-0005-0000-0000-000034000000}"/>
    <cellStyle name="_Comma_Data Tape_Exec Summary" xfId="187" xr:uid="{00000000-0005-0000-0000-000035000000}"/>
    <cellStyle name="_Comma_Data Tape_Existing Debt" xfId="188" xr:uid="{00000000-0005-0000-0000-000036000000}"/>
    <cellStyle name="_Comma_Data Tape_Kor-Port_LEQ_6-10-04_CR_Final-Struct_FINAL" xfId="189" xr:uid="{00000000-0005-0000-0000-000037000000}"/>
    <cellStyle name="_Comma_Data Tape_Mallard's_Landing_LEQ_8-17-04" xfId="190" xr:uid="{00000000-0005-0000-0000-000038000000}"/>
    <cellStyle name="_Comma_Data Tape_Quick Property Input" xfId="191" xr:uid="{00000000-0005-0000-0000-000039000000}"/>
    <cellStyle name="_Comma_Data Tape_Sheet1" xfId="192" xr:uid="{00000000-0005-0000-0000-00003A000000}"/>
    <cellStyle name="_Comma_Data Tape_Sheet1_Data Tape" xfId="193" xr:uid="{00000000-0005-0000-0000-00003B000000}"/>
    <cellStyle name="_Comma_Data Tape_Sheet1_Deal Assumptions" xfId="194" xr:uid="{00000000-0005-0000-0000-00003C000000}"/>
    <cellStyle name="_Comma_Data Tape_Sheet1_RE Valuation 2" xfId="195" xr:uid="{00000000-0005-0000-0000-00003D000000}"/>
    <cellStyle name="_Comma_Data Tape_Sheet2" xfId="196" xr:uid="{00000000-0005-0000-0000-00003E000000}"/>
    <cellStyle name="_Comma_Data_Tape" xfId="197" xr:uid="{00000000-0005-0000-0000-00003F000000}"/>
    <cellStyle name="_Comma_Database - Comparables" xfId="198" xr:uid="{00000000-0005-0000-0000-000040000000}"/>
    <cellStyle name="_Comma_Database - Economics" xfId="199" xr:uid="{00000000-0005-0000-0000-000041000000}"/>
    <cellStyle name="_Comma_DB Eye" xfId="200" xr:uid="{00000000-0005-0000-0000-000042000000}"/>
    <cellStyle name="_Comma_DB_Eye" xfId="201" xr:uid="{00000000-0005-0000-0000-000043000000}"/>
    <cellStyle name="_Comma_Deal Input" xfId="202" xr:uid="{00000000-0005-0000-0000-000044000000}"/>
    <cellStyle name="_Comma_Direct Cap Eye" xfId="203" xr:uid="{00000000-0005-0000-0000-000045000000}"/>
    <cellStyle name="_Comma_DPEM2005_vBetatest6" xfId="204" xr:uid="{00000000-0005-0000-0000-000046000000}"/>
    <cellStyle name="_Comma_ETR" xfId="205" xr:uid="{00000000-0005-0000-0000-000047000000}"/>
    <cellStyle name="_Comma_Exec Summary" xfId="206" xr:uid="{00000000-0005-0000-0000-000048000000}"/>
    <cellStyle name="_Comma_Existing Debt" xfId="207" xr:uid="{00000000-0005-0000-0000-000049000000}"/>
    <cellStyle name="_Comma_EyeChart" xfId="208" xr:uid="{00000000-0005-0000-0000-00004A000000}"/>
    <cellStyle name="_Comma_EyeChart 090503" xfId="209" xr:uid="{00000000-0005-0000-0000-00004B000000}"/>
    <cellStyle name="_Comma_Input" xfId="210" xr:uid="{00000000-0005-0000-0000-00004C000000}"/>
    <cellStyle name="_Comma_Input_1" xfId="211" xr:uid="{00000000-0005-0000-0000-00004D000000}"/>
    <cellStyle name="_Comma_Input_ControlTables" xfId="212" xr:uid="{00000000-0005-0000-0000-00004E000000}"/>
    <cellStyle name="_Comma_Input_ControlTablesI" xfId="213" xr:uid="{00000000-0005-0000-0000-00004F000000}"/>
    <cellStyle name="_Comma_Input_Data Tape" xfId="214" xr:uid="{00000000-0005-0000-0000-000050000000}"/>
    <cellStyle name="_Comma_Input_Database - Comparables" xfId="215" xr:uid="{00000000-0005-0000-0000-000051000000}"/>
    <cellStyle name="_Comma_Input_Database - Economics" xfId="216" xr:uid="{00000000-0005-0000-0000-000052000000}"/>
    <cellStyle name="_Comma_Input_DB_Eye" xfId="217" xr:uid="{00000000-0005-0000-0000-000053000000}"/>
    <cellStyle name="_Comma_Input_Exec Summary" xfId="218" xr:uid="{00000000-0005-0000-0000-000054000000}"/>
    <cellStyle name="_Comma_Input_Existing Debt" xfId="219" xr:uid="{00000000-0005-0000-0000-000055000000}"/>
    <cellStyle name="_Comma_Input_Kor-Port_LEQ_6-10-04_CR_Final-Struct_FINAL" xfId="220" xr:uid="{00000000-0005-0000-0000-000056000000}"/>
    <cellStyle name="_Comma_Input_Mallard's_Landing_LEQ_8-17-04" xfId="221" xr:uid="{00000000-0005-0000-0000-000057000000}"/>
    <cellStyle name="_Comma_Input_Quick Property Input" xfId="222" xr:uid="{00000000-0005-0000-0000-000058000000}"/>
    <cellStyle name="_Comma_Input_Sheet1" xfId="223" xr:uid="{00000000-0005-0000-0000-000059000000}"/>
    <cellStyle name="_Comma_Input_Sheet1_Data Tape" xfId="224" xr:uid="{00000000-0005-0000-0000-00005A000000}"/>
    <cellStyle name="_Comma_Input_Sheet1_Deal Assumptions" xfId="225" xr:uid="{00000000-0005-0000-0000-00005B000000}"/>
    <cellStyle name="_Comma_Input_Sheet1_RE Valuation 2" xfId="226" xr:uid="{00000000-0005-0000-0000-00005C000000}"/>
    <cellStyle name="_Comma_Input_Sheet2" xfId="227" xr:uid="{00000000-0005-0000-0000-00005D000000}"/>
    <cellStyle name="_Comma_JV Economics" xfId="228" xr:uid="{00000000-0005-0000-0000-00005E000000}"/>
    <cellStyle name="_Comma_M&amp;A Feed" xfId="229" xr:uid="{00000000-0005-0000-0000-00005F000000}"/>
    <cellStyle name="_Comma_NPV Case Eyechart" xfId="230" xr:uid="{00000000-0005-0000-0000-000060000000}"/>
    <cellStyle name="_Comma_Pools" xfId="231" xr:uid="{00000000-0005-0000-0000-000061000000}"/>
    <cellStyle name="_Comma_Pools_1" xfId="232" xr:uid="{00000000-0005-0000-0000-000062000000}"/>
    <cellStyle name="_Comma_Portfolio Valuation" xfId="233" xr:uid="{00000000-0005-0000-0000-000063000000}"/>
    <cellStyle name="_Comma_Pricing" xfId="234" xr:uid="{00000000-0005-0000-0000-000064000000}"/>
    <cellStyle name="_Comma_Prop 13" xfId="235" xr:uid="{00000000-0005-0000-0000-000065000000}"/>
    <cellStyle name="_Comma_Prop 13 Data" xfId="236" xr:uid="{00000000-0005-0000-0000-000066000000}"/>
    <cellStyle name="_Comma_Prop 13 Summary-11-10" xfId="237" xr:uid="{00000000-0005-0000-0000-000067000000}"/>
    <cellStyle name="_Comma_Property Assumptions" xfId="238" xr:uid="{00000000-0005-0000-0000-000068000000}"/>
    <cellStyle name="_Comma_Property Assumptions_1" xfId="239" xr:uid="{00000000-0005-0000-0000-000069000000}"/>
    <cellStyle name="_Comma_Quick Property Input" xfId="240" xr:uid="{00000000-0005-0000-0000-00006A000000}"/>
    <cellStyle name="_Comma_Senario Input Assumptions" xfId="241" xr:uid="{00000000-0005-0000-0000-00006B000000}"/>
    <cellStyle name="_Comma_Senario Input Assumptions_ControlTables" xfId="242" xr:uid="{00000000-0005-0000-0000-00006C000000}"/>
    <cellStyle name="_Comma_Senario Input Assumptions_ControlTablesI" xfId="243" xr:uid="{00000000-0005-0000-0000-00006D000000}"/>
    <cellStyle name="_Comma_Senario Input Assumptions_Database - Comparables" xfId="244" xr:uid="{00000000-0005-0000-0000-00006E000000}"/>
    <cellStyle name="_Comma_Senario Input Assumptions_DB_Eye" xfId="245" xr:uid="{00000000-0005-0000-0000-00006F000000}"/>
    <cellStyle name="_Comma_Senario Input Assumptions_Exec Summary" xfId="246" xr:uid="{00000000-0005-0000-0000-000070000000}"/>
    <cellStyle name="_Comma_Senario Input Assumptions_Existing Debt" xfId="247" xr:uid="{00000000-0005-0000-0000-000071000000}"/>
    <cellStyle name="_Comma_Senario Input Assumptions_Kor-Port_LEQ_6-10-04_CR_Final-Struct_FINAL" xfId="248" xr:uid="{00000000-0005-0000-0000-000072000000}"/>
    <cellStyle name="_Comma_Senario Input Assumptions_Mallard's_Landing_LEQ_8-17-04" xfId="249" xr:uid="{00000000-0005-0000-0000-000073000000}"/>
    <cellStyle name="_Comma_Senario Input Assumptions_Quick Property Input" xfId="250" xr:uid="{00000000-0005-0000-0000-000074000000}"/>
    <cellStyle name="_Comma_Senario Input Assumptions_Sheet1" xfId="251" xr:uid="{00000000-0005-0000-0000-000075000000}"/>
    <cellStyle name="_Comma_Senario Input Assumptions_Sheet1_Data Tape" xfId="252" xr:uid="{00000000-0005-0000-0000-000076000000}"/>
    <cellStyle name="_Comma_Senario Input Assumptions_Sheet1_Deal Assumptions" xfId="253" xr:uid="{00000000-0005-0000-0000-000077000000}"/>
    <cellStyle name="_Comma_Senario Input Assumptions_Sheet1_RE Valuation 2" xfId="254" xr:uid="{00000000-0005-0000-0000-000078000000}"/>
    <cellStyle name="_Comma_Senario Input Assumptions_Sheet2" xfId="255" xr:uid="{00000000-0005-0000-0000-000079000000}"/>
    <cellStyle name="_Comma_Sheet1" xfId="256" xr:uid="{00000000-0005-0000-0000-00007A000000}"/>
    <cellStyle name="_Comma_Sheet1_1" xfId="257" xr:uid="{00000000-0005-0000-0000-00007B000000}"/>
    <cellStyle name="_Comma_Sheet1_3-Yr Eyechart" xfId="258" xr:uid="{00000000-0005-0000-0000-00007C000000}"/>
    <cellStyle name="_Comma_Sheet1_Balance Sheet" xfId="259" xr:uid="{00000000-0005-0000-0000-00007D000000}"/>
    <cellStyle name="_Comma_Sheet1_Cost Of Funds" xfId="260" xr:uid="{00000000-0005-0000-0000-00007E000000}"/>
    <cellStyle name="_Comma_Sheet1_Criteria" xfId="261" xr:uid="{00000000-0005-0000-0000-00007F000000}"/>
    <cellStyle name="_Comma_Sheet1_Criteria Test Export" xfId="262" xr:uid="{00000000-0005-0000-0000-000080000000}"/>
    <cellStyle name="_Comma_Sheet1_Data Tape" xfId="263" xr:uid="{00000000-0005-0000-0000-000081000000}"/>
    <cellStyle name="_Comma_Sheet1_Data Tape_1" xfId="264" xr:uid="{00000000-0005-0000-0000-000082000000}"/>
    <cellStyle name="_Comma_Sheet1_Data_Tape" xfId="265" xr:uid="{00000000-0005-0000-0000-000083000000}"/>
    <cellStyle name="_Comma_Sheet1_Data_Tape_ControlTables" xfId="266" xr:uid="{00000000-0005-0000-0000-000084000000}"/>
    <cellStyle name="_Comma_Sheet1_Data_Tape_ControlTablesI" xfId="267" xr:uid="{00000000-0005-0000-0000-000085000000}"/>
    <cellStyle name="_Comma_Sheet1_Data_Tape_Database - Comparables" xfId="268" xr:uid="{00000000-0005-0000-0000-000086000000}"/>
    <cellStyle name="_Comma_Sheet1_Data_Tape_DB_Eye" xfId="269" xr:uid="{00000000-0005-0000-0000-000087000000}"/>
    <cellStyle name="_Comma_Sheet1_Data_Tape_Exec Summary" xfId="270" xr:uid="{00000000-0005-0000-0000-000088000000}"/>
    <cellStyle name="_Comma_Sheet1_Data_Tape_Existing Debt" xfId="271" xr:uid="{00000000-0005-0000-0000-000089000000}"/>
    <cellStyle name="_Comma_Sheet1_Data_Tape_Kor-Port_LEQ_6-10-04_CR_Final-Struct_FINAL" xfId="272" xr:uid="{00000000-0005-0000-0000-00008A000000}"/>
    <cellStyle name="_Comma_Sheet1_Data_Tape_Mallard's_Landing_LEQ_8-17-04" xfId="273" xr:uid="{00000000-0005-0000-0000-00008B000000}"/>
    <cellStyle name="_Comma_Sheet1_Data_Tape_Quick Property Input" xfId="274" xr:uid="{00000000-0005-0000-0000-00008C000000}"/>
    <cellStyle name="_Comma_Sheet1_Data_Tape_Sheet1" xfId="275" xr:uid="{00000000-0005-0000-0000-00008D000000}"/>
    <cellStyle name="_Comma_Sheet1_Data_Tape_Sheet1_Data Tape" xfId="276" xr:uid="{00000000-0005-0000-0000-00008E000000}"/>
    <cellStyle name="_Comma_Sheet1_Data_Tape_Sheet1_Deal Assumptions" xfId="277" xr:uid="{00000000-0005-0000-0000-00008F000000}"/>
    <cellStyle name="_Comma_Sheet1_Data_Tape_Sheet1_RE Valuation 2" xfId="278" xr:uid="{00000000-0005-0000-0000-000090000000}"/>
    <cellStyle name="_Comma_Sheet1_Data_Tape_Sheet2" xfId="279" xr:uid="{00000000-0005-0000-0000-000091000000}"/>
    <cellStyle name="_Comma_Sheet1_Database - Economics" xfId="280" xr:uid="{00000000-0005-0000-0000-000092000000}"/>
    <cellStyle name="_Comma_Sheet1_Deal Input" xfId="281" xr:uid="{00000000-0005-0000-0000-000093000000}"/>
    <cellStyle name="_Comma_Sheet1_Direct Cap Eye" xfId="282" xr:uid="{00000000-0005-0000-0000-000094000000}"/>
    <cellStyle name="_Comma_Sheet1_DPEM2005_vBetatest6" xfId="283" xr:uid="{00000000-0005-0000-0000-000095000000}"/>
    <cellStyle name="_Comma_Sheet1_ETR" xfId="284" xr:uid="{00000000-0005-0000-0000-000096000000}"/>
    <cellStyle name="_Comma_Sheet1_Existing Debt" xfId="285" xr:uid="{00000000-0005-0000-0000-000097000000}"/>
    <cellStyle name="_Comma_Sheet1_Input" xfId="286" xr:uid="{00000000-0005-0000-0000-000098000000}"/>
    <cellStyle name="_Comma_Sheet1_Input_1" xfId="287" xr:uid="{00000000-0005-0000-0000-000099000000}"/>
    <cellStyle name="_Comma_Sheet1_Input_Data Tape" xfId="288" xr:uid="{00000000-0005-0000-0000-00009A000000}"/>
    <cellStyle name="_Comma_Sheet1_Input_Database - Economics" xfId="289" xr:uid="{00000000-0005-0000-0000-00009B000000}"/>
    <cellStyle name="_Comma_Sheet1_M&amp;A Feed" xfId="290" xr:uid="{00000000-0005-0000-0000-00009C000000}"/>
    <cellStyle name="_Comma_Sheet1_NPV Case Eyechart" xfId="291" xr:uid="{00000000-0005-0000-0000-00009D000000}"/>
    <cellStyle name="_Comma_Sheet1_Pools" xfId="292" xr:uid="{00000000-0005-0000-0000-00009E000000}"/>
    <cellStyle name="_Comma_Sheet1_Pools_1" xfId="293" xr:uid="{00000000-0005-0000-0000-00009F000000}"/>
    <cellStyle name="_Comma_Sheet1_Pools_ControlTables" xfId="294" xr:uid="{00000000-0005-0000-0000-0000A0000000}"/>
    <cellStyle name="_Comma_Sheet1_Pools_ControlTablesI" xfId="295" xr:uid="{00000000-0005-0000-0000-0000A1000000}"/>
    <cellStyle name="_Comma_Sheet1_Pools_Database - Comparables" xfId="296" xr:uid="{00000000-0005-0000-0000-0000A2000000}"/>
    <cellStyle name="_Comma_Sheet1_Pools_DB_Eye" xfId="297" xr:uid="{00000000-0005-0000-0000-0000A3000000}"/>
    <cellStyle name="_Comma_Sheet1_Pools_Exec Summary" xfId="298" xr:uid="{00000000-0005-0000-0000-0000A4000000}"/>
    <cellStyle name="_Comma_Sheet1_Pools_Existing Debt" xfId="299" xr:uid="{00000000-0005-0000-0000-0000A5000000}"/>
    <cellStyle name="_Comma_Sheet1_Pools_Kor-Port_LEQ_6-10-04_CR_Final-Struct_FINAL" xfId="300" xr:uid="{00000000-0005-0000-0000-0000A6000000}"/>
    <cellStyle name="_Comma_Sheet1_Pools_Mallard's_Landing_LEQ_8-17-04" xfId="301" xr:uid="{00000000-0005-0000-0000-0000A7000000}"/>
    <cellStyle name="_Comma_Sheet1_Pools_Quick Property Input" xfId="302" xr:uid="{00000000-0005-0000-0000-0000A8000000}"/>
    <cellStyle name="_Comma_Sheet1_Pools_Sheet1" xfId="303" xr:uid="{00000000-0005-0000-0000-0000A9000000}"/>
    <cellStyle name="_Comma_Sheet1_Pools_Sheet1_Data Tape" xfId="304" xr:uid="{00000000-0005-0000-0000-0000AA000000}"/>
    <cellStyle name="_Comma_Sheet1_Pools_Sheet1_Deal Assumptions" xfId="305" xr:uid="{00000000-0005-0000-0000-0000AB000000}"/>
    <cellStyle name="_Comma_Sheet1_Pools_Sheet1_RE Valuation 2" xfId="306" xr:uid="{00000000-0005-0000-0000-0000AC000000}"/>
    <cellStyle name="_Comma_Sheet1_Pools_Sheet2" xfId="307" xr:uid="{00000000-0005-0000-0000-0000AD000000}"/>
    <cellStyle name="_Comma_Sheet1_Portfolio Valuation" xfId="308" xr:uid="{00000000-0005-0000-0000-0000AE000000}"/>
    <cellStyle name="_Comma_Sheet1_Prop 13" xfId="309" xr:uid="{00000000-0005-0000-0000-0000AF000000}"/>
    <cellStyle name="_Comma_Sheet1_Prop 13 Data" xfId="310" xr:uid="{00000000-0005-0000-0000-0000B0000000}"/>
    <cellStyle name="_Comma_Sheet1_Prop 13 Summary-11-10" xfId="311" xr:uid="{00000000-0005-0000-0000-0000B1000000}"/>
    <cellStyle name="_Comma_Sheet1_Property Assumptions" xfId="312" xr:uid="{00000000-0005-0000-0000-0000B2000000}"/>
    <cellStyle name="_Comma_Sheet1_Property Assumptions_1" xfId="313" xr:uid="{00000000-0005-0000-0000-0000B3000000}"/>
    <cellStyle name="_Comma_Sheet1_Quick Property Input" xfId="314" xr:uid="{00000000-0005-0000-0000-0000B4000000}"/>
    <cellStyle name="_Comma_Sheet1_Senario Input Assumptions" xfId="315" xr:uid="{00000000-0005-0000-0000-0000B5000000}"/>
    <cellStyle name="_Comma_Sheet1_Sheet1" xfId="316" xr:uid="{00000000-0005-0000-0000-0000B6000000}"/>
    <cellStyle name="_Comma_Sheet1_Sheet2" xfId="317" xr:uid="{00000000-0005-0000-0000-0000B7000000}"/>
    <cellStyle name="_Comma_Sheet1_Sheet2_1" xfId="318" xr:uid="{00000000-0005-0000-0000-0000B8000000}"/>
    <cellStyle name="_Comma_Sheet1_Sheet3" xfId="319" xr:uid="{00000000-0005-0000-0000-0000B9000000}"/>
    <cellStyle name="_Comma_Sheet1_Sheet5" xfId="320" xr:uid="{00000000-0005-0000-0000-0000BA000000}"/>
    <cellStyle name="_Comma_Sheet1_Structure Model_2003_test2" xfId="321" xr:uid="{00000000-0005-0000-0000-0000BB000000}"/>
    <cellStyle name="_Comma_Sheet2" xfId="322" xr:uid="{00000000-0005-0000-0000-0000BC000000}"/>
    <cellStyle name="_Comma_Sheet2_1" xfId="323" xr:uid="{00000000-0005-0000-0000-0000BD000000}"/>
    <cellStyle name="_Comma_Sheet3" xfId="324" xr:uid="{00000000-0005-0000-0000-0000BE000000}"/>
    <cellStyle name="_Comma_Sheet3_1" xfId="325" xr:uid="{00000000-0005-0000-0000-0000BF000000}"/>
    <cellStyle name="_Comma_Sheet4" xfId="326" xr:uid="{00000000-0005-0000-0000-0000C0000000}"/>
    <cellStyle name="_Comma_Sheet5" xfId="327" xr:uid="{00000000-0005-0000-0000-0000C1000000}"/>
    <cellStyle name="_Comma_Structure Model_2003_test2" xfId="328" xr:uid="{00000000-0005-0000-0000-0000C2000000}"/>
    <cellStyle name="_Comma_Structure Model_2003_test2_ControlTables" xfId="329" xr:uid="{00000000-0005-0000-0000-0000C3000000}"/>
    <cellStyle name="_Comma_Structure Model_2003_test2_ControlTablesI" xfId="330" xr:uid="{00000000-0005-0000-0000-0000C4000000}"/>
    <cellStyle name="_Comma_Structure Model_2003_test2_Database - Comparables" xfId="331" xr:uid="{00000000-0005-0000-0000-0000C5000000}"/>
    <cellStyle name="_Comma_Structure Model_2003_test2_DB_Eye" xfId="332" xr:uid="{00000000-0005-0000-0000-0000C6000000}"/>
    <cellStyle name="_Comma_Structure Model_2003_test2_Exec Summary" xfId="333" xr:uid="{00000000-0005-0000-0000-0000C7000000}"/>
    <cellStyle name="_Comma_Structure Model_2003_test2_Existing Debt" xfId="334" xr:uid="{00000000-0005-0000-0000-0000C8000000}"/>
    <cellStyle name="_Comma_Structure Model_2003_test2_Kor-Port_LEQ_6-10-04_CR_Final-Struct_FINAL" xfId="335" xr:uid="{00000000-0005-0000-0000-0000C9000000}"/>
    <cellStyle name="_Comma_Structure Model_2003_test2_Mallard's_Landing_LEQ_8-17-04" xfId="336" xr:uid="{00000000-0005-0000-0000-0000CA000000}"/>
    <cellStyle name="_Comma_Structure Model_2003_test2_Quick Property Input" xfId="337" xr:uid="{00000000-0005-0000-0000-0000CB000000}"/>
    <cellStyle name="_Comma_Structure Model_2003_test2_Sheet1" xfId="338" xr:uid="{00000000-0005-0000-0000-0000CC000000}"/>
    <cellStyle name="_Comma_Structure Model_2003_test2_Sheet1_Data Tape" xfId="339" xr:uid="{00000000-0005-0000-0000-0000CD000000}"/>
    <cellStyle name="_Comma_Structure Model_2003_test2_Sheet1_Deal Assumptions" xfId="340" xr:uid="{00000000-0005-0000-0000-0000CE000000}"/>
    <cellStyle name="_Comma_Structure Model_2003_test2_Sheet1_RE Valuation 2" xfId="341" xr:uid="{00000000-0005-0000-0000-0000CF000000}"/>
    <cellStyle name="_Comma_Structure Model_2003_test2_Sheet2" xfId="342" xr:uid="{00000000-0005-0000-0000-0000D0000000}"/>
    <cellStyle name="_Currency" xfId="343" xr:uid="{00000000-0005-0000-0000-0000D1000000}"/>
    <cellStyle name="_Currency_03-05-31 Final OBS Reports" xfId="344" xr:uid="{00000000-0005-0000-0000-0000D2000000}"/>
    <cellStyle name="_Currency_3-Yr Eyechart" xfId="345" xr:uid="{00000000-0005-0000-0000-0000D3000000}"/>
    <cellStyle name="_Currency_Alamosa Standalone6" xfId="346" xr:uid="{00000000-0005-0000-0000-0000D4000000}"/>
    <cellStyle name="_Currency_ARI Base Case July 25 TPS1" xfId="347" xr:uid="{00000000-0005-0000-0000-0000D5000000}"/>
    <cellStyle name="_Currency_Balance Sheet" xfId="348" xr:uid="{00000000-0005-0000-0000-0000D6000000}"/>
    <cellStyle name="_Currency_Balance Sheet_ControlTables" xfId="349" xr:uid="{00000000-0005-0000-0000-0000D7000000}"/>
    <cellStyle name="_Currency_Balance Sheet_ControlTablesI" xfId="350" xr:uid="{00000000-0005-0000-0000-0000D8000000}"/>
    <cellStyle name="_Currency_Balance Sheet_Database - Comparables" xfId="351" xr:uid="{00000000-0005-0000-0000-0000D9000000}"/>
    <cellStyle name="_Currency_Balance Sheet_DB_Eye" xfId="352" xr:uid="{00000000-0005-0000-0000-0000DA000000}"/>
    <cellStyle name="_Currency_Balance Sheet_Exec Summary" xfId="353" xr:uid="{00000000-0005-0000-0000-0000DB000000}"/>
    <cellStyle name="_Currency_Balance Sheet_Exec Summary_1" xfId="354" xr:uid="{00000000-0005-0000-0000-0000DC000000}"/>
    <cellStyle name="_Currency_Balance Sheet_Sheet1" xfId="355" xr:uid="{00000000-0005-0000-0000-0000DD000000}"/>
    <cellStyle name="_Currency_ControlTables" xfId="356" xr:uid="{00000000-0005-0000-0000-0000DE000000}"/>
    <cellStyle name="_Currency_ControlTablesI" xfId="357" xr:uid="{00000000-0005-0000-0000-0000DF000000}"/>
    <cellStyle name="_Currency_Cost Of Funds" xfId="358" xr:uid="{00000000-0005-0000-0000-0000E0000000}"/>
    <cellStyle name="_Currency_Criteria" xfId="359" xr:uid="{00000000-0005-0000-0000-0000E1000000}"/>
    <cellStyle name="_Currency_Criteria Test Export" xfId="360" xr:uid="{00000000-0005-0000-0000-0000E2000000}"/>
    <cellStyle name="_Currency_Criteria_ControlTables" xfId="361" xr:uid="{00000000-0005-0000-0000-0000E3000000}"/>
    <cellStyle name="_Currency_Criteria_ControlTablesI" xfId="362" xr:uid="{00000000-0005-0000-0000-0000E4000000}"/>
    <cellStyle name="_Currency_Criteria_Database - Comparables" xfId="363" xr:uid="{00000000-0005-0000-0000-0000E5000000}"/>
    <cellStyle name="_Currency_Criteria_DB_Eye" xfId="364" xr:uid="{00000000-0005-0000-0000-0000E6000000}"/>
    <cellStyle name="_Currency_Criteria_Exec Summary" xfId="365" xr:uid="{00000000-0005-0000-0000-0000E7000000}"/>
    <cellStyle name="_Currency_Criteria_Exec Summary_1" xfId="366" xr:uid="{00000000-0005-0000-0000-0000E8000000}"/>
    <cellStyle name="_Currency_Criteria_Sheet1" xfId="367" xr:uid="{00000000-0005-0000-0000-0000E9000000}"/>
    <cellStyle name="_Currency_Data Tape" xfId="368" xr:uid="{00000000-0005-0000-0000-0000EA000000}"/>
    <cellStyle name="_Currency_Data Tape_1" xfId="369" xr:uid="{00000000-0005-0000-0000-0000EB000000}"/>
    <cellStyle name="_Currency_Data Tape_ControlTables" xfId="370" xr:uid="{00000000-0005-0000-0000-0000EC000000}"/>
    <cellStyle name="_Currency_Data Tape_ControlTablesI" xfId="371" xr:uid="{00000000-0005-0000-0000-0000ED000000}"/>
    <cellStyle name="_Currency_Data Tape_Database - Comparables" xfId="372" xr:uid="{00000000-0005-0000-0000-0000EE000000}"/>
    <cellStyle name="_Currency_Data Tape_DB_Eye" xfId="373" xr:uid="{00000000-0005-0000-0000-0000EF000000}"/>
    <cellStyle name="_Currency_Data Tape_Exec Summary" xfId="374" xr:uid="{00000000-0005-0000-0000-0000F0000000}"/>
    <cellStyle name="_Currency_Data Tape_Exec Summary_1" xfId="375" xr:uid="{00000000-0005-0000-0000-0000F1000000}"/>
    <cellStyle name="_Currency_Data Tape_Sheet1" xfId="376" xr:uid="{00000000-0005-0000-0000-0000F2000000}"/>
    <cellStyle name="_Currency_Data_Tape" xfId="377" xr:uid="{00000000-0005-0000-0000-0000F3000000}"/>
    <cellStyle name="_Currency_Data_Tape_ControlTables" xfId="378" xr:uid="{00000000-0005-0000-0000-0000F4000000}"/>
    <cellStyle name="_Currency_Data_Tape_ControlTablesI" xfId="379" xr:uid="{00000000-0005-0000-0000-0000F5000000}"/>
    <cellStyle name="_Currency_Data_Tape_Database - Comparables" xfId="380" xr:uid="{00000000-0005-0000-0000-0000F6000000}"/>
    <cellStyle name="_Currency_Data_Tape_DB_Eye" xfId="381" xr:uid="{00000000-0005-0000-0000-0000F7000000}"/>
    <cellStyle name="_Currency_Data_Tape_Exec Summary" xfId="382" xr:uid="{00000000-0005-0000-0000-0000F8000000}"/>
    <cellStyle name="_Currency_Data_Tape_Exec Summary_1" xfId="383" xr:uid="{00000000-0005-0000-0000-0000F9000000}"/>
    <cellStyle name="_Currency_Data_Tape_Sheet1" xfId="384" xr:uid="{00000000-0005-0000-0000-0000FA000000}"/>
    <cellStyle name="_Currency_Database - Comparables" xfId="385" xr:uid="{00000000-0005-0000-0000-0000FB000000}"/>
    <cellStyle name="_Currency_Database - Economics" xfId="386" xr:uid="{00000000-0005-0000-0000-0000FC000000}"/>
    <cellStyle name="_Currency_DB_Eye" xfId="387" xr:uid="{00000000-0005-0000-0000-0000FD000000}"/>
    <cellStyle name="_Currency_Deal Input" xfId="388" xr:uid="{00000000-0005-0000-0000-0000FE000000}"/>
    <cellStyle name="_Currency_Direct Cap Eye" xfId="389" xr:uid="{00000000-0005-0000-0000-0000FF000000}"/>
    <cellStyle name="_Currency_DPEM2005_vBetatest6" xfId="390" xr:uid="{00000000-0005-0000-0000-000000010000}"/>
    <cellStyle name="_Currency_ETR" xfId="391" xr:uid="{00000000-0005-0000-0000-000001010000}"/>
    <cellStyle name="_Currency_Exec Summary" xfId="392" xr:uid="{00000000-0005-0000-0000-000002010000}"/>
    <cellStyle name="_Currency_Exec Summary_1" xfId="393" xr:uid="{00000000-0005-0000-0000-000003010000}"/>
    <cellStyle name="_Currency_Existing Debt" xfId="394" xr:uid="{00000000-0005-0000-0000-000004010000}"/>
    <cellStyle name="_Currency_Existing Debt_1" xfId="395" xr:uid="{00000000-0005-0000-0000-000005010000}"/>
    <cellStyle name="_Currency_EyeChart" xfId="396" xr:uid="{00000000-0005-0000-0000-000006010000}"/>
    <cellStyle name="_Currency_EyeChart 090503" xfId="397" xr:uid="{00000000-0005-0000-0000-000007010000}"/>
    <cellStyle name="_Currency_GMACCH_Loans_OBS_033103_Final_v2" xfId="398" xr:uid="{00000000-0005-0000-0000-000008010000}"/>
    <cellStyle name="_Currency_Input" xfId="399" xr:uid="{00000000-0005-0000-0000-000009010000}"/>
    <cellStyle name="_Currency_Input_1" xfId="400" xr:uid="{00000000-0005-0000-0000-00000A010000}"/>
    <cellStyle name="_Currency_Input_2" xfId="401" xr:uid="{00000000-0005-0000-0000-00000B010000}"/>
    <cellStyle name="_Currency_Input_ControlTables" xfId="402" xr:uid="{00000000-0005-0000-0000-00000C010000}"/>
    <cellStyle name="_Currency_Input_ControlTablesI" xfId="403" xr:uid="{00000000-0005-0000-0000-00000D010000}"/>
    <cellStyle name="_Currency_Input_Data Tape" xfId="404" xr:uid="{00000000-0005-0000-0000-00000E010000}"/>
    <cellStyle name="_Currency_Input_Database - Comparables" xfId="405" xr:uid="{00000000-0005-0000-0000-00000F010000}"/>
    <cellStyle name="_Currency_Input_Database - Economics" xfId="406" xr:uid="{00000000-0005-0000-0000-000010010000}"/>
    <cellStyle name="_Currency_Input_DB_Eye" xfId="407" xr:uid="{00000000-0005-0000-0000-000011010000}"/>
    <cellStyle name="_Currency_Input_Exec Summary" xfId="408" xr:uid="{00000000-0005-0000-0000-000012010000}"/>
    <cellStyle name="_Currency_Input_Exec Summary_1" xfId="409" xr:uid="{00000000-0005-0000-0000-000013010000}"/>
    <cellStyle name="_Currency_Input_Sheet1" xfId="410" xr:uid="{00000000-0005-0000-0000-000014010000}"/>
    <cellStyle name="_Currency_JV Economics" xfId="411" xr:uid="{00000000-0005-0000-0000-000015010000}"/>
    <cellStyle name="_Currency_M&amp;A Feed" xfId="412" xr:uid="{00000000-0005-0000-0000-000016010000}"/>
    <cellStyle name="_Currency_NPV Case Eyechart" xfId="413" xr:uid="{00000000-0005-0000-0000-000017010000}"/>
    <cellStyle name="_Currency_Pools" xfId="414" xr:uid="{00000000-0005-0000-0000-000018010000}"/>
    <cellStyle name="_Currency_Pools_1" xfId="415" xr:uid="{00000000-0005-0000-0000-000019010000}"/>
    <cellStyle name="_Currency_Pools_ControlTables" xfId="416" xr:uid="{00000000-0005-0000-0000-00001A010000}"/>
    <cellStyle name="_Currency_Pools_ControlTablesI" xfId="417" xr:uid="{00000000-0005-0000-0000-00001B010000}"/>
    <cellStyle name="_Currency_Pools_Database - Comparables" xfId="418" xr:uid="{00000000-0005-0000-0000-00001C010000}"/>
    <cellStyle name="_Currency_Pools_DB_Eye" xfId="419" xr:uid="{00000000-0005-0000-0000-00001D010000}"/>
    <cellStyle name="_Currency_Pools_Exec Summary" xfId="420" xr:uid="{00000000-0005-0000-0000-00001E010000}"/>
    <cellStyle name="_Currency_Pools_Exec Summary_1" xfId="421" xr:uid="{00000000-0005-0000-0000-00001F010000}"/>
    <cellStyle name="_Currency_Pools_Sheet1" xfId="422" xr:uid="{00000000-0005-0000-0000-000020010000}"/>
    <cellStyle name="_Currency_Portfolio Valuation" xfId="423" xr:uid="{00000000-0005-0000-0000-000021010000}"/>
    <cellStyle name="_Currency_Pricing" xfId="424" xr:uid="{00000000-0005-0000-0000-000022010000}"/>
    <cellStyle name="_Currency_Prop 13" xfId="425" xr:uid="{00000000-0005-0000-0000-000023010000}"/>
    <cellStyle name="_Currency_Prop 13 Data" xfId="426" xr:uid="{00000000-0005-0000-0000-000024010000}"/>
    <cellStyle name="_Currency_Prop 13 Summary-11-10" xfId="427" xr:uid="{00000000-0005-0000-0000-000025010000}"/>
    <cellStyle name="_Currency_Property Assumptions" xfId="428" xr:uid="{00000000-0005-0000-0000-000026010000}"/>
    <cellStyle name="_Currency_Property Assumptions_1" xfId="429" xr:uid="{00000000-0005-0000-0000-000027010000}"/>
    <cellStyle name="_Currency_Quick Property Input" xfId="430" xr:uid="{00000000-0005-0000-0000-000028010000}"/>
    <cellStyle name="_Currency_Roberts Standalone14 Quarterly 2" xfId="431" xr:uid="{00000000-0005-0000-0000-000029010000}"/>
    <cellStyle name="_Currency_Senario Input Assumptions" xfId="432" xr:uid="{00000000-0005-0000-0000-00002A010000}"/>
    <cellStyle name="_Currency_Senario Input Assumptions_ControlTables" xfId="433" xr:uid="{00000000-0005-0000-0000-00002B010000}"/>
    <cellStyle name="_Currency_Senario Input Assumptions_ControlTablesI" xfId="434" xr:uid="{00000000-0005-0000-0000-00002C010000}"/>
    <cellStyle name="_Currency_Senario Input Assumptions_Database - Comparables" xfId="435" xr:uid="{00000000-0005-0000-0000-00002D010000}"/>
    <cellStyle name="_Currency_Senario Input Assumptions_DB_Eye" xfId="436" xr:uid="{00000000-0005-0000-0000-00002E010000}"/>
    <cellStyle name="_Currency_Senario Input Assumptions_Exec Summary" xfId="437" xr:uid="{00000000-0005-0000-0000-00002F010000}"/>
    <cellStyle name="_Currency_Senario Input Assumptions_Exec Summary_1" xfId="438" xr:uid="{00000000-0005-0000-0000-000030010000}"/>
    <cellStyle name="_Currency_Senario Input Assumptions_Sheet1" xfId="439" xr:uid="{00000000-0005-0000-0000-000031010000}"/>
    <cellStyle name="_Currency_Sheet1" xfId="440" xr:uid="{00000000-0005-0000-0000-000032010000}"/>
    <cellStyle name="_Currency_Sheet1_1" xfId="441" xr:uid="{00000000-0005-0000-0000-000033010000}"/>
    <cellStyle name="_Currency_Sheet1_3-Yr Eyechart" xfId="442" xr:uid="{00000000-0005-0000-0000-000034010000}"/>
    <cellStyle name="_Currency_Sheet1_Balance Sheet" xfId="443" xr:uid="{00000000-0005-0000-0000-000035010000}"/>
    <cellStyle name="_Currency_Sheet1_Balance Sheet_ControlTables" xfId="444" xr:uid="{00000000-0005-0000-0000-000036010000}"/>
    <cellStyle name="_Currency_Sheet1_Balance Sheet_ControlTablesI" xfId="445" xr:uid="{00000000-0005-0000-0000-000037010000}"/>
    <cellStyle name="_Currency_Sheet1_Balance Sheet_Database - Comparables" xfId="446" xr:uid="{00000000-0005-0000-0000-000038010000}"/>
    <cellStyle name="_Currency_Sheet1_Balance Sheet_DB_Eye" xfId="447" xr:uid="{00000000-0005-0000-0000-000039010000}"/>
    <cellStyle name="_Currency_Sheet1_Balance Sheet_Exec Summary" xfId="448" xr:uid="{00000000-0005-0000-0000-00003A010000}"/>
    <cellStyle name="_Currency_Sheet1_Balance Sheet_Exec Summary_1" xfId="449" xr:uid="{00000000-0005-0000-0000-00003B010000}"/>
    <cellStyle name="_Currency_Sheet1_Balance Sheet_Sheet1" xfId="450" xr:uid="{00000000-0005-0000-0000-00003C010000}"/>
    <cellStyle name="_Currency_Sheet1_ControlTables" xfId="451" xr:uid="{00000000-0005-0000-0000-00003D010000}"/>
    <cellStyle name="_Currency_Sheet1_ControlTablesI" xfId="452" xr:uid="{00000000-0005-0000-0000-00003E010000}"/>
    <cellStyle name="_Currency_Sheet1_Cost Of Funds" xfId="453" xr:uid="{00000000-0005-0000-0000-00003F010000}"/>
    <cellStyle name="_Currency_Sheet1_Criteria" xfId="454" xr:uid="{00000000-0005-0000-0000-000040010000}"/>
    <cellStyle name="_Currency_Sheet1_Criteria Test Export" xfId="455" xr:uid="{00000000-0005-0000-0000-000041010000}"/>
    <cellStyle name="_Currency_Sheet1_Criteria_ControlTables" xfId="456" xr:uid="{00000000-0005-0000-0000-000042010000}"/>
    <cellStyle name="_Currency_Sheet1_Criteria_ControlTablesI" xfId="457" xr:uid="{00000000-0005-0000-0000-000043010000}"/>
    <cellStyle name="_Currency_Sheet1_Criteria_Database - Comparables" xfId="458" xr:uid="{00000000-0005-0000-0000-000044010000}"/>
    <cellStyle name="_Currency_Sheet1_Criteria_DB_Eye" xfId="459" xr:uid="{00000000-0005-0000-0000-000045010000}"/>
    <cellStyle name="_Currency_Sheet1_Criteria_Exec Summary" xfId="460" xr:uid="{00000000-0005-0000-0000-000046010000}"/>
    <cellStyle name="_Currency_Sheet1_Criteria_Exec Summary_1" xfId="461" xr:uid="{00000000-0005-0000-0000-000047010000}"/>
    <cellStyle name="_Currency_Sheet1_Criteria_Sheet1" xfId="462" xr:uid="{00000000-0005-0000-0000-000048010000}"/>
    <cellStyle name="_Currency_Sheet1_Data Tape" xfId="463" xr:uid="{00000000-0005-0000-0000-000049010000}"/>
    <cellStyle name="_Currency_Sheet1_Data Tape_1" xfId="464" xr:uid="{00000000-0005-0000-0000-00004A010000}"/>
    <cellStyle name="_Currency_Sheet1_Data Tape_ControlTables" xfId="465" xr:uid="{00000000-0005-0000-0000-00004B010000}"/>
    <cellStyle name="_Currency_Sheet1_Data Tape_ControlTablesI" xfId="466" xr:uid="{00000000-0005-0000-0000-00004C010000}"/>
    <cellStyle name="_Currency_Sheet1_Data Tape_Database - Comparables" xfId="467" xr:uid="{00000000-0005-0000-0000-00004D010000}"/>
    <cellStyle name="_Currency_Sheet1_Data Tape_DB_Eye" xfId="468" xr:uid="{00000000-0005-0000-0000-00004E010000}"/>
    <cellStyle name="_Currency_Sheet1_Data Tape_Exec Summary" xfId="469" xr:uid="{00000000-0005-0000-0000-00004F010000}"/>
    <cellStyle name="_Currency_Sheet1_Data Tape_Exec Summary_1" xfId="470" xr:uid="{00000000-0005-0000-0000-000050010000}"/>
    <cellStyle name="_Currency_Sheet1_Data Tape_Sheet1" xfId="471" xr:uid="{00000000-0005-0000-0000-000051010000}"/>
    <cellStyle name="_Currency_Sheet1_Data_Tape" xfId="472" xr:uid="{00000000-0005-0000-0000-000052010000}"/>
    <cellStyle name="_Currency_Sheet1_Data_Tape_ControlTables" xfId="473" xr:uid="{00000000-0005-0000-0000-000053010000}"/>
    <cellStyle name="_Currency_Sheet1_Data_Tape_ControlTablesI" xfId="474" xr:uid="{00000000-0005-0000-0000-000054010000}"/>
    <cellStyle name="_Currency_Sheet1_Data_Tape_DB_Eye" xfId="475" xr:uid="{00000000-0005-0000-0000-000055010000}"/>
    <cellStyle name="_Currency_Sheet1_Data_Tape_Exec Summary" xfId="476" xr:uid="{00000000-0005-0000-0000-000056010000}"/>
    <cellStyle name="_Currency_Sheet1_Data_Tape_Exec Summary_1" xfId="477" xr:uid="{00000000-0005-0000-0000-000057010000}"/>
    <cellStyle name="_Currency_Sheet1_Data_Tape_Sheet1" xfId="478" xr:uid="{00000000-0005-0000-0000-000058010000}"/>
    <cellStyle name="_Currency_Sheet1_Database - Comparables" xfId="479" xr:uid="{00000000-0005-0000-0000-000059010000}"/>
    <cellStyle name="_Currency_Sheet1_Database - Economics" xfId="480" xr:uid="{00000000-0005-0000-0000-00005A010000}"/>
    <cellStyle name="_Currency_Sheet1_DB_Eye" xfId="481" xr:uid="{00000000-0005-0000-0000-00005B010000}"/>
    <cellStyle name="_Currency_Sheet1_Deal Input" xfId="482" xr:uid="{00000000-0005-0000-0000-00005C010000}"/>
    <cellStyle name="_Currency_Sheet1_Direct Cap Eye" xfId="483" xr:uid="{00000000-0005-0000-0000-00005D010000}"/>
    <cellStyle name="_Currency_Sheet1_DPEM2005_vBetatest6" xfId="484" xr:uid="{00000000-0005-0000-0000-00005E010000}"/>
    <cellStyle name="_Currency_Sheet1_ETR" xfId="485" xr:uid="{00000000-0005-0000-0000-00005F010000}"/>
    <cellStyle name="_Currency_Sheet1_Exec Summary" xfId="486" xr:uid="{00000000-0005-0000-0000-000060010000}"/>
    <cellStyle name="_Currency_Sheet1_Exec Summary_1" xfId="487" xr:uid="{00000000-0005-0000-0000-000061010000}"/>
    <cellStyle name="_Currency_Sheet1_Existing Debt" xfId="488" xr:uid="{00000000-0005-0000-0000-000062010000}"/>
    <cellStyle name="_Currency_Sheet1_Input" xfId="489" xr:uid="{00000000-0005-0000-0000-000063010000}"/>
    <cellStyle name="_Currency_Sheet1_Input_1" xfId="490" xr:uid="{00000000-0005-0000-0000-000064010000}"/>
    <cellStyle name="_Currency_Sheet1_Input_ControlTables" xfId="491" xr:uid="{00000000-0005-0000-0000-000065010000}"/>
    <cellStyle name="_Currency_Sheet1_Input_ControlTablesI" xfId="492" xr:uid="{00000000-0005-0000-0000-000066010000}"/>
    <cellStyle name="_Currency_Sheet1_Input_Data Tape" xfId="493" xr:uid="{00000000-0005-0000-0000-000067010000}"/>
    <cellStyle name="_Currency_Sheet1_Input_Database - Economics" xfId="494" xr:uid="{00000000-0005-0000-0000-000068010000}"/>
    <cellStyle name="_Currency_Sheet1_Input_DB_Eye" xfId="495" xr:uid="{00000000-0005-0000-0000-000069010000}"/>
    <cellStyle name="_Currency_Sheet1_Input_Exec Summary" xfId="496" xr:uid="{00000000-0005-0000-0000-00006A010000}"/>
    <cellStyle name="_Currency_Sheet1_Input_Exec Summary_1" xfId="497" xr:uid="{00000000-0005-0000-0000-00006B010000}"/>
    <cellStyle name="_Currency_Sheet1_Input_Sheet1" xfId="498" xr:uid="{00000000-0005-0000-0000-00006C010000}"/>
    <cellStyle name="_Currency_Sheet1_M&amp;A Feed" xfId="499" xr:uid="{00000000-0005-0000-0000-00006D010000}"/>
    <cellStyle name="_Currency_Sheet1_NPV Case Eyechart" xfId="500" xr:uid="{00000000-0005-0000-0000-00006E010000}"/>
    <cellStyle name="_Currency_Sheet1_Pools" xfId="501" xr:uid="{00000000-0005-0000-0000-00006F010000}"/>
    <cellStyle name="_Currency_Sheet1_Pools_1" xfId="502" xr:uid="{00000000-0005-0000-0000-000070010000}"/>
    <cellStyle name="_Currency_Sheet1_Pools_ControlTables" xfId="503" xr:uid="{00000000-0005-0000-0000-000071010000}"/>
    <cellStyle name="_Currency_Sheet1_Pools_ControlTablesI" xfId="504" xr:uid="{00000000-0005-0000-0000-000072010000}"/>
    <cellStyle name="_Currency_Sheet1_Pools_DB_Eye" xfId="505" xr:uid="{00000000-0005-0000-0000-000073010000}"/>
    <cellStyle name="_Currency_Sheet1_Pools_Exec Summary" xfId="506" xr:uid="{00000000-0005-0000-0000-000074010000}"/>
    <cellStyle name="_Currency_Sheet1_Pools_Exec Summary_1" xfId="507" xr:uid="{00000000-0005-0000-0000-000075010000}"/>
    <cellStyle name="_Currency_Sheet1_Pools_Sheet1" xfId="508" xr:uid="{00000000-0005-0000-0000-000076010000}"/>
    <cellStyle name="_Currency_Sheet1_Portfolio Valuation" xfId="509" xr:uid="{00000000-0005-0000-0000-000077010000}"/>
    <cellStyle name="_Currency_Sheet1_Prop 13" xfId="510" xr:uid="{00000000-0005-0000-0000-000078010000}"/>
    <cellStyle name="_Currency_Sheet1_Prop 13 Data" xfId="511" xr:uid="{00000000-0005-0000-0000-000079010000}"/>
    <cellStyle name="_Currency_Sheet1_Prop 13 Summary-11-10" xfId="512" xr:uid="{00000000-0005-0000-0000-00007A010000}"/>
    <cellStyle name="_Currency_Sheet1_Property Assumptions" xfId="513" xr:uid="{00000000-0005-0000-0000-00007B010000}"/>
    <cellStyle name="_Currency_Sheet1_Property Assumptions_1" xfId="514" xr:uid="{00000000-0005-0000-0000-00007C010000}"/>
    <cellStyle name="_Currency_Sheet1_Quick Property Input" xfId="515" xr:uid="{00000000-0005-0000-0000-00007D010000}"/>
    <cellStyle name="_Currency_Sheet1_Senario Input Assumptions" xfId="516" xr:uid="{00000000-0005-0000-0000-00007E010000}"/>
    <cellStyle name="_Currency_Sheet1_Senario Input Assumptions_ControlTables" xfId="517" xr:uid="{00000000-0005-0000-0000-00007F010000}"/>
    <cellStyle name="_Currency_Sheet1_Senario Input Assumptions_ControlTablesI" xfId="518" xr:uid="{00000000-0005-0000-0000-000080010000}"/>
    <cellStyle name="_Currency_Sheet1_Senario Input Assumptions_DB_Eye" xfId="519" xr:uid="{00000000-0005-0000-0000-000081010000}"/>
    <cellStyle name="_Currency_Sheet1_Senario Input Assumptions_Exec Summary" xfId="520" xr:uid="{00000000-0005-0000-0000-000082010000}"/>
    <cellStyle name="_Currency_Sheet1_Senario Input Assumptions_Exec Summary_1" xfId="521" xr:uid="{00000000-0005-0000-0000-000083010000}"/>
    <cellStyle name="_Currency_Sheet1_Senario Input Assumptions_Sheet1" xfId="522" xr:uid="{00000000-0005-0000-0000-000084010000}"/>
    <cellStyle name="_Currency_Sheet1_Sheet1" xfId="523" xr:uid="{00000000-0005-0000-0000-000085010000}"/>
    <cellStyle name="_Currency_Sheet1_Sheet1_Data Tape" xfId="524" xr:uid="{00000000-0005-0000-0000-000086010000}"/>
    <cellStyle name="_Currency_Sheet1_Sheet1_Database - Eyechart" xfId="525" xr:uid="{00000000-0005-0000-0000-000087010000}"/>
    <cellStyle name="_Currency_Sheet1_Sheet1_Deal Assumptions" xfId="526" xr:uid="{00000000-0005-0000-0000-000088010000}"/>
    <cellStyle name="_Currency_Sheet1_Sheet1_Model" xfId="527" xr:uid="{00000000-0005-0000-0000-000089010000}"/>
    <cellStyle name="_Currency_Sheet1_Sheet1_Monthly CF Input" xfId="528" xr:uid="{00000000-0005-0000-0000-00008A010000}"/>
    <cellStyle name="_Currency_Sheet1_Sheet1_Property Assumptions" xfId="529" xr:uid="{00000000-0005-0000-0000-00008B010000}"/>
    <cellStyle name="_Currency_Sheet1_Sheet1_RE Valuation 2" xfId="530" xr:uid="{00000000-0005-0000-0000-00008C010000}"/>
    <cellStyle name="_Currency_Sheet1_Sheet1_Sensitivities" xfId="531" xr:uid="{00000000-0005-0000-0000-00008D010000}"/>
    <cellStyle name="_Currency_Sheet1_Sheet2" xfId="532" xr:uid="{00000000-0005-0000-0000-00008E010000}"/>
    <cellStyle name="_Currency_Sheet1_Sheet2_1" xfId="533" xr:uid="{00000000-0005-0000-0000-00008F010000}"/>
    <cellStyle name="_Currency_Sheet1_Sheet3" xfId="534" xr:uid="{00000000-0005-0000-0000-000090010000}"/>
    <cellStyle name="_Currency_Sheet1_Sheet5" xfId="535" xr:uid="{00000000-0005-0000-0000-000091010000}"/>
    <cellStyle name="_Currency_Sheet1_Structure Model_2003_test2" xfId="536" xr:uid="{00000000-0005-0000-0000-000092010000}"/>
    <cellStyle name="_Currency_Sheet1_Structure Model_2003_test2_ControlTables" xfId="537" xr:uid="{00000000-0005-0000-0000-000093010000}"/>
    <cellStyle name="_Currency_Sheet1_Structure Model_2003_test2_ControlTablesI" xfId="538" xr:uid="{00000000-0005-0000-0000-000094010000}"/>
    <cellStyle name="_Currency_Sheet1_Structure Model_2003_test2_DB_Eye" xfId="539" xr:uid="{00000000-0005-0000-0000-000095010000}"/>
    <cellStyle name="_Currency_Sheet1_Structure Model_2003_test2_Exec Summary" xfId="540" xr:uid="{00000000-0005-0000-0000-000096010000}"/>
    <cellStyle name="_Currency_Sheet1_Structure Model_2003_test2_Exec Summary_1" xfId="541" xr:uid="{00000000-0005-0000-0000-000097010000}"/>
    <cellStyle name="_Currency_Sheet1_Structure Model_2003_test2_Sheet1" xfId="542" xr:uid="{00000000-0005-0000-0000-000098010000}"/>
    <cellStyle name="_Currency_Sheet2" xfId="543" xr:uid="{00000000-0005-0000-0000-000099010000}"/>
    <cellStyle name="_Currency_Sheet2_1" xfId="544" xr:uid="{00000000-0005-0000-0000-00009A010000}"/>
    <cellStyle name="_Currency_Sheet3" xfId="545" xr:uid="{00000000-0005-0000-0000-00009B010000}"/>
    <cellStyle name="_Currency_Sheet3_1" xfId="546" xr:uid="{00000000-0005-0000-0000-00009C010000}"/>
    <cellStyle name="_Currency_Sheet3_ControlTables" xfId="547" xr:uid="{00000000-0005-0000-0000-00009D010000}"/>
    <cellStyle name="_Currency_Sheet3_ControlTablesI" xfId="548" xr:uid="{00000000-0005-0000-0000-00009E010000}"/>
    <cellStyle name="_Currency_Sheet3_DB_Eye" xfId="549" xr:uid="{00000000-0005-0000-0000-00009F010000}"/>
    <cellStyle name="_Currency_Sheet3_Exec Summary" xfId="550" xr:uid="{00000000-0005-0000-0000-0000A0010000}"/>
    <cellStyle name="_Currency_Sheet3_Exec Summary_1" xfId="551" xr:uid="{00000000-0005-0000-0000-0000A1010000}"/>
    <cellStyle name="_Currency_Sheet3_Sheet1" xfId="552" xr:uid="{00000000-0005-0000-0000-0000A2010000}"/>
    <cellStyle name="_Currency_Sheet4" xfId="553" xr:uid="{00000000-0005-0000-0000-0000A3010000}"/>
    <cellStyle name="_Currency_Sheet5" xfId="554" xr:uid="{00000000-0005-0000-0000-0000A4010000}"/>
    <cellStyle name="_Currency_Structure Model_2003_test2" xfId="555" xr:uid="{00000000-0005-0000-0000-0000A5010000}"/>
    <cellStyle name="_Currency_Structure Model_2003_test2_ControlTables" xfId="556" xr:uid="{00000000-0005-0000-0000-0000A6010000}"/>
    <cellStyle name="_Currency_Structure Model_2003_test2_ControlTablesI" xfId="557" xr:uid="{00000000-0005-0000-0000-0000A7010000}"/>
    <cellStyle name="_Currency_Structure Model_2003_test2_DB_Eye" xfId="558" xr:uid="{00000000-0005-0000-0000-0000A8010000}"/>
    <cellStyle name="_Currency_Structure Model_2003_test2_Exec Summary" xfId="559" xr:uid="{00000000-0005-0000-0000-0000A9010000}"/>
    <cellStyle name="_Currency_Structure Model_2003_test2_Exec Summary_1" xfId="560" xr:uid="{00000000-0005-0000-0000-0000AA010000}"/>
    <cellStyle name="_Currency_Structure Model_2003_test2_Sheet1" xfId="561" xr:uid="{00000000-0005-0000-0000-0000AB010000}"/>
    <cellStyle name="_CurrencySpace" xfId="562" xr:uid="{00000000-0005-0000-0000-0000AC010000}"/>
    <cellStyle name="_CurrencySpace_3-Yr Eyechart" xfId="563" xr:uid="{00000000-0005-0000-0000-0000AD010000}"/>
    <cellStyle name="_CurrencySpace_Balance Sheet" xfId="564" xr:uid="{00000000-0005-0000-0000-0000AE010000}"/>
    <cellStyle name="_CurrencySpace_Balance Sheet_ControlTables" xfId="565" xr:uid="{00000000-0005-0000-0000-0000AF010000}"/>
    <cellStyle name="_CurrencySpace_Balance Sheet_ControlTablesI" xfId="566" xr:uid="{00000000-0005-0000-0000-0000B0010000}"/>
    <cellStyle name="_CurrencySpace_Balance Sheet_DB_Eye" xfId="567" xr:uid="{00000000-0005-0000-0000-0000B1010000}"/>
    <cellStyle name="_CurrencySpace_Balance Sheet_Exec Summary" xfId="568" xr:uid="{00000000-0005-0000-0000-0000B2010000}"/>
    <cellStyle name="_CurrencySpace_Balance Sheet_Exec Summary_1" xfId="569" xr:uid="{00000000-0005-0000-0000-0000B3010000}"/>
    <cellStyle name="_CurrencySpace_Balance Sheet_Sheet1" xfId="570" xr:uid="{00000000-0005-0000-0000-0000B4010000}"/>
    <cellStyle name="_CurrencySpace_ControlTables" xfId="571" xr:uid="{00000000-0005-0000-0000-0000B5010000}"/>
    <cellStyle name="_CurrencySpace_ControlTablesI" xfId="572" xr:uid="{00000000-0005-0000-0000-0000B6010000}"/>
    <cellStyle name="_CurrencySpace_Cost Of Funds" xfId="573" xr:uid="{00000000-0005-0000-0000-0000B7010000}"/>
    <cellStyle name="_CurrencySpace_Criteria" xfId="574" xr:uid="{00000000-0005-0000-0000-0000B8010000}"/>
    <cellStyle name="_CurrencySpace_Criteria Test Export" xfId="575" xr:uid="{00000000-0005-0000-0000-0000B9010000}"/>
    <cellStyle name="_CurrencySpace_Criteria_ControlTables" xfId="576" xr:uid="{00000000-0005-0000-0000-0000BA010000}"/>
    <cellStyle name="_CurrencySpace_Criteria_ControlTablesI" xfId="577" xr:uid="{00000000-0005-0000-0000-0000BB010000}"/>
    <cellStyle name="_CurrencySpace_Criteria_DB_Eye" xfId="578" xr:uid="{00000000-0005-0000-0000-0000BC010000}"/>
    <cellStyle name="_CurrencySpace_Criteria_Exec Summary" xfId="579" xr:uid="{00000000-0005-0000-0000-0000BD010000}"/>
    <cellStyle name="_CurrencySpace_Criteria_Exec Summary_1" xfId="580" xr:uid="{00000000-0005-0000-0000-0000BE010000}"/>
    <cellStyle name="_CurrencySpace_Criteria_Sheet1" xfId="581" xr:uid="{00000000-0005-0000-0000-0000BF010000}"/>
    <cellStyle name="_CurrencySpace_Data Tape" xfId="582" xr:uid="{00000000-0005-0000-0000-0000C0010000}"/>
    <cellStyle name="_CurrencySpace_Data Tape_1" xfId="583" xr:uid="{00000000-0005-0000-0000-0000C1010000}"/>
    <cellStyle name="_CurrencySpace_Data Tape_ControlTables" xfId="584" xr:uid="{00000000-0005-0000-0000-0000C2010000}"/>
    <cellStyle name="_CurrencySpace_Data Tape_ControlTablesI" xfId="585" xr:uid="{00000000-0005-0000-0000-0000C3010000}"/>
    <cellStyle name="_CurrencySpace_Data Tape_DB_Eye" xfId="586" xr:uid="{00000000-0005-0000-0000-0000C4010000}"/>
    <cellStyle name="_CurrencySpace_Data Tape_Exec Summary" xfId="587" xr:uid="{00000000-0005-0000-0000-0000C5010000}"/>
    <cellStyle name="_CurrencySpace_Data Tape_Exec Summary_1" xfId="588" xr:uid="{00000000-0005-0000-0000-0000C6010000}"/>
    <cellStyle name="_CurrencySpace_Data Tape_Sheet1" xfId="589" xr:uid="{00000000-0005-0000-0000-0000C7010000}"/>
    <cellStyle name="_CurrencySpace_Data_Tape" xfId="590" xr:uid="{00000000-0005-0000-0000-0000C8010000}"/>
    <cellStyle name="_CurrencySpace_Database - Economics" xfId="591" xr:uid="{00000000-0005-0000-0000-0000C9010000}"/>
    <cellStyle name="_CurrencySpace_DB_Eye" xfId="592" xr:uid="{00000000-0005-0000-0000-0000CA010000}"/>
    <cellStyle name="_CurrencySpace_Deal Input" xfId="593" xr:uid="{00000000-0005-0000-0000-0000CB010000}"/>
    <cellStyle name="_CurrencySpace_Direct Cap Eye" xfId="594" xr:uid="{00000000-0005-0000-0000-0000CC010000}"/>
    <cellStyle name="_CurrencySpace_DPEM2005_vBetatest6" xfId="595" xr:uid="{00000000-0005-0000-0000-0000CD010000}"/>
    <cellStyle name="_CurrencySpace_ETR" xfId="596" xr:uid="{00000000-0005-0000-0000-0000CE010000}"/>
    <cellStyle name="_CurrencySpace_Exec Summary" xfId="597" xr:uid="{00000000-0005-0000-0000-0000CF010000}"/>
    <cellStyle name="_CurrencySpace_Exec Summary_1" xfId="598" xr:uid="{00000000-0005-0000-0000-0000D0010000}"/>
    <cellStyle name="_CurrencySpace_Existing Debt" xfId="599" xr:uid="{00000000-0005-0000-0000-0000D1010000}"/>
    <cellStyle name="_CurrencySpace_EyeChart" xfId="600" xr:uid="{00000000-0005-0000-0000-0000D2010000}"/>
    <cellStyle name="_CurrencySpace_EyeChart 090503" xfId="601" xr:uid="{00000000-0005-0000-0000-0000D3010000}"/>
    <cellStyle name="_CurrencySpace_Input" xfId="602" xr:uid="{00000000-0005-0000-0000-0000D4010000}"/>
    <cellStyle name="_CurrencySpace_Input_1" xfId="603" xr:uid="{00000000-0005-0000-0000-0000D5010000}"/>
    <cellStyle name="_CurrencySpace_Input_ControlTables" xfId="604" xr:uid="{00000000-0005-0000-0000-0000D6010000}"/>
    <cellStyle name="_CurrencySpace_Input_ControlTablesI" xfId="605" xr:uid="{00000000-0005-0000-0000-0000D7010000}"/>
    <cellStyle name="_CurrencySpace_Input_Data Tape" xfId="606" xr:uid="{00000000-0005-0000-0000-0000D8010000}"/>
    <cellStyle name="_CurrencySpace_Input_Database - Economics" xfId="607" xr:uid="{00000000-0005-0000-0000-0000D9010000}"/>
    <cellStyle name="_CurrencySpace_Input_DB_Eye" xfId="608" xr:uid="{00000000-0005-0000-0000-0000DA010000}"/>
    <cellStyle name="_CurrencySpace_Input_Exec Summary" xfId="609" xr:uid="{00000000-0005-0000-0000-0000DB010000}"/>
    <cellStyle name="_CurrencySpace_Input_Exec Summary_1" xfId="610" xr:uid="{00000000-0005-0000-0000-0000DC010000}"/>
    <cellStyle name="_CurrencySpace_Input_Sheet1" xfId="611" xr:uid="{00000000-0005-0000-0000-0000DD010000}"/>
    <cellStyle name="_CurrencySpace_JV Economics" xfId="612" xr:uid="{00000000-0005-0000-0000-0000DE010000}"/>
    <cellStyle name="_CurrencySpace_M&amp;A Feed" xfId="613" xr:uid="{00000000-0005-0000-0000-0000DF010000}"/>
    <cellStyle name="_CurrencySpace_NPV Case Eyechart" xfId="614" xr:uid="{00000000-0005-0000-0000-0000E0010000}"/>
    <cellStyle name="_CurrencySpace_Pools" xfId="615" xr:uid="{00000000-0005-0000-0000-0000E1010000}"/>
    <cellStyle name="_CurrencySpace_Pools_1" xfId="616" xr:uid="{00000000-0005-0000-0000-0000E2010000}"/>
    <cellStyle name="_CurrencySpace_Portfolio Valuation" xfId="617" xr:uid="{00000000-0005-0000-0000-0000E3010000}"/>
    <cellStyle name="_CurrencySpace_Pricing" xfId="618" xr:uid="{00000000-0005-0000-0000-0000E4010000}"/>
    <cellStyle name="_CurrencySpace_Prop 13" xfId="619" xr:uid="{00000000-0005-0000-0000-0000E5010000}"/>
    <cellStyle name="_CurrencySpace_Prop 13 Data" xfId="620" xr:uid="{00000000-0005-0000-0000-0000E6010000}"/>
    <cellStyle name="_CurrencySpace_Prop 13 Summary-11-10" xfId="621" xr:uid="{00000000-0005-0000-0000-0000E7010000}"/>
    <cellStyle name="_CurrencySpace_Property Assumptions" xfId="622" xr:uid="{00000000-0005-0000-0000-0000E8010000}"/>
    <cellStyle name="_CurrencySpace_Property Assumptions_1" xfId="623" xr:uid="{00000000-0005-0000-0000-0000E9010000}"/>
    <cellStyle name="_CurrencySpace_Quick Property Input" xfId="624" xr:uid="{00000000-0005-0000-0000-0000EA010000}"/>
    <cellStyle name="_CurrencySpace_Senario Input Assumptions" xfId="625" xr:uid="{00000000-0005-0000-0000-0000EB010000}"/>
    <cellStyle name="_CurrencySpace_Senario Input Assumptions_ControlTables" xfId="626" xr:uid="{00000000-0005-0000-0000-0000EC010000}"/>
    <cellStyle name="_CurrencySpace_Senario Input Assumptions_ControlTablesI" xfId="627" xr:uid="{00000000-0005-0000-0000-0000ED010000}"/>
    <cellStyle name="_CurrencySpace_Senario Input Assumptions_DB_Eye" xfId="628" xr:uid="{00000000-0005-0000-0000-0000EE010000}"/>
    <cellStyle name="_CurrencySpace_Senario Input Assumptions_Exec Summary" xfId="629" xr:uid="{00000000-0005-0000-0000-0000EF010000}"/>
    <cellStyle name="_CurrencySpace_Senario Input Assumptions_Exec Summary_1" xfId="630" xr:uid="{00000000-0005-0000-0000-0000F0010000}"/>
    <cellStyle name="_CurrencySpace_Senario Input Assumptions_Sheet1" xfId="631" xr:uid="{00000000-0005-0000-0000-0000F1010000}"/>
    <cellStyle name="_CurrencySpace_Sheet1" xfId="632" xr:uid="{00000000-0005-0000-0000-0000F2010000}"/>
    <cellStyle name="_CurrencySpace_Sheet1_1" xfId="633" xr:uid="{00000000-0005-0000-0000-0000F3010000}"/>
    <cellStyle name="_CurrencySpace_Sheet1_3-Yr Eyechart" xfId="634" xr:uid="{00000000-0005-0000-0000-0000F4010000}"/>
    <cellStyle name="_CurrencySpace_Sheet1_Balance Sheet" xfId="635" xr:uid="{00000000-0005-0000-0000-0000F5010000}"/>
    <cellStyle name="_CurrencySpace_Sheet1_Cost Of Funds" xfId="636" xr:uid="{00000000-0005-0000-0000-0000F6010000}"/>
    <cellStyle name="_CurrencySpace_Sheet1_Criteria" xfId="637" xr:uid="{00000000-0005-0000-0000-0000F7010000}"/>
    <cellStyle name="_CurrencySpace_Sheet1_Criteria Test Export" xfId="638" xr:uid="{00000000-0005-0000-0000-0000F8010000}"/>
    <cellStyle name="_CurrencySpace_Sheet1_Data Tape" xfId="639" xr:uid="{00000000-0005-0000-0000-0000F9010000}"/>
    <cellStyle name="_CurrencySpace_Sheet1_Data Tape_1" xfId="640" xr:uid="{00000000-0005-0000-0000-0000FA010000}"/>
    <cellStyle name="_CurrencySpace_Sheet1_Data_Tape" xfId="641" xr:uid="{00000000-0005-0000-0000-0000FB010000}"/>
    <cellStyle name="_CurrencySpace_Sheet1_Data_Tape_ControlTables" xfId="642" xr:uid="{00000000-0005-0000-0000-0000FC010000}"/>
    <cellStyle name="_CurrencySpace_Sheet1_Data_Tape_ControlTablesI" xfId="643" xr:uid="{00000000-0005-0000-0000-0000FD010000}"/>
    <cellStyle name="_CurrencySpace_Sheet1_Data_Tape_DB_Eye" xfId="644" xr:uid="{00000000-0005-0000-0000-0000FE010000}"/>
    <cellStyle name="_CurrencySpace_Sheet1_Data_Tape_Exec Summary" xfId="645" xr:uid="{00000000-0005-0000-0000-0000FF010000}"/>
    <cellStyle name="_CurrencySpace_Sheet1_Data_Tape_Exec Summary_1" xfId="646" xr:uid="{00000000-0005-0000-0000-000000020000}"/>
    <cellStyle name="_CurrencySpace_Sheet1_Data_Tape_Sheet1" xfId="647" xr:uid="{00000000-0005-0000-0000-000001020000}"/>
    <cellStyle name="_CurrencySpace_Sheet1_Database - Economics" xfId="648" xr:uid="{00000000-0005-0000-0000-000002020000}"/>
    <cellStyle name="_CurrencySpace_Sheet1_Deal Input" xfId="649" xr:uid="{00000000-0005-0000-0000-000003020000}"/>
    <cellStyle name="_CurrencySpace_Sheet1_Direct Cap Eye" xfId="650" xr:uid="{00000000-0005-0000-0000-000004020000}"/>
    <cellStyle name="_CurrencySpace_Sheet1_DPEM2005_vBetatest6" xfId="651" xr:uid="{00000000-0005-0000-0000-000005020000}"/>
    <cellStyle name="_CurrencySpace_Sheet1_ETR" xfId="652" xr:uid="{00000000-0005-0000-0000-000006020000}"/>
    <cellStyle name="_CurrencySpace_Sheet1_Existing Debt" xfId="653" xr:uid="{00000000-0005-0000-0000-000007020000}"/>
    <cellStyle name="_CurrencySpace_Sheet1_Input" xfId="654" xr:uid="{00000000-0005-0000-0000-000008020000}"/>
    <cellStyle name="_CurrencySpace_Sheet1_Input_1" xfId="655" xr:uid="{00000000-0005-0000-0000-000009020000}"/>
    <cellStyle name="_CurrencySpace_Sheet1_Input_Data Tape" xfId="656" xr:uid="{00000000-0005-0000-0000-00000A020000}"/>
    <cellStyle name="_CurrencySpace_Sheet1_Input_Database - Economics" xfId="657" xr:uid="{00000000-0005-0000-0000-00000B020000}"/>
    <cellStyle name="_CurrencySpace_Sheet1_M&amp;A Feed" xfId="658" xr:uid="{00000000-0005-0000-0000-00000C020000}"/>
    <cellStyle name="_CurrencySpace_Sheet1_NPV Case Eyechart" xfId="659" xr:uid="{00000000-0005-0000-0000-00000D020000}"/>
    <cellStyle name="_CurrencySpace_Sheet1_Pools" xfId="660" xr:uid="{00000000-0005-0000-0000-00000E020000}"/>
    <cellStyle name="_CurrencySpace_Sheet1_Pools_1" xfId="661" xr:uid="{00000000-0005-0000-0000-00000F020000}"/>
    <cellStyle name="_CurrencySpace_Sheet1_Pools_ControlTables" xfId="662" xr:uid="{00000000-0005-0000-0000-000010020000}"/>
    <cellStyle name="_CurrencySpace_Sheet1_Pools_ControlTablesI" xfId="663" xr:uid="{00000000-0005-0000-0000-000011020000}"/>
    <cellStyle name="_CurrencySpace_Sheet1_Pools_DB_Eye" xfId="664" xr:uid="{00000000-0005-0000-0000-000012020000}"/>
    <cellStyle name="_CurrencySpace_Sheet1_Pools_Exec Summary" xfId="665" xr:uid="{00000000-0005-0000-0000-000013020000}"/>
    <cellStyle name="_CurrencySpace_Sheet1_Pools_Exec Summary_1" xfId="666" xr:uid="{00000000-0005-0000-0000-000014020000}"/>
    <cellStyle name="_CurrencySpace_Sheet1_Pools_Sheet1" xfId="667" xr:uid="{00000000-0005-0000-0000-000015020000}"/>
    <cellStyle name="_CurrencySpace_Sheet1_Portfolio Valuation" xfId="668" xr:uid="{00000000-0005-0000-0000-000016020000}"/>
    <cellStyle name="_CurrencySpace_Sheet1_Prop 13" xfId="669" xr:uid="{00000000-0005-0000-0000-000017020000}"/>
    <cellStyle name="_CurrencySpace_Sheet1_Prop 13 Data" xfId="670" xr:uid="{00000000-0005-0000-0000-000018020000}"/>
    <cellStyle name="_CurrencySpace_Sheet1_Prop 13 Summary-11-10" xfId="671" xr:uid="{00000000-0005-0000-0000-000019020000}"/>
    <cellStyle name="_CurrencySpace_Sheet1_Property Assumptions" xfId="672" xr:uid="{00000000-0005-0000-0000-00001A020000}"/>
    <cellStyle name="_CurrencySpace_Sheet1_Property Assumptions_1" xfId="673" xr:uid="{00000000-0005-0000-0000-00001B020000}"/>
    <cellStyle name="_CurrencySpace_Sheet1_Quick Property Input" xfId="674" xr:uid="{00000000-0005-0000-0000-00001C020000}"/>
    <cellStyle name="_CurrencySpace_Sheet1_Senario Input Assumptions" xfId="675" xr:uid="{00000000-0005-0000-0000-00001D020000}"/>
    <cellStyle name="_CurrencySpace_Sheet1_Sheet1" xfId="676" xr:uid="{00000000-0005-0000-0000-00001E020000}"/>
    <cellStyle name="_CurrencySpace_Sheet1_Sheet2" xfId="677" xr:uid="{00000000-0005-0000-0000-00001F020000}"/>
    <cellStyle name="_CurrencySpace_Sheet1_Sheet2_1" xfId="678" xr:uid="{00000000-0005-0000-0000-000020020000}"/>
    <cellStyle name="_CurrencySpace_Sheet1_Sheet3" xfId="679" xr:uid="{00000000-0005-0000-0000-000021020000}"/>
    <cellStyle name="_CurrencySpace_Sheet1_Sheet5" xfId="680" xr:uid="{00000000-0005-0000-0000-000022020000}"/>
    <cellStyle name="_CurrencySpace_Sheet1_Structure Model_2003_test2" xfId="681" xr:uid="{00000000-0005-0000-0000-000023020000}"/>
    <cellStyle name="_CurrencySpace_Sheet2" xfId="682" xr:uid="{00000000-0005-0000-0000-000024020000}"/>
    <cellStyle name="_CurrencySpace_Sheet2_1" xfId="683" xr:uid="{00000000-0005-0000-0000-000025020000}"/>
    <cellStyle name="_CurrencySpace_Sheet3" xfId="684" xr:uid="{00000000-0005-0000-0000-000026020000}"/>
    <cellStyle name="_CurrencySpace_Sheet3_1" xfId="685" xr:uid="{00000000-0005-0000-0000-000027020000}"/>
    <cellStyle name="_CurrencySpace_Sheet4" xfId="686" xr:uid="{00000000-0005-0000-0000-000028020000}"/>
    <cellStyle name="_CurrencySpace_Sheet5" xfId="687" xr:uid="{00000000-0005-0000-0000-000029020000}"/>
    <cellStyle name="_CurrencySpace_Structure Model_2003_test2" xfId="688" xr:uid="{00000000-0005-0000-0000-00002A020000}"/>
    <cellStyle name="_CurrencySpace_Structure Model_2003_test2_ControlTables" xfId="689" xr:uid="{00000000-0005-0000-0000-00002B020000}"/>
    <cellStyle name="_CurrencySpace_Structure Model_2003_test2_ControlTablesI" xfId="690" xr:uid="{00000000-0005-0000-0000-00002C020000}"/>
    <cellStyle name="_CurrencySpace_Structure Model_2003_test2_DB_Eye" xfId="691" xr:uid="{00000000-0005-0000-0000-00002D020000}"/>
    <cellStyle name="_CurrencySpace_Structure Model_2003_test2_Exec Summary" xfId="692" xr:uid="{00000000-0005-0000-0000-00002E020000}"/>
    <cellStyle name="_CurrencySpace_Structure Model_2003_test2_Exec Summary_1" xfId="693" xr:uid="{00000000-0005-0000-0000-00002F020000}"/>
    <cellStyle name="_CurrencySpace_Structure Model_2003_test2_Sheet1" xfId="694" xr:uid="{00000000-0005-0000-0000-000030020000}"/>
    <cellStyle name="_Euro" xfId="695" xr:uid="{00000000-0005-0000-0000-000031020000}"/>
    <cellStyle name="_Euro_ControlTables" xfId="696" xr:uid="{00000000-0005-0000-0000-000032020000}"/>
    <cellStyle name="_Euro_ControlTablesI" xfId="697" xr:uid="{00000000-0005-0000-0000-000033020000}"/>
    <cellStyle name="_Euro_DB Eye" xfId="698" xr:uid="{00000000-0005-0000-0000-000034020000}"/>
    <cellStyle name="_Euro_DB_Eye" xfId="699" xr:uid="{00000000-0005-0000-0000-000035020000}"/>
    <cellStyle name="_Euro_Exec Summary" xfId="700" xr:uid="{00000000-0005-0000-0000-000036020000}"/>
    <cellStyle name="_Euro_Sheet1" xfId="701" xr:uid="{00000000-0005-0000-0000-000037020000}"/>
    <cellStyle name="_Existing Debt" xfId="702" xr:uid="{00000000-0005-0000-0000-000038020000}"/>
    <cellStyle name="_Heading" xfId="703" xr:uid="{00000000-0005-0000-0000-000039020000}"/>
    <cellStyle name="_Highlight" xfId="704" xr:uid="{00000000-0005-0000-0000-00003A020000}"/>
    <cellStyle name="_Multiple" xfId="705" xr:uid="{00000000-0005-0000-0000-00003B020000}"/>
    <cellStyle name="_Multiple_3-Yr Eyechart" xfId="706" xr:uid="{00000000-0005-0000-0000-00003C020000}"/>
    <cellStyle name="_Multiple_ARI Base Case July 25 TPS1" xfId="707" xr:uid="{00000000-0005-0000-0000-00003D020000}"/>
    <cellStyle name="_Multiple_Balance Sheet" xfId="708" xr:uid="{00000000-0005-0000-0000-00003E020000}"/>
    <cellStyle name="_Multiple_Cost Of Funds" xfId="709" xr:uid="{00000000-0005-0000-0000-00003F020000}"/>
    <cellStyle name="_Multiple_Criteria" xfId="710" xr:uid="{00000000-0005-0000-0000-000040020000}"/>
    <cellStyle name="_Multiple_Criteria Test Export" xfId="711" xr:uid="{00000000-0005-0000-0000-000041020000}"/>
    <cellStyle name="_Multiple_Data Tape" xfId="712" xr:uid="{00000000-0005-0000-0000-000042020000}"/>
    <cellStyle name="_Multiple_Data Tape_1" xfId="713" xr:uid="{00000000-0005-0000-0000-000043020000}"/>
    <cellStyle name="_Multiple_Data_Tape" xfId="714" xr:uid="{00000000-0005-0000-0000-000044020000}"/>
    <cellStyle name="_Multiple_DB_Eye" xfId="715" xr:uid="{00000000-0005-0000-0000-000045020000}"/>
    <cellStyle name="_Multiple_Deal Input" xfId="716" xr:uid="{00000000-0005-0000-0000-000046020000}"/>
    <cellStyle name="_Multiple_Direct Cap Eye" xfId="717" xr:uid="{00000000-0005-0000-0000-000047020000}"/>
    <cellStyle name="_Multiple_DPEM2005_vBetatest6" xfId="718" xr:uid="{00000000-0005-0000-0000-000048020000}"/>
    <cellStyle name="_Multiple_ETR" xfId="719" xr:uid="{00000000-0005-0000-0000-000049020000}"/>
    <cellStyle name="_Multiple_Existing Debt" xfId="720" xr:uid="{00000000-0005-0000-0000-00004A020000}"/>
    <cellStyle name="_Multiple_Existing Debt_1" xfId="721" xr:uid="{00000000-0005-0000-0000-00004B020000}"/>
    <cellStyle name="_Multiple_EyeChart" xfId="722" xr:uid="{00000000-0005-0000-0000-00004C020000}"/>
    <cellStyle name="_Multiple_EyeChart 090503" xfId="723" xr:uid="{00000000-0005-0000-0000-00004D020000}"/>
    <cellStyle name="_Multiple_Input" xfId="724" xr:uid="{00000000-0005-0000-0000-00004E020000}"/>
    <cellStyle name="_Multiple_Input_1" xfId="725" xr:uid="{00000000-0005-0000-0000-00004F020000}"/>
    <cellStyle name="_Multiple_Input_Data Tape" xfId="726" xr:uid="{00000000-0005-0000-0000-000050020000}"/>
    <cellStyle name="_Multiple_JV Economics" xfId="727" xr:uid="{00000000-0005-0000-0000-000051020000}"/>
    <cellStyle name="_Multiple_M&amp;A Feed" xfId="728" xr:uid="{00000000-0005-0000-0000-000052020000}"/>
    <cellStyle name="_Multiple_NPV Case Eyechart" xfId="729" xr:uid="{00000000-0005-0000-0000-000053020000}"/>
    <cellStyle name="_Multiple_Pools" xfId="730" xr:uid="{00000000-0005-0000-0000-000054020000}"/>
    <cellStyle name="_Multiple_Pools_1" xfId="731" xr:uid="{00000000-0005-0000-0000-000055020000}"/>
    <cellStyle name="_Multiple_Portfolio Valuation" xfId="732" xr:uid="{00000000-0005-0000-0000-000056020000}"/>
    <cellStyle name="_Multiple_Pricing" xfId="733" xr:uid="{00000000-0005-0000-0000-000057020000}"/>
    <cellStyle name="_Multiple_Prop 13" xfId="734" xr:uid="{00000000-0005-0000-0000-000058020000}"/>
    <cellStyle name="_Multiple_Prop 13 Data" xfId="735" xr:uid="{00000000-0005-0000-0000-000059020000}"/>
    <cellStyle name="_Multiple_Prop 13 Summary-11-10" xfId="736" xr:uid="{00000000-0005-0000-0000-00005A020000}"/>
    <cellStyle name="_Multiple_Property Assumptions" xfId="737" xr:uid="{00000000-0005-0000-0000-00005B020000}"/>
    <cellStyle name="_Multiple_Property Assumptions_1" xfId="738" xr:uid="{00000000-0005-0000-0000-00005C020000}"/>
    <cellStyle name="_Multiple_Quick Property Input" xfId="739" xr:uid="{00000000-0005-0000-0000-00005D020000}"/>
    <cellStyle name="_Multiple_Senario Input Assumptions" xfId="740" xr:uid="{00000000-0005-0000-0000-00005E020000}"/>
    <cellStyle name="_Multiple_Sheet1" xfId="741" xr:uid="{00000000-0005-0000-0000-00005F020000}"/>
    <cellStyle name="_Multiple_Sheet1_3-Yr Eyechart" xfId="742" xr:uid="{00000000-0005-0000-0000-000060020000}"/>
    <cellStyle name="_Multiple_Sheet1_Balance Sheet" xfId="743" xr:uid="{00000000-0005-0000-0000-000061020000}"/>
    <cellStyle name="_Multiple_Sheet1_Cost Of Funds" xfId="744" xr:uid="{00000000-0005-0000-0000-000062020000}"/>
    <cellStyle name="_Multiple_Sheet1_Criteria" xfId="745" xr:uid="{00000000-0005-0000-0000-000063020000}"/>
    <cellStyle name="_Multiple_Sheet1_Criteria Test Export" xfId="746" xr:uid="{00000000-0005-0000-0000-000064020000}"/>
    <cellStyle name="_Multiple_Sheet1_Data Tape" xfId="747" xr:uid="{00000000-0005-0000-0000-000065020000}"/>
    <cellStyle name="_Multiple_Sheet1_Data Tape_1" xfId="748" xr:uid="{00000000-0005-0000-0000-000066020000}"/>
    <cellStyle name="_Multiple_Sheet1_Data_Tape" xfId="749" xr:uid="{00000000-0005-0000-0000-000067020000}"/>
    <cellStyle name="_Multiple_Sheet1_Deal Input" xfId="750" xr:uid="{00000000-0005-0000-0000-000068020000}"/>
    <cellStyle name="_Multiple_Sheet1_Direct Cap Eye" xfId="751" xr:uid="{00000000-0005-0000-0000-000069020000}"/>
    <cellStyle name="_Multiple_Sheet1_DPEM2005_vBetatest6" xfId="752" xr:uid="{00000000-0005-0000-0000-00006A020000}"/>
    <cellStyle name="_Multiple_Sheet1_ETR" xfId="753" xr:uid="{00000000-0005-0000-0000-00006B020000}"/>
    <cellStyle name="_Multiple_Sheet1_Existing Debt" xfId="754" xr:uid="{00000000-0005-0000-0000-00006C020000}"/>
    <cellStyle name="_Multiple_Sheet1_Input" xfId="755" xr:uid="{00000000-0005-0000-0000-00006D020000}"/>
    <cellStyle name="_Multiple_Sheet1_Input_1" xfId="756" xr:uid="{00000000-0005-0000-0000-00006E020000}"/>
    <cellStyle name="_Multiple_Sheet1_Input_Data Tape" xfId="757" xr:uid="{00000000-0005-0000-0000-00006F020000}"/>
    <cellStyle name="_Multiple_Sheet1_M&amp;A Feed" xfId="758" xr:uid="{00000000-0005-0000-0000-000070020000}"/>
    <cellStyle name="_Multiple_Sheet1_NPV Case Eyechart" xfId="759" xr:uid="{00000000-0005-0000-0000-000071020000}"/>
    <cellStyle name="_Multiple_Sheet1_Pools" xfId="760" xr:uid="{00000000-0005-0000-0000-000072020000}"/>
    <cellStyle name="_Multiple_Sheet1_Pools_1" xfId="761" xr:uid="{00000000-0005-0000-0000-000073020000}"/>
    <cellStyle name="_Multiple_Sheet1_Portfolio Valuation" xfId="762" xr:uid="{00000000-0005-0000-0000-000074020000}"/>
    <cellStyle name="_Multiple_Sheet1_Prop 13" xfId="763" xr:uid="{00000000-0005-0000-0000-000075020000}"/>
    <cellStyle name="_Multiple_Sheet1_Prop 13 Data" xfId="764" xr:uid="{00000000-0005-0000-0000-000076020000}"/>
    <cellStyle name="_Multiple_Sheet1_Prop 13 Summary-11-10" xfId="765" xr:uid="{00000000-0005-0000-0000-000077020000}"/>
    <cellStyle name="_Multiple_Sheet1_Property Assumptions" xfId="766" xr:uid="{00000000-0005-0000-0000-000078020000}"/>
    <cellStyle name="_Multiple_Sheet1_Property Assumptions_1" xfId="767" xr:uid="{00000000-0005-0000-0000-000079020000}"/>
    <cellStyle name="_Multiple_Sheet1_Quick Property Input" xfId="768" xr:uid="{00000000-0005-0000-0000-00007A020000}"/>
    <cellStyle name="_Multiple_Sheet1_Senario Input Assumptions" xfId="769" xr:uid="{00000000-0005-0000-0000-00007B020000}"/>
    <cellStyle name="_Multiple_Sheet1_Sheet1" xfId="770" xr:uid="{00000000-0005-0000-0000-00007C020000}"/>
    <cellStyle name="_Multiple_Sheet1_Sheet2" xfId="771" xr:uid="{00000000-0005-0000-0000-00007D020000}"/>
    <cellStyle name="_Multiple_Sheet1_Sheet2_1" xfId="772" xr:uid="{00000000-0005-0000-0000-00007E020000}"/>
    <cellStyle name="_Multiple_Sheet1_Sheet3" xfId="773" xr:uid="{00000000-0005-0000-0000-00007F020000}"/>
    <cellStyle name="_Multiple_Sheet1_Sheet5" xfId="774" xr:uid="{00000000-0005-0000-0000-000080020000}"/>
    <cellStyle name="_Multiple_Sheet1_Structure Model_2003_test2" xfId="775" xr:uid="{00000000-0005-0000-0000-000081020000}"/>
    <cellStyle name="_Multiple_Sheet2" xfId="776" xr:uid="{00000000-0005-0000-0000-000082020000}"/>
    <cellStyle name="_Multiple_Sheet2_1" xfId="777" xr:uid="{00000000-0005-0000-0000-000083020000}"/>
    <cellStyle name="_Multiple_Sheet3" xfId="778" xr:uid="{00000000-0005-0000-0000-000084020000}"/>
    <cellStyle name="_Multiple_Sheet3_1" xfId="779" xr:uid="{00000000-0005-0000-0000-000085020000}"/>
    <cellStyle name="_Multiple_Sheet4" xfId="780" xr:uid="{00000000-0005-0000-0000-000086020000}"/>
    <cellStyle name="_Multiple_Sheet5" xfId="781" xr:uid="{00000000-0005-0000-0000-000087020000}"/>
    <cellStyle name="_Multiple_Structure Model_2003_test2" xfId="782" xr:uid="{00000000-0005-0000-0000-000088020000}"/>
    <cellStyle name="_MultipleSpace" xfId="783" xr:uid="{00000000-0005-0000-0000-000089020000}"/>
    <cellStyle name="_MultipleSpace_ARI Base Case July 25 TPS1" xfId="784" xr:uid="{00000000-0005-0000-0000-00008A020000}"/>
    <cellStyle name="_MultipleSpace_DB_Eye" xfId="785" xr:uid="{00000000-0005-0000-0000-00008B020000}"/>
    <cellStyle name="_MultipleSpace_Existing Debt" xfId="786" xr:uid="{00000000-0005-0000-0000-00008C020000}"/>
    <cellStyle name="_MultipleSpace_EyeChart" xfId="787" xr:uid="{00000000-0005-0000-0000-00008D020000}"/>
    <cellStyle name="_MultipleSpace_EyeChart 090503" xfId="788" xr:uid="{00000000-0005-0000-0000-00008E020000}"/>
    <cellStyle name="_MultipleSpace_Input" xfId="789" xr:uid="{00000000-0005-0000-0000-00008F020000}"/>
    <cellStyle name="_MultipleSpace_Input_1" xfId="790" xr:uid="{00000000-0005-0000-0000-000090020000}"/>
    <cellStyle name="_MultipleSpace_Pricing" xfId="791" xr:uid="{00000000-0005-0000-0000-000091020000}"/>
    <cellStyle name="_MultipleSpace_Sheet2" xfId="792" xr:uid="{00000000-0005-0000-0000-000092020000}"/>
    <cellStyle name="_MultipleSpace_Sheet4" xfId="793" xr:uid="{00000000-0005-0000-0000-000093020000}"/>
    <cellStyle name="_Percent" xfId="794" xr:uid="{00000000-0005-0000-0000-000094020000}"/>
    <cellStyle name="_Percent_ARI Base Case July 25 TPS1" xfId="795" xr:uid="{00000000-0005-0000-0000-000095020000}"/>
    <cellStyle name="_Percent_Existing Debt" xfId="796" xr:uid="{00000000-0005-0000-0000-000096020000}"/>
    <cellStyle name="_PercentSpace" xfId="797" xr:uid="{00000000-0005-0000-0000-000097020000}"/>
    <cellStyle name="_PercentSpace_ARI Base Case July 25 TPS1" xfId="798" xr:uid="{00000000-0005-0000-0000-000098020000}"/>
    <cellStyle name="_PercentSpace_Existing Debt" xfId="799" xr:uid="{00000000-0005-0000-0000-000099020000}"/>
    <cellStyle name="_SubHeading" xfId="800" xr:uid="{00000000-0005-0000-0000-00009A020000}"/>
    <cellStyle name="_Table" xfId="801" xr:uid="{00000000-0005-0000-0000-00009B020000}"/>
    <cellStyle name="_TableHead" xfId="802" xr:uid="{00000000-0005-0000-0000-00009C020000}"/>
    <cellStyle name="_TableRowHead" xfId="803" xr:uid="{00000000-0005-0000-0000-00009D020000}"/>
    <cellStyle name="_TableSuperHead" xfId="804" xr:uid="{00000000-0005-0000-0000-00009E020000}"/>
    <cellStyle name="0.0 x" xfId="805" xr:uid="{00000000-0005-0000-0000-0000A2020000}"/>
    <cellStyle name="000" xfId="806" xr:uid="{00000000-0005-0000-0000-0000A3020000}"/>
    <cellStyle name="1" xfId="807" xr:uid="{00000000-0005-0000-0000-0000A4020000}"/>
    <cellStyle name="1_03-05-31 Final OBS Reports" xfId="808" xr:uid="{00000000-0005-0000-0000-0000A5020000}"/>
    <cellStyle name="1_GMACCH_Loans_OBS_033103_Final_v2" xfId="809" xr:uid="{00000000-0005-0000-0000-0000A6020000}"/>
    <cellStyle name="1_Japan - 3Q02 Risk Rating Worksheet - 101602_Japan" xfId="810" xr:uid="{00000000-0005-0000-0000-0000A7020000}"/>
    <cellStyle name="1_Japan - 3Q02 Risk Rating Worksheet - 101602_Japan_Comparison vs. prior_Q2 2003" xfId="811" xr:uid="{00000000-0005-0000-0000-0000A8020000}"/>
    <cellStyle name="1_Japan - 4Q2002 - Risk Rating Worksheet_final" xfId="812" xr:uid="{00000000-0005-0000-0000-0000A9020000}"/>
    <cellStyle name="1_Japan - 4Q2002 - Risk Rating Worksheet_final_12.11.2002" xfId="813" xr:uid="{00000000-0005-0000-0000-0000AA020000}"/>
    <cellStyle name="1_Japan - 4Q2002 - Risk Rating Worksheet_final_12.11.2002_Comparison vs. prior_Q2 2003" xfId="814" xr:uid="{00000000-0005-0000-0000-0000AB020000}"/>
    <cellStyle name="1_Japan - 4Q2002 - Risk Rating Worksheet_final_Comparison vs. prior_Q2 2003" xfId="815" xr:uid="{00000000-0005-0000-0000-0000AC020000}"/>
    <cellStyle name="1_Japan-1Q2003 - Risk Rating Worksheet03.06.2003F" xfId="816" xr:uid="{00000000-0005-0000-0000-0000AD020000}"/>
    <cellStyle name="1_Japan-1Q2003 - Risk Rating Worksheet03.06.2003F_Comparison vs. prior_Q2 2003" xfId="817" xr:uid="{00000000-0005-0000-0000-0000AE020000}"/>
    <cellStyle name="1_SALEM" xfId="818" xr:uid="{00000000-0005-0000-0000-0000AF020000}"/>
    <cellStyle name="1_SALEM_03-05-31 Final OBS Reports" xfId="819" xr:uid="{00000000-0005-0000-0000-0000B0020000}"/>
    <cellStyle name="1_SALEM_GMACCH_Loans_OBS_033103_Final_v2" xfId="820" xr:uid="{00000000-0005-0000-0000-0000B1020000}"/>
    <cellStyle name="1_SALEM_Japan - 3Q02 Risk Rating Worksheet - 101602_Japan" xfId="821" xr:uid="{00000000-0005-0000-0000-0000B2020000}"/>
    <cellStyle name="1_SALEM_Japan - 3Q02 Risk Rating Worksheet - 101602_Japan_Comparison vs. prior_Q2 2003" xfId="822" xr:uid="{00000000-0005-0000-0000-0000B3020000}"/>
    <cellStyle name="1_SALEM_Japan - 4Q2002 - Risk Rating Worksheet_final" xfId="823" xr:uid="{00000000-0005-0000-0000-0000B4020000}"/>
    <cellStyle name="1_SALEM_Japan - 4Q2002 - Risk Rating Worksheet_final_12.11.2002" xfId="824" xr:uid="{00000000-0005-0000-0000-0000B5020000}"/>
    <cellStyle name="1_SALEM_Japan - 4Q2002 - Risk Rating Worksheet_final_12.11.2002_Comparison vs. prior_Q2 2003" xfId="825" xr:uid="{00000000-0005-0000-0000-0000B6020000}"/>
    <cellStyle name="1_SALEM_Japan - 4Q2002 - Risk Rating Worksheet_final_Comparison vs. prior_Q2 2003" xfId="826" xr:uid="{00000000-0005-0000-0000-0000B7020000}"/>
    <cellStyle name="1_SALEM_Japan-1Q2003 - Risk Rating Worksheet03.06.2003F" xfId="827" xr:uid="{00000000-0005-0000-0000-0000B8020000}"/>
    <cellStyle name="1_SALEM_Japan-1Q2003 - Risk Rating Worksheet03.06.2003F_Comparison vs. prior_Q2 2003" xfId="828" xr:uid="{00000000-0005-0000-0000-0000B9020000}"/>
    <cellStyle name="1_SALEM_Sheet1" xfId="829" xr:uid="{00000000-0005-0000-0000-0000BA020000}"/>
    <cellStyle name="1_SALEM_Sheet3" xfId="830" xr:uid="{00000000-0005-0000-0000-0000BB020000}"/>
    <cellStyle name="1_sec8 (2)" xfId="831" xr:uid="{00000000-0005-0000-0000-0000BC020000}"/>
    <cellStyle name="1_sec8 (2)_03-05-31 Final OBS Reports" xfId="832" xr:uid="{00000000-0005-0000-0000-0000BD020000}"/>
    <cellStyle name="1_sec8 (2)_GMACCH_Loans_OBS_033103_Final_v2" xfId="833" xr:uid="{00000000-0005-0000-0000-0000BE020000}"/>
    <cellStyle name="1_sec8 (2)_Japan - 3Q02 Risk Rating Worksheet - 101602_Japan" xfId="834" xr:uid="{00000000-0005-0000-0000-0000BF020000}"/>
    <cellStyle name="1_sec8 (2)_Japan - 3Q02 Risk Rating Worksheet - 101602_Japan_Comparison vs. prior_Q2 2003" xfId="835" xr:uid="{00000000-0005-0000-0000-0000C0020000}"/>
    <cellStyle name="1_sec8 (2)_Japan - 4Q2002 - Risk Rating Worksheet_final" xfId="836" xr:uid="{00000000-0005-0000-0000-0000C1020000}"/>
    <cellStyle name="1_sec8 (2)_Japan - 4Q2002 - Risk Rating Worksheet_final_12.11.2002" xfId="837" xr:uid="{00000000-0005-0000-0000-0000C2020000}"/>
    <cellStyle name="1_sec8 (2)_Japan - 4Q2002 - Risk Rating Worksheet_final_12.11.2002_Comparison vs. prior_Q2 2003" xfId="838" xr:uid="{00000000-0005-0000-0000-0000C3020000}"/>
    <cellStyle name="1_sec8 (2)_Japan - 4Q2002 - Risk Rating Worksheet_final_Comparison vs. prior_Q2 2003" xfId="839" xr:uid="{00000000-0005-0000-0000-0000C4020000}"/>
    <cellStyle name="1_sec8 (2)_Japan-1Q2003 - Risk Rating Worksheet03.06.2003F" xfId="840" xr:uid="{00000000-0005-0000-0000-0000C5020000}"/>
    <cellStyle name="1_sec8 (2)_Japan-1Q2003 - Risk Rating Worksheet03.06.2003F_Comparison vs. prior_Q2 2003" xfId="841" xr:uid="{00000000-0005-0000-0000-0000C6020000}"/>
    <cellStyle name="1_sec8 (2)_Sheet1" xfId="842" xr:uid="{00000000-0005-0000-0000-0000C7020000}"/>
    <cellStyle name="1_sec8 (2)_Sheet3" xfId="843" xr:uid="{00000000-0005-0000-0000-0000C8020000}"/>
    <cellStyle name="1_Sheet1" xfId="844" xr:uid="{00000000-0005-0000-0000-0000C9020000}"/>
    <cellStyle name="1_Sheet3" xfId="845" xr:uid="{00000000-0005-0000-0000-0000CA020000}"/>
    <cellStyle name="2" xfId="846" xr:uid="{00000000-0005-0000-0000-0000CB020000}"/>
    <cellStyle name="2_03-05-31 Final OBS Reports" xfId="847" xr:uid="{00000000-0005-0000-0000-0000CC020000}"/>
    <cellStyle name="2_GMACCH_Loans_OBS_033103_Final_v2" xfId="848" xr:uid="{00000000-0005-0000-0000-0000CD020000}"/>
    <cellStyle name="2_Japan - 3Q02 Risk Rating Worksheet - 101602_Japan" xfId="849" xr:uid="{00000000-0005-0000-0000-0000CE020000}"/>
    <cellStyle name="2_Japan - 3Q02 Risk Rating Worksheet - 101602_Japan_Comparison vs. prior_Q2 2003" xfId="850" xr:uid="{00000000-0005-0000-0000-0000CF020000}"/>
    <cellStyle name="2_Japan - 4Q2002 - Risk Rating Worksheet_final" xfId="851" xr:uid="{00000000-0005-0000-0000-0000D0020000}"/>
    <cellStyle name="2_Japan - 4Q2002 - Risk Rating Worksheet_final_12.11.2002" xfId="852" xr:uid="{00000000-0005-0000-0000-0000D1020000}"/>
    <cellStyle name="2_Japan - 4Q2002 - Risk Rating Worksheet_final_12.11.2002_Comparison vs. prior_Q2 2003" xfId="853" xr:uid="{00000000-0005-0000-0000-0000D2020000}"/>
    <cellStyle name="2_Japan - 4Q2002 - Risk Rating Worksheet_final_Comparison vs. prior_Q2 2003" xfId="854" xr:uid="{00000000-0005-0000-0000-0000D3020000}"/>
    <cellStyle name="2_Japan-1Q2003 - Risk Rating Worksheet03.06.2003F" xfId="855" xr:uid="{00000000-0005-0000-0000-0000D4020000}"/>
    <cellStyle name="2_Japan-1Q2003 - Risk Rating Worksheet03.06.2003F_Comparison vs. prior_Q2 2003" xfId="856" xr:uid="{00000000-0005-0000-0000-0000D5020000}"/>
    <cellStyle name="2_SALEM" xfId="857" xr:uid="{00000000-0005-0000-0000-0000D6020000}"/>
    <cellStyle name="2_SALEM_03-05-31 Final OBS Reports" xfId="858" xr:uid="{00000000-0005-0000-0000-0000D7020000}"/>
    <cellStyle name="2_SALEM_GMACCH_Loans_OBS_033103_Final_v2" xfId="859" xr:uid="{00000000-0005-0000-0000-0000D8020000}"/>
    <cellStyle name="2_SALEM_Japan - 3Q02 Risk Rating Worksheet - 101602_Japan" xfId="860" xr:uid="{00000000-0005-0000-0000-0000D9020000}"/>
    <cellStyle name="2_SALEM_Japan - 3Q02 Risk Rating Worksheet - 101602_Japan_Comparison vs. prior_Q2 2003" xfId="861" xr:uid="{00000000-0005-0000-0000-0000DA020000}"/>
    <cellStyle name="2_SALEM_Japan - 4Q2002 - Risk Rating Worksheet_final" xfId="862" xr:uid="{00000000-0005-0000-0000-0000DB020000}"/>
    <cellStyle name="2_SALEM_Japan - 4Q2002 - Risk Rating Worksheet_final_12.11.2002" xfId="863" xr:uid="{00000000-0005-0000-0000-0000DC020000}"/>
    <cellStyle name="2_SALEM_Japan - 4Q2002 - Risk Rating Worksheet_final_12.11.2002_Comparison vs. prior_Q2 2003" xfId="864" xr:uid="{00000000-0005-0000-0000-0000DD020000}"/>
    <cellStyle name="2_SALEM_Japan - 4Q2002 - Risk Rating Worksheet_final_Comparison vs. prior_Q2 2003" xfId="865" xr:uid="{00000000-0005-0000-0000-0000DE020000}"/>
    <cellStyle name="2_SALEM_Japan-1Q2003 - Risk Rating Worksheet03.06.2003F" xfId="866" xr:uid="{00000000-0005-0000-0000-0000DF020000}"/>
    <cellStyle name="2_SALEM_Japan-1Q2003 - Risk Rating Worksheet03.06.2003F_Comparison vs. prior_Q2 2003" xfId="867" xr:uid="{00000000-0005-0000-0000-0000E0020000}"/>
    <cellStyle name="2_SALEM_Sheet1" xfId="868" xr:uid="{00000000-0005-0000-0000-0000E1020000}"/>
    <cellStyle name="2_SALEM_Sheet3" xfId="869" xr:uid="{00000000-0005-0000-0000-0000E2020000}"/>
    <cellStyle name="2_Sheet1" xfId="870" xr:uid="{00000000-0005-0000-0000-0000E3020000}"/>
    <cellStyle name="2_Sheet3" xfId="871" xr:uid="{00000000-0005-0000-0000-0000E4020000}"/>
    <cellStyle name="3" xfId="872" xr:uid="{00000000-0005-0000-0000-0000E5020000}"/>
    <cellStyle name="3$" xfId="873" xr:uid="{00000000-0005-0000-0000-0000F2020000}"/>
    <cellStyle name="3_03-05-31 Final OBS Reports" xfId="874" xr:uid="{00000000-0005-0000-0000-0000E6020000}"/>
    <cellStyle name="3_GMACCH_Loans_OBS_033103_Final_v2" xfId="875" xr:uid="{00000000-0005-0000-0000-0000E7020000}"/>
    <cellStyle name="3_Japan - 3Q02 Risk Rating Worksheet - 101602_Japan" xfId="876" xr:uid="{00000000-0005-0000-0000-0000E8020000}"/>
    <cellStyle name="3_Japan - 3Q02 Risk Rating Worksheet - 101602_Japan_Comparison vs. prior_Q2 2003" xfId="877" xr:uid="{00000000-0005-0000-0000-0000E9020000}"/>
    <cellStyle name="3_Japan - 4Q2002 - Risk Rating Worksheet_final" xfId="878" xr:uid="{00000000-0005-0000-0000-0000EA020000}"/>
    <cellStyle name="3_Japan - 4Q2002 - Risk Rating Worksheet_final_12.11.2002" xfId="879" xr:uid="{00000000-0005-0000-0000-0000EB020000}"/>
    <cellStyle name="3_Japan - 4Q2002 - Risk Rating Worksheet_final_12.11.2002_Comparison vs. prior_Q2 2003" xfId="880" xr:uid="{00000000-0005-0000-0000-0000EC020000}"/>
    <cellStyle name="3_Japan - 4Q2002 - Risk Rating Worksheet_final_Comparison vs. prior_Q2 2003" xfId="881" xr:uid="{00000000-0005-0000-0000-0000ED020000}"/>
    <cellStyle name="3_Japan-1Q2003 - Risk Rating Worksheet03.06.2003F" xfId="882" xr:uid="{00000000-0005-0000-0000-0000EE020000}"/>
    <cellStyle name="3_Japan-1Q2003 - Risk Rating Worksheet03.06.2003F_Comparison vs. prior_Q2 2003" xfId="883" xr:uid="{00000000-0005-0000-0000-0000EF020000}"/>
    <cellStyle name="3_Sheet1" xfId="884" xr:uid="{00000000-0005-0000-0000-0000F0020000}"/>
    <cellStyle name="3_Sheet3" xfId="885" xr:uid="{00000000-0005-0000-0000-0000F1020000}"/>
    <cellStyle name="A" xfId="886" xr:uid="{00000000-0005-0000-0000-0000F3020000}"/>
    <cellStyle name="Actual Date" xfId="887" xr:uid="{00000000-0005-0000-0000-0000F4020000}"/>
    <cellStyle name="AFE" xfId="888" xr:uid="{00000000-0005-0000-0000-0000F5020000}"/>
    <cellStyle name="ag" xfId="889" xr:uid="{00000000-0005-0000-0000-0000F6020000}"/>
    <cellStyle name="args.style" xfId="890" xr:uid="{00000000-0005-0000-0000-0000F7020000}"/>
    <cellStyle name="Arial 10" xfId="891" xr:uid="{00000000-0005-0000-0000-0000F8020000}"/>
    <cellStyle name="Arial 12" xfId="892" xr:uid="{00000000-0005-0000-0000-0000F9020000}"/>
    <cellStyle name="BLACK" xfId="893" xr:uid="{00000000-0005-0000-0000-0000FA020000}"/>
    <cellStyle name="Blank[,]" xfId="894" xr:uid="{00000000-0005-0000-0000-0000FB020000}"/>
    <cellStyle name="Blank[1%]" xfId="895" xr:uid="{00000000-0005-0000-0000-0000FC020000}"/>
    <cellStyle name="Blue" xfId="896" xr:uid="{00000000-0005-0000-0000-0000FD020000}"/>
    <cellStyle name="blue currency" xfId="897" xr:uid="{00000000-0005-0000-0000-0000FE020000}"/>
    <cellStyle name="BLUE date" xfId="898" xr:uid="{00000000-0005-0000-0000-0000FF020000}"/>
    <cellStyle name="blue$00" xfId="899" xr:uid="{00000000-0005-0000-0000-000001030000}"/>
    <cellStyle name="BLUE_Citrix_2pgr2" xfId="900" xr:uid="{00000000-0005-0000-0000-000000030000}"/>
    <cellStyle name="Body" xfId="901" xr:uid="{00000000-0005-0000-0000-000002030000}"/>
    <cellStyle name="BOLD, 8 POINT" xfId="902" xr:uid="{00000000-0005-0000-0000-000003030000}"/>
    <cellStyle name="BoldItalicNoUnderline" xfId="903" xr:uid="{00000000-0005-0000-0000-000004030000}"/>
    <cellStyle name="BoldSDoubUnderlineBack" xfId="904" xr:uid="{00000000-0005-0000-0000-000005030000}"/>
    <cellStyle name="BoldSingUnderline" xfId="905" xr:uid="{00000000-0005-0000-0000-000006030000}"/>
    <cellStyle name="Border Heavy" xfId="906" xr:uid="{00000000-0005-0000-0000-000007030000}"/>
    <cellStyle name="Border Thin" xfId="907" xr:uid="{00000000-0005-0000-0000-000008030000}"/>
    <cellStyle name="bottomHeavy" xfId="908" xr:uid="{00000000-0005-0000-0000-000009030000}"/>
    <cellStyle name="bottomHeavy-w-left" xfId="909" xr:uid="{00000000-0005-0000-0000-00000A030000}"/>
    <cellStyle name="brad" xfId="910" xr:uid="{00000000-0005-0000-0000-00000B030000}"/>
    <cellStyle name="British Pound" xfId="911" xr:uid="{00000000-0005-0000-0000-00000C030000}"/>
    <cellStyle name="Ç¥ÁØ_¿ù°£¿ä¾àº¸°í" xfId="912" xr:uid="{00000000-0005-0000-0000-00000D030000}"/>
    <cellStyle name="Calc Currency (0)" xfId="913" xr:uid="{00000000-0005-0000-0000-00000E030000}"/>
    <cellStyle name="Calc Currency (2)" xfId="914" xr:uid="{00000000-0005-0000-0000-00000F030000}"/>
    <cellStyle name="Calc Percent (0)" xfId="915" xr:uid="{00000000-0005-0000-0000-000010030000}"/>
    <cellStyle name="Calc Percent (1)" xfId="916" xr:uid="{00000000-0005-0000-0000-000011030000}"/>
    <cellStyle name="Calc Percent (2)" xfId="917" xr:uid="{00000000-0005-0000-0000-000012030000}"/>
    <cellStyle name="Calc Units (0)" xfId="918" xr:uid="{00000000-0005-0000-0000-000013030000}"/>
    <cellStyle name="Calc Units (1)" xfId="919" xr:uid="{00000000-0005-0000-0000-000014030000}"/>
    <cellStyle name="Calc Units (2)" xfId="920" xr:uid="{00000000-0005-0000-0000-000015030000}"/>
    <cellStyle name="caps 0.00" xfId="921" xr:uid="{00000000-0005-0000-0000-000016030000}"/>
    <cellStyle name="capsdate" xfId="922" xr:uid="{00000000-0005-0000-0000-000017030000}"/>
    <cellStyle name="Case" xfId="923" xr:uid="{00000000-0005-0000-0000-000018030000}"/>
    <cellStyle name="Cash Flow Statement" xfId="924" xr:uid="{00000000-0005-0000-0000-000019030000}"/>
    <cellStyle name="Center Across" xfId="925" xr:uid="{00000000-0005-0000-0000-00001A030000}"/>
    <cellStyle name="colheadleft" xfId="926" xr:uid="{00000000-0005-0000-0000-00001B030000}"/>
    <cellStyle name="colheadright" xfId="927" xr:uid="{00000000-0005-0000-0000-00001C030000}"/>
    <cellStyle name="Column Heading" xfId="928" xr:uid="{00000000-0005-0000-0000-00001D030000}"/>
    <cellStyle name="ColumnHeading" xfId="929" xr:uid="{00000000-0005-0000-0000-00001E030000}"/>
    <cellStyle name="Comma [00]" xfId="930" xr:uid="{00000000-0005-0000-0000-000020030000}"/>
    <cellStyle name="Comma [1]" xfId="931" xr:uid="{00000000-0005-0000-0000-000021030000}"/>
    <cellStyle name="Comma 0" xfId="932" xr:uid="{00000000-0005-0000-0000-000022030000}"/>
    <cellStyle name="Comma 0*" xfId="933" xr:uid="{00000000-0005-0000-0000-000023030000}"/>
    <cellStyle name="Comma 2" xfId="3" xr:uid="{00000000-0005-0000-0000-000024030000}"/>
    <cellStyle name="Comma 2 10" xfId="22" xr:uid="{00000000-0005-0000-0000-000025030000}"/>
    <cellStyle name="Comma 2 2" xfId="11" xr:uid="{00000000-0005-0000-0000-000026030000}"/>
    <cellStyle name="Comma 3" xfId="17" xr:uid="{00000000-0005-0000-0000-000027030000}"/>
    <cellStyle name="Comma 4" xfId="20" xr:uid="{00000000-0005-0000-0000-000028030000}"/>
    <cellStyle name="Comma 5" xfId="934" xr:uid="{00000000-0005-0000-0000-000029030000}"/>
    <cellStyle name="Comma 6" xfId="935" xr:uid="{00000000-0005-0000-0000-00002A030000}"/>
    <cellStyle name="Comma 7" xfId="936" xr:uid="{00000000-0005-0000-0000-00002B030000}"/>
    <cellStyle name="Comma 8" xfId="1350" xr:uid="{00000000-0005-0000-0000-00002C030000}"/>
    <cellStyle name="Comma 9" xfId="1359" xr:uid="{DC164E84-3E58-4E35-9903-251FD07BA1A7}"/>
    <cellStyle name="Comma0" xfId="937" xr:uid="{00000000-0005-0000-0000-00002D030000}"/>
    <cellStyle name="Comma0 - Style3" xfId="938" xr:uid="{00000000-0005-0000-0000-00002E030000}"/>
    <cellStyle name="Comma0 - Style5" xfId="939" xr:uid="{00000000-0005-0000-0000-00002F030000}"/>
    <cellStyle name="Comma0_Criteria" xfId="940" xr:uid="{00000000-0005-0000-0000-000030030000}"/>
    <cellStyle name="Comma1 - Style1" xfId="941" xr:uid="{00000000-0005-0000-0000-000031030000}"/>
    <cellStyle name="CommaFixed" xfId="942" xr:uid="{00000000-0005-0000-0000-000032030000}"/>
    <cellStyle name="CommaNoDec" xfId="943" xr:uid="{00000000-0005-0000-0000-000033030000}"/>
    <cellStyle name="CommaNoDecTot" xfId="944" xr:uid="{00000000-0005-0000-0000-000034030000}"/>
    <cellStyle name="CommaTotTop" xfId="945" xr:uid="{00000000-0005-0000-0000-000035030000}"/>
    <cellStyle name="CommaTotTopNoDec" xfId="946" xr:uid="{00000000-0005-0000-0000-000036030000}"/>
    <cellStyle name="Copied" xfId="947" xr:uid="{00000000-0005-0000-0000-000037030000}"/>
    <cellStyle name="COST1" xfId="948" xr:uid="{00000000-0005-0000-0000-000038030000}"/>
    <cellStyle name="Curren - Style2" xfId="949" xr:uid="{00000000-0005-0000-0000-000039030000}"/>
    <cellStyle name="Curren - Style4" xfId="950" xr:uid="{00000000-0005-0000-0000-00003A030000}"/>
    <cellStyle name="Currency" xfId="18" builtinId="4"/>
    <cellStyle name="Currency [00]" xfId="951" xr:uid="{00000000-0005-0000-0000-00003C030000}"/>
    <cellStyle name="Currency [2]" xfId="952" xr:uid="{00000000-0005-0000-0000-00003D030000}"/>
    <cellStyle name="Currency 0" xfId="953" xr:uid="{00000000-0005-0000-0000-00003E030000}"/>
    <cellStyle name="Currency 2" xfId="4" xr:uid="{00000000-0005-0000-0000-00003F030000}"/>
    <cellStyle name="Currency 2 2" xfId="12" xr:uid="{00000000-0005-0000-0000-000040030000}"/>
    <cellStyle name="Currency 2 3" xfId="1355" xr:uid="{00000000-0005-0000-0000-000041030000}"/>
    <cellStyle name="Currency 3" xfId="954" xr:uid="{00000000-0005-0000-0000-000042030000}"/>
    <cellStyle name="Currency 4" xfId="955" xr:uid="{00000000-0005-0000-0000-000043030000}"/>
    <cellStyle name="Currency 5" xfId="956" xr:uid="{00000000-0005-0000-0000-000044030000}"/>
    <cellStyle name="Currency 6" xfId="957" xr:uid="{00000000-0005-0000-0000-000045030000}"/>
    <cellStyle name="Currency 7" xfId="958" xr:uid="{00000000-0005-0000-0000-000046030000}"/>
    <cellStyle name="Currency 8" xfId="1358" xr:uid="{E3B2DBE1-D04C-412B-9A10-6043A65E5AC8}"/>
    <cellStyle name="Currency0" xfId="959" xr:uid="{00000000-0005-0000-0000-000047030000}"/>
    <cellStyle name="Currency1" xfId="960" xr:uid="{00000000-0005-0000-0000-000048030000}"/>
    <cellStyle name="CurrencyTotTop[" xfId="961" xr:uid="{00000000-0005-0000-0000-000049030000}"/>
    <cellStyle name="D" xfId="962" xr:uid="{00000000-0005-0000-0000-00004A030000}"/>
    <cellStyle name="Date" xfId="963" xr:uid="{00000000-0005-0000-0000-00004B030000}"/>
    <cellStyle name="Date Aligned" xfId="964" xr:uid="{00000000-0005-0000-0000-00004C030000}"/>
    <cellStyle name="date month-year" xfId="965" xr:uid="{00000000-0005-0000-0000-00004D030000}"/>
    <cellStyle name="Date Short" xfId="966" xr:uid="{00000000-0005-0000-0000-00004E030000}"/>
    <cellStyle name="date_09.01.01_Property_Tax_Basis1" xfId="967" xr:uid="{00000000-0005-0000-0000-00004F030000}"/>
    <cellStyle name="Date1" xfId="968" xr:uid="{00000000-0005-0000-0000-000050030000}"/>
    <cellStyle name="DATETIME" xfId="969" xr:uid="{00000000-0005-0000-0000-000051030000}"/>
    <cellStyle name="decimal 0" xfId="970" xr:uid="{00000000-0005-0000-0000-000052030000}"/>
    <cellStyle name="decimal 1" xfId="971" xr:uid="{00000000-0005-0000-0000-000053030000}"/>
    <cellStyle name="decimal 2" xfId="972" xr:uid="{00000000-0005-0000-0000-000054030000}"/>
    <cellStyle name="Dollar" xfId="973" xr:uid="{00000000-0005-0000-0000-000055030000}"/>
    <cellStyle name="Dollar1" xfId="974" xr:uid="{00000000-0005-0000-0000-000056030000}"/>
    <cellStyle name="Dollar1Blue" xfId="975" xr:uid="{00000000-0005-0000-0000-000057030000}"/>
    <cellStyle name="Dollar2" xfId="976" xr:uid="{00000000-0005-0000-0000-000058030000}"/>
    <cellStyle name="Dotted Line" xfId="977" xr:uid="{00000000-0005-0000-0000-000059030000}"/>
    <cellStyle name="Double Accounting" xfId="978" xr:uid="{00000000-0005-0000-0000-00005A030000}"/>
    <cellStyle name="dp*Accent" xfId="979" xr:uid="{00000000-0005-0000-0000-00005B030000}"/>
    <cellStyle name="dp*ChartSubTitle" xfId="980" xr:uid="{00000000-0005-0000-0000-00005C030000}"/>
    <cellStyle name="dp*ChartTitle" xfId="981" xr:uid="{00000000-0005-0000-0000-00005D030000}"/>
    <cellStyle name="dp*ColumnHeading1" xfId="982" xr:uid="{00000000-0005-0000-0000-00005E030000}"/>
    <cellStyle name="dp*ColumnHeading2" xfId="983" xr:uid="{00000000-0005-0000-0000-00005F030000}"/>
    <cellStyle name="dp*ColumnHeadingDate" xfId="984" xr:uid="{00000000-0005-0000-0000-000060030000}"/>
    <cellStyle name="dp*FiscalDate" xfId="985" xr:uid="{00000000-0005-0000-0000-000061030000}"/>
    <cellStyle name="dp*Footnote" xfId="986" xr:uid="{00000000-0005-0000-0000-000062030000}"/>
    <cellStyle name="dp*Information" xfId="987" xr:uid="{00000000-0005-0000-0000-000063030000}"/>
    <cellStyle name="dp*LabelItalics" xfId="988" xr:uid="{00000000-0005-0000-0000-000064030000}"/>
    <cellStyle name="dp*LabelItalicsLineAbove" xfId="989" xr:uid="{00000000-0005-0000-0000-000065030000}"/>
    <cellStyle name="dp*LabelLine" xfId="990" xr:uid="{00000000-0005-0000-0000-000066030000}"/>
    <cellStyle name="dp*Labels" xfId="991" xr:uid="{00000000-0005-0000-0000-000067030000}"/>
    <cellStyle name="dp*Normal" xfId="992" xr:uid="{00000000-0005-0000-0000-000068030000}"/>
    <cellStyle name="dp*NormalCurrency1Dec." xfId="993" xr:uid="{00000000-0005-0000-0000-000069030000}"/>
    <cellStyle name="dp*NormalCurrency2Dec." xfId="994" xr:uid="{00000000-0005-0000-0000-00006A030000}"/>
    <cellStyle name="dp*Number%Italics" xfId="995" xr:uid="{00000000-0005-0000-0000-00006B030000}"/>
    <cellStyle name="dp*Number%ItalicsLineAbove" xfId="996" xr:uid="{00000000-0005-0000-0000-00006C030000}"/>
    <cellStyle name="dp*NumberCurrencyLine" xfId="997" xr:uid="{00000000-0005-0000-0000-00006D030000}"/>
    <cellStyle name="dp*NumberGeneral" xfId="998" xr:uid="{00000000-0005-0000-0000-00006E030000}"/>
    <cellStyle name="dp*NumberGeneral2Dec." xfId="999" xr:uid="{00000000-0005-0000-0000-00006F030000}"/>
    <cellStyle name="dp*NumberLine" xfId="1000" xr:uid="{00000000-0005-0000-0000-000070030000}"/>
    <cellStyle name="dp*NumberLineEPS" xfId="1001" xr:uid="{00000000-0005-0000-0000-000071030000}"/>
    <cellStyle name="dp*NumberSpecial" xfId="1002" xr:uid="{00000000-0005-0000-0000-000072030000}"/>
    <cellStyle name="dp*RatioX" xfId="1003" xr:uid="{00000000-0005-0000-0000-000073030000}"/>
    <cellStyle name="dp*SeriesName" xfId="1004" xr:uid="{00000000-0005-0000-0000-000074030000}"/>
    <cellStyle name="dp*SheetSubTitle" xfId="1005" xr:uid="{00000000-0005-0000-0000-000075030000}"/>
    <cellStyle name="dp*SheetTitle" xfId="1006" xr:uid="{00000000-0005-0000-0000-000076030000}"/>
    <cellStyle name="dp*SubTitle" xfId="1007" xr:uid="{00000000-0005-0000-0000-000077030000}"/>
    <cellStyle name="dp*ThickLineAbove" xfId="1008" xr:uid="{00000000-0005-0000-0000-000078030000}"/>
    <cellStyle name="dp*ThickLineBelow" xfId="1009" xr:uid="{00000000-0005-0000-0000-000079030000}"/>
    <cellStyle name="dp*ThinLineAbove" xfId="1010" xr:uid="{00000000-0005-0000-0000-00007A030000}"/>
    <cellStyle name="dp*ThinLineBelow" xfId="1011" xr:uid="{00000000-0005-0000-0000-00007B030000}"/>
    <cellStyle name="dp*XAxisTitle" xfId="1012" xr:uid="{00000000-0005-0000-0000-00007C030000}"/>
    <cellStyle name="dp*Y2AxisTitle" xfId="1013" xr:uid="{00000000-0005-0000-0000-00007D030000}"/>
    <cellStyle name="dp*YAxisTitle" xfId="1014" xr:uid="{00000000-0005-0000-0000-00007E030000}"/>
    <cellStyle name="Driver" xfId="1015" xr:uid="{00000000-0005-0000-0000-00007F030000}"/>
    <cellStyle name="Enter Currency (0)" xfId="1016" xr:uid="{00000000-0005-0000-0000-000080030000}"/>
    <cellStyle name="Enter Currency (2)" xfId="1017" xr:uid="{00000000-0005-0000-0000-000081030000}"/>
    <cellStyle name="Enter Units (0)" xfId="1018" xr:uid="{00000000-0005-0000-0000-000082030000}"/>
    <cellStyle name="Enter Units (1)" xfId="1019" xr:uid="{00000000-0005-0000-0000-000083030000}"/>
    <cellStyle name="Enter Units (2)" xfId="1020" xr:uid="{00000000-0005-0000-0000-000084030000}"/>
    <cellStyle name="Entered" xfId="1021" xr:uid="{00000000-0005-0000-0000-000085030000}"/>
    <cellStyle name="Euro" xfId="1022" xr:uid="{00000000-0005-0000-0000-000086030000}"/>
    <cellStyle name="EvenBodyShade" xfId="1023" xr:uid="{00000000-0005-0000-0000-000087030000}"/>
    <cellStyle name="EvenBodyShade 2" xfId="1024" xr:uid="{00000000-0005-0000-0000-000088030000}"/>
    <cellStyle name="EvenBodyShade 3" xfId="1025" xr:uid="{00000000-0005-0000-0000-000089030000}"/>
    <cellStyle name="EvenBodyShade 4" xfId="1026" xr:uid="{00000000-0005-0000-0000-00008A030000}"/>
    <cellStyle name="EvenBodyShade 5" xfId="1027" xr:uid="{00000000-0005-0000-0000-00008B030000}"/>
    <cellStyle name="EvenBodyShade 9" xfId="1028" xr:uid="{00000000-0005-0000-0000-00008C030000}"/>
    <cellStyle name="EY House" xfId="1029" xr:uid="{00000000-0005-0000-0000-00008D030000}"/>
    <cellStyle name="F1" xfId="1030" xr:uid="{00000000-0005-0000-0000-00008E030000}"/>
    <cellStyle name="Fixed" xfId="1031" xr:uid="{00000000-0005-0000-0000-00008F030000}"/>
    <cellStyle name="Fixed4 - Style4" xfId="1032" xr:uid="{00000000-0005-0000-0000-000090030000}"/>
    <cellStyle name="Followed Hyperlink" xfId="88" builtinId="9" hidden="1"/>
    <cellStyle name="Followed Hyperlink" xfId="89" builtinId="9" hidden="1"/>
    <cellStyle name="Followed Hyperlink" xfId="90" builtinId="9" hidden="1"/>
    <cellStyle name="Followed Hyperlink" xfId="91" builtinId="9" hidden="1"/>
    <cellStyle name="Followed Hyperlink" xfId="92" builtinId="9" hidden="1"/>
    <cellStyle name="Followed Hyperlink" xfId="93" builtinId="9" hidden="1"/>
    <cellStyle name="Followed Hyperlink" xfId="94" builtinId="9" hidden="1"/>
    <cellStyle name="Followed Hyperlink" xfId="95" builtinId="9" hidden="1"/>
    <cellStyle name="Followed Hyperlink" xfId="96" builtinId="9" hidden="1"/>
    <cellStyle name="Followed Hyperlink" xfId="97" builtinId="9" hidden="1"/>
    <cellStyle name="Followed Hyperlink" xfId="98" builtinId="9" hidden="1"/>
    <cellStyle name="Followed Hyperlink" xfId="99" builtinId="9" hidden="1"/>
    <cellStyle name="Followed Hyperlink" xfId="100" builtinId="9" hidden="1"/>
    <cellStyle name="Followed Hyperlink" xfId="101" builtinId="9" hidden="1"/>
    <cellStyle name="Followed Hyperlink" xfId="103" builtinId="9" hidden="1"/>
    <cellStyle name="Followed Hyperlink" xfId="104" builtinId="9" hidden="1"/>
    <cellStyle name="Followed Hyperlink" xfId="105" builtinId="9" hidden="1"/>
    <cellStyle name="Followed Hyperlink" xfId="106" builtinId="9" hidden="1"/>
    <cellStyle name="Followed Hyperlink" xfId="107" builtinId="9" hidden="1"/>
    <cellStyle name="Followed Hyperlink" xfId="108" builtinId="9" hidden="1"/>
    <cellStyle name="Followed Hyperlink" xfId="109" builtinId="9" hidden="1"/>
    <cellStyle name="Followed Hyperlink" xfId="110" builtinId="9" hidden="1"/>
    <cellStyle name="Followed Hyperlink" xfId="111" builtinId="9" hidden="1"/>
    <cellStyle name="Followed Hyperlink" xfId="112" builtinId="9" hidden="1"/>
    <cellStyle name="Followed Hyperlink" xfId="113" builtinId="9" hidden="1"/>
    <cellStyle name="Followed Hyperlink" xfId="114" builtinId="9" hidden="1"/>
    <cellStyle name="Followed Hyperlink" xfId="115" builtinId="9" hidden="1"/>
    <cellStyle name="Followed Hyperlink" xfId="116" builtinId="9" hidden="1"/>
    <cellStyle name="Followed Hyperlink" xfId="117" builtinId="9" hidden="1"/>
    <cellStyle name="Followed Hyperlink" xfId="119" builtinId="9" hidden="1"/>
    <cellStyle name="Followed Hyperlink" xfId="120" builtinId="9" hidden="1"/>
    <cellStyle name="Followed Hyperlink" xfId="121" builtinId="9" hidden="1"/>
    <cellStyle name="Followed Hyperlink" xfId="122" builtinId="9" hidden="1"/>
    <cellStyle name="Followed Hyperlink" xfId="123" builtinId="9" hidden="1"/>
    <cellStyle name="Followed Hyperlink" xfId="124" builtinId="9" hidden="1"/>
    <cellStyle name="Followed Hyperlink" xfId="125" builtinId="9" hidden="1"/>
    <cellStyle name="Followed Hyperlink" xfId="126" builtinId="9" hidden="1"/>
    <cellStyle name="Followed Hyperlink" xfId="1336" builtinId="9" hidden="1"/>
    <cellStyle name="Followed Hyperlink" xfId="1337" builtinId="9" hidden="1"/>
    <cellStyle name="Followed Hyperlink" xfId="1338" builtinId="9" hidden="1"/>
    <cellStyle name="Followed Hyperlink" xfId="1342" builtinId="9" hidden="1"/>
    <cellStyle name="Followed Hyperlink" xfId="1344" builtinId="9" hidden="1"/>
    <cellStyle name="Followed Hyperlink" xfId="1346" builtinId="9" hidden="1"/>
    <cellStyle name="Followed Hyperlink" xfId="118" builtinId="9" hidden="1"/>
    <cellStyle name="Followed Hyperlink" xfId="102" builtinId="9" hidden="1"/>
    <cellStyle name="Followed Hyperlink" xfId="55" builtinId="9" hidden="1"/>
    <cellStyle name="Followed Hyperlink" xfId="56" builtinId="9" hidden="1"/>
    <cellStyle name="Followed Hyperlink" xfId="57" builtinId="9" hidden="1"/>
    <cellStyle name="Followed Hyperlink" xfId="58" builtinId="9" hidden="1"/>
    <cellStyle name="Followed Hyperlink" xfId="59" builtinId="9" hidden="1"/>
    <cellStyle name="Followed Hyperlink" xfId="60" builtinId="9" hidden="1"/>
    <cellStyle name="Followed Hyperlink" xfId="61" builtinId="9" hidden="1"/>
    <cellStyle name="Followed Hyperlink" xfId="62" builtinId="9" hidden="1"/>
    <cellStyle name="Followed Hyperlink" xfId="63" builtinId="9" hidden="1"/>
    <cellStyle name="Followed Hyperlink" xfId="64" builtinId="9" hidden="1"/>
    <cellStyle name="Followed Hyperlink" xfId="65" builtinId="9" hidden="1"/>
    <cellStyle name="Followed Hyperlink" xfId="66" builtinId="9" hidden="1"/>
    <cellStyle name="Followed Hyperlink" xfId="67" builtinId="9" hidden="1"/>
    <cellStyle name="Followed Hyperlink" xfId="68" builtinId="9" hidden="1"/>
    <cellStyle name="Followed Hyperlink" xfId="69" builtinId="9" hidden="1"/>
    <cellStyle name="Followed Hyperlink" xfId="71" builtinId="9" hidden="1"/>
    <cellStyle name="Followed Hyperlink" xfId="72" builtinId="9" hidden="1"/>
    <cellStyle name="Followed Hyperlink" xfId="73" builtinId="9" hidden="1"/>
    <cellStyle name="Followed Hyperlink" xfId="74" builtinId="9" hidden="1"/>
    <cellStyle name="Followed Hyperlink" xfId="75" builtinId="9" hidden="1"/>
    <cellStyle name="Followed Hyperlink" xfId="76" builtinId="9" hidden="1"/>
    <cellStyle name="Followed Hyperlink" xfId="77" builtinId="9" hidden="1"/>
    <cellStyle name="Followed Hyperlink" xfId="78" builtinId="9" hidden="1"/>
    <cellStyle name="Followed Hyperlink" xfId="79" builtinId="9" hidden="1"/>
    <cellStyle name="Followed Hyperlink" xfId="80" builtinId="9" hidden="1"/>
    <cellStyle name="Followed Hyperlink" xfId="81" builtinId="9" hidden="1"/>
    <cellStyle name="Followed Hyperlink" xfId="82" builtinId="9" hidden="1"/>
    <cellStyle name="Followed Hyperlink" xfId="83" builtinId="9" hidden="1"/>
    <cellStyle name="Followed Hyperlink" xfId="84" builtinId="9" hidden="1"/>
    <cellStyle name="Followed Hyperlink" xfId="85" builtinId="9" hidden="1"/>
    <cellStyle name="Followed Hyperlink" xfId="86" builtinId="9" hidden="1"/>
    <cellStyle name="Followed Hyperlink" xfId="87" builtinId="9" hidden="1"/>
    <cellStyle name="Followed Hyperlink" xfId="70" builtinId="9" hidden="1"/>
    <cellStyle name="Followed Hyperlink" xfId="40" builtinId="9" hidden="1"/>
    <cellStyle name="Followed Hyperlink" xfId="41" builtinId="9" hidden="1"/>
    <cellStyle name="Followed Hyperlink" xfId="42" builtinId="9" hidden="1"/>
    <cellStyle name="Followed Hyperlink" xfId="43" builtinId="9" hidden="1"/>
    <cellStyle name="Followed Hyperlink" xfId="44" builtinId="9" hidden="1"/>
    <cellStyle name="Followed Hyperlink" xfId="45" builtinId="9" hidden="1"/>
    <cellStyle name="Followed Hyperlink" xfId="46" builtinId="9" hidden="1"/>
    <cellStyle name="Followed Hyperlink" xfId="47" builtinId="9" hidden="1"/>
    <cellStyle name="Followed Hyperlink" xfId="48" builtinId="9" hidden="1"/>
    <cellStyle name="Followed Hyperlink" xfId="49" builtinId="9" hidden="1"/>
    <cellStyle name="Followed Hyperlink" xfId="50" builtinId="9" hidden="1"/>
    <cellStyle name="Followed Hyperlink" xfId="51" builtinId="9" hidden="1"/>
    <cellStyle name="Followed Hyperlink" xfId="52" builtinId="9" hidden="1"/>
    <cellStyle name="Followed Hyperlink" xfId="53" builtinId="9" hidden="1"/>
    <cellStyle name="Followed Hyperlink" xfId="54" builtinId="9" hidden="1"/>
    <cellStyle name="Followed Hyperlink" xfId="32" builtinId="9" hidden="1"/>
    <cellStyle name="Followed Hyperlink" xfId="33" builtinId="9" hidden="1"/>
    <cellStyle name="Followed Hyperlink" xfId="34" builtinId="9" hidden="1"/>
    <cellStyle name="Followed Hyperlink" xfId="35" builtinId="9" hidden="1"/>
    <cellStyle name="Followed Hyperlink" xfId="36" builtinId="9" hidden="1"/>
    <cellStyle name="Followed Hyperlink" xfId="37" builtinId="9" hidden="1"/>
    <cellStyle name="Followed Hyperlink" xfId="38" builtinId="9" hidden="1"/>
    <cellStyle name="Followed Hyperlink" xfId="39" builtinId="9" hidden="1"/>
    <cellStyle name="Followed Hyperlink" xfId="28" builtinId="9" hidden="1"/>
    <cellStyle name="Followed Hyperlink" xfId="29" builtinId="9" hidden="1"/>
    <cellStyle name="Followed Hyperlink" xfId="30" builtinId="9" hidden="1"/>
    <cellStyle name="Followed Hyperlink" xfId="31" builtinId="9" hidden="1"/>
    <cellStyle name="Followed Hyperlink" xfId="26" builtinId="9" hidden="1"/>
    <cellStyle name="Followed Hyperlink" xfId="27" builtinId="9" hidden="1"/>
    <cellStyle name="Followed Hyperlink" xfId="25" builtinId="9" hidden="1"/>
    <cellStyle name="Footnote" xfId="1033" xr:uid="{00000000-0005-0000-0000-0000FD030000}"/>
    <cellStyle name="general" xfId="1034" xr:uid="{00000000-0005-0000-0000-0000FE030000}"/>
    <cellStyle name="Good 2" xfId="1345" xr:uid="{00000000-0005-0000-0000-0000FF030000}"/>
    <cellStyle name="GrandTotal" xfId="1035" xr:uid="{00000000-0005-0000-0000-000000040000}"/>
    <cellStyle name="Grey" xfId="1036" xr:uid="{00000000-0005-0000-0000-000001040000}"/>
    <cellStyle name="Hard Percent" xfId="1037" xr:uid="{00000000-0005-0000-0000-000002040000}"/>
    <cellStyle name="Head 1" xfId="1038" xr:uid="{00000000-0005-0000-0000-000003040000}"/>
    <cellStyle name="Head0" xfId="1039" xr:uid="{00000000-0005-0000-0000-000004040000}"/>
    <cellStyle name="Head1" xfId="1040" xr:uid="{00000000-0005-0000-0000-000005040000}"/>
    <cellStyle name="Head2" xfId="1041" xr:uid="{00000000-0005-0000-0000-000006040000}"/>
    <cellStyle name="Head3" xfId="1042" xr:uid="{00000000-0005-0000-0000-000007040000}"/>
    <cellStyle name="Head4" xfId="1043" xr:uid="{00000000-0005-0000-0000-000008040000}"/>
    <cellStyle name="Head5" xfId="1044" xr:uid="{00000000-0005-0000-0000-000009040000}"/>
    <cellStyle name="Head6" xfId="1045" xr:uid="{00000000-0005-0000-0000-00000A040000}"/>
    <cellStyle name="Head7" xfId="1046" xr:uid="{00000000-0005-0000-0000-00000B040000}"/>
    <cellStyle name="Head8" xfId="1047" xr:uid="{00000000-0005-0000-0000-00000C040000}"/>
    <cellStyle name="Head9" xfId="1048" xr:uid="{00000000-0005-0000-0000-00000D040000}"/>
    <cellStyle name="HEADER" xfId="1049" xr:uid="{00000000-0005-0000-0000-00000E040000}"/>
    <cellStyle name="Header1" xfId="1050" xr:uid="{00000000-0005-0000-0000-00000F040000}"/>
    <cellStyle name="Header2" xfId="1051" xr:uid="{00000000-0005-0000-0000-000010040000}"/>
    <cellStyle name="Heading" xfId="1052" xr:uid="{00000000-0005-0000-0000-000011040000}"/>
    <cellStyle name="Heading 2 2" xfId="1351" xr:uid="{00000000-0005-0000-0000-000012040000}"/>
    <cellStyle name="Heading Left" xfId="1053" xr:uid="{00000000-0005-0000-0000-000013040000}"/>
    <cellStyle name="Heading Right" xfId="1054" xr:uid="{00000000-0005-0000-0000-000014040000}"/>
    <cellStyle name="Heading1" xfId="1055" xr:uid="{00000000-0005-0000-0000-000015040000}"/>
    <cellStyle name="Heading2" xfId="1056" xr:uid="{00000000-0005-0000-0000-000016040000}"/>
    <cellStyle name="HeadingS" xfId="1057" xr:uid="{00000000-0005-0000-0000-000017040000}"/>
    <cellStyle name="HEADINGSTOP" xfId="1058" xr:uid="{00000000-0005-0000-0000-000018040000}"/>
    <cellStyle name="Headline" xfId="1059" xr:uid="{00000000-0005-0000-0000-000019040000}"/>
    <cellStyle name="HeadShade" xfId="1060" xr:uid="{00000000-0005-0000-0000-00001A040000}"/>
    <cellStyle name="HeadShade 2" xfId="1061" xr:uid="{00000000-0005-0000-0000-00001B040000}"/>
    <cellStyle name="HeadShade 3" xfId="1062" xr:uid="{00000000-0005-0000-0000-00001C040000}"/>
    <cellStyle name="HeadShade 4" xfId="1063" xr:uid="{00000000-0005-0000-0000-00001D040000}"/>
    <cellStyle name="HeadShade 5" xfId="1064" xr:uid="{00000000-0005-0000-0000-00001E040000}"/>
    <cellStyle name="HeadShade 9" xfId="1065" xr:uid="{00000000-0005-0000-0000-00001F040000}"/>
    <cellStyle name="helv narrow 8" xfId="1066" xr:uid="{00000000-0005-0000-0000-000020040000}"/>
    <cellStyle name="Hidden" xfId="1067" xr:uid="{00000000-0005-0000-0000-000021040000}"/>
    <cellStyle name="Hide" xfId="1068" xr:uid="{00000000-0005-0000-0000-000022040000}"/>
    <cellStyle name="HIGHLIGHT" xfId="1069" xr:uid="{00000000-0005-0000-0000-000023040000}"/>
    <cellStyle name="Hyperlink" xfId="1343" builtinId="8" hidden="1"/>
    <cellStyle name="Hyperlink" xfId="1341" builtinId="8" hidden="1"/>
    <cellStyle name="Hyperlink 2" xfId="1357" xr:uid="{3D23AB57-93B8-4255-940A-082865DDDD0E}"/>
    <cellStyle name="I" xfId="1070" xr:uid="{00000000-0005-0000-0000-000026040000}"/>
    <cellStyle name="Input [yellow]" xfId="1071" xr:uid="{00000000-0005-0000-0000-000027040000}"/>
    <cellStyle name="Input Comma" xfId="1072" xr:uid="{00000000-0005-0000-0000-000028040000}"/>
    <cellStyle name="Input Comma [0]" xfId="1073" xr:uid="{00000000-0005-0000-0000-000029040000}"/>
    <cellStyle name="Input Currency" xfId="1074" xr:uid="{00000000-0005-0000-0000-00002A040000}"/>
    <cellStyle name="Input Currency [0]" xfId="1075" xr:uid="{00000000-0005-0000-0000-00002B040000}"/>
    <cellStyle name="Input Percent" xfId="1076" xr:uid="{00000000-0005-0000-0000-00002C040000}"/>
    <cellStyle name="Input Percent [0]" xfId="1077" xr:uid="{00000000-0005-0000-0000-00002D040000}"/>
    <cellStyle name="Inputs" xfId="1078" xr:uid="{00000000-0005-0000-0000-00002E040000}"/>
    <cellStyle name="Italics" xfId="1079" xr:uid="{00000000-0005-0000-0000-00002F040000}"/>
    <cellStyle name="Lable8Left" xfId="1080" xr:uid="{00000000-0005-0000-0000-000030040000}"/>
    <cellStyle name="left" xfId="1081" xr:uid="{00000000-0005-0000-0000-000031040000}"/>
    <cellStyle name="Ligne" xfId="1082" xr:uid="{00000000-0005-0000-0000-000032040000}"/>
    <cellStyle name="Lines" xfId="1083" xr:uid="{00000000-0005-0000-0000-000033040000}"/>
    <cellStyle name="Link Currency (0)" xfId="1084" xr:uid="{00000000-0005-0000-0000-000034040000}"/>
    <cellStyle name="Link Currency (2)" xfId="1085" xr:uid="{00000000-0005-0000-0000-000035040000}"/>
    <cellStyle name="Link Units (0)" xfId="1086" xr:uid="{00000000-0005-0000-0000-000036040000}"/>
    <cellStyle name="Link Units (1)" xfId="1087" xr:uid="{00000000-0005-0000-0000-000037040000}"/>
    <cellStyle name="Link Units (2)" xfId="1088" xr:uid="{00000000-0005-0000-0000-000038040000}"/>
    <cellStyle name="Linked" xfId="1089" xr:uid="{00000000-0005-0000-0000-000039040000}"/>
    <cellStyle name="LISAM" xfId="1090" xr:uid="{00000000-0005-0000-0000-00003A040000}"/>
    <cellStyle name="M" xfId="1091" xr:uid="{00000000-0005-0000-0000-00003B040000}"/>
    <cellStyle name="Margins" xfId="1092" xr:uid="{00000000-0005-0000-0000-00003C040000}"/>
    <cellStyle name="Migliaia (0)_Foglio1 (2)" xfId="1093" xr:uid="{00000000-0005-0000-0000-00003D040000}"/>
    <cellStyle name="Migliaia_Foglio1 (2)" xfId="1094" xr:uid="{00000000-0005-0000-0000-00003E040000}"/>
    <cellStyle name="Millares [0]_results" xfId="1095" xr:uid="{00000000-0005-0000-0000-00003F040000}"/>
    <cellStyle name="Millares_results" xfId="1096" xr:uid="{00000000-0005-0000-0000-000040040000}"/>
    <cellStyle name="Milliers [0]_!!!GO" xfId="1097" xr:uid="{00000000-0005-0000-0000-000041040000}"/>
    <cellStyle name="Milliers_!!!GO" xfId="1098" xr:uid="{00000000-0005-0000-0000-000042040000}"/>
    <cellStyle name="Moeda [0]_Arrendamiraflores" xfId="1099" xr:uid="{00000000-0005-0000-0000-000043040000}"/>
    <cellStyle name="Moeda_Arrendamiraflores" xfId="1100" xr:uid="{00000000-0005-0000-0000-000044040000}"/>
    <cellStyle name="Moneda [0]_results" xfId="1101" xr:uid="{00000000-0005-0000-0000-000045040000}"/>
    <cellStyle name="Moneda_results" xfId="1102" xr:uid="{00000000-0005-0000-0000-000046040000}"/>
    <cellStyle name="Monétaire [0]_!!!GO" xfId="1103" xr:uid="{00000000-0005-0000-0000-000047040000}"/>
    <cellStyle name="Monétaire_!!!GO" xfId="1104" xr:uid="{00000000-0005-0000-0000-000048040000}"/>
    <cellStyle name="MSectionHeadings" xfId="1105" xr:uid="{00000000-0005-0000-0000-000049040000}"/>
    <cellStyle name="Multiple" xfId="1106" xr:uid="{00000000-0005-0000-0000-00004A040000}"/>
    <cellStyle name="Multiple (no x)" xfId="1107" xr:uid="{00000000-0005-0000-0000-00004B040000}"/>
    <cellStyle name="Multiple (with x)" xfId="1108" xr:uid="{00000000-0005-0000-0000-00004C040000}"/>
    <cellStyle name="Multiple_09.01.01_Property_Tax_Basis1" xfId="1109" xr:uid="{00000000-0005-0000-0000-00004D040000}"/>
    <cellStyle name="no dec" xfId="1110" xr:uid="{00000000-0005-0000-0000-00004E040000}"/>
    <cellStyle name="nodle1" xfId="1111" xr:uid="{00000000-0005-0000-0000-00004F040000}"/>
    <cellStyle name="Normal" xfId="0" builtinId="0"/>
    <cellStyle name="Normal - Style1" xfId="1112" xr:uid="{00000000-0005-0000-0000-000051040000}"/>
    <cellStyle name="Normal 10" xfId="1347" xr:uid="{00000000-0005-0000-0000-000052040000}"/>
    <cellStyle name="Normal 11" xfId="1348" xr:uid="{00000000-0005-0000-0000-000053040000}"/>
    <cellStyle name="Normal 12" xfId="1352" xr:uid="{00000000-0005-0000-0000-000054040000}"/>
    <cellStyle name="Normal 13" xfId="1349" xr:uid="{00000000-0005-0000-0000-000055040000}"/>
    <cellStyle name="Normal 2" xfId="2" xr:uid="{00000000-0005-0000-0000-000056040000}"/>
    <cellStyle name="Normal 2 2" xfId="5" xr:uid="{00000000-0005-0000-0000-000057040000}"/>
    <cellStyle name="Normal 2 3" xfId="9" xr:uid="{00000000-0005-0000-0000-000058040000}"/>
    <cellStyle name="Normal 2 4" xfId="1356" xr:uid="{00000000-0005-0000-0000-000059040000}"/>
    <cellStyle name="Normal 3" xfId="6" xr:uid="{00000000-0005-0000-0000-00005A040000}"/>
    <cellStyle name="Normal 3 3" xfId="21" xr:uid="{00000000-0005-0000-0000-00005B040000}"/>
    <cellStyle name="Normal 4" xfId="15" xr:uid="{00000000-0005-0000-0000-00005C040000}"/>
    <cellStyle name="Normal 4 2" xfId="23" xr:uid="{00000000-0005-0000-0000-00005D040000}"/>
    <cellStyle name="Normal 5" xfId="19" xr:uid="{00000000-0005-0000-0000-00005E040000}"/>
    <cellStyle name="Normal 6" xfId="127" xr:uid="{00000000-0005-0000-0000-00005F040000}"/>
    <cellStyle name="Normal 6 2" xfId="1334" xr:uid="{00000000-0005-0000-0000-000060040000}"/>
    <cellStyle name="Normal 6 3" xfId="1353" xr:uid="{00000000-0005-0000-0000-000061040000}"/>
    <cellStyle name="Normal 7" xfId="129" xr:uid="{00000000-0005-0000-0000-000062040000}"/>
    <cellStyle name="Normal 7 2" xfId="1332" xr:uid="{00000000-0005-0000-0000-000063040000}"/>
    <cellStyle name="Normal 7 3" xfId="1339" xr:uid="{00000000-0005-0000-0000-000064040000}"/>
    <cellStyle name="Normal 8" xfId="1113" xr:uid="{00000000-0005-0000-0000-000065040000}"/>
    <cellStyle name="Normal 9" xfId="1331" xr:uid="{00000000-0005-0000-0000-000066040000}"/>
    <cellStyle name="Normal_Simple pro-forma" xfId="14" xr:uid="{00000000-0005-0000-0000-000068040000}"/>
    <cellStyle name="NormalBack" xfId="1114" xr:uid="{00000000-0005-0000-0000-00006A040000}"/>
    <cellStyle name="NormalBorder" xfId="1115" xr:uid="{00000000-0005-0000-0000-00006B040000}"/>
    <cellStyle name="Normale_INVENTARIO AL 31.12.99 Con composizioni2BUSSI" xfId="1116" xr:uid="{00000000-0005-0000-0000-00006C040000}"/>
    <cellStyle name="NormalGB" xfId="1117" xr:uid="{00000000-0005-0000-0000-00006D040000}"/>
    <cellStyle name="NormalLeft" xfId="1118" xr:uid="{00000000-0005-0000-0000-00006E040000}"/>
    <cellStyle name="NormalNumber%" xfId="1119" xr:uid="{00000000-0005-0000-0000-00006F040000}"/>
    <cellStyle name="NormalRightNum" xfId="1120" xr:uid="{00000000-0005-0000-0000-000070040000}"/>
    <cellStyle name="NormalRightPercent" xfId="1121" xr:uid="{00000000-0005-0000-0000-000071040000}"/>
    <cellStyle name="nPlode" xfId="1122" xr:uid="{00000000-0005-0000-0000-000072040000}"/>
    <cellStyle name="nPlode1" xfId="1123" xr:uid="{00000000-0005-0000-0000-000073040000}"/>
    <cellStyle name="nPlode2" xfId="1124" xr:uid="{00000000-0005-0000-0000-000074040000}"/>
    <cellStyle name="nPlode3" xfId="1125" xr:uid="{00000000-0005-0000-0000-000075040000}"/>
    <cellStyle name="nPlosion" xfId="1126" xr:uid="{00000000-0005-0000-0000-000076040000}"/>
    <cellStyle name="NPRO" xfId="1127" xr:uid="{00000000-0005-0000-0000-000077040000}"/>
    <cellStyle name="Num0Un" xfId="1128" xr:uid="{00000000-0005-0000-0000-000078040000}"/>
    <cellStyle name="Num1" xfId="1129" xr:uid="{00000000-0005-0000-0000-000079040000}"/>
    <cellStyle name="Num1Blue" xfId="1130" xr:uid="{00000000-0005-0000-0000-00007A040000}"/>
    <cellStyle name="Num2" xfId="1131" xr:uid="{00000000-0005-0000-0000-00007B040000}"/>
    <cellStyle name="Num2Un" xfId="1132" xr:uid="{00000000-0005-0000-0000-00007C040000}"/>
    <cellStyle name="Number" xfId="1133" xr:uid="{00000000-0005-0000-0000-00007D040000}"/>
    <cellStyle name="OddBodyShade" xfId="1134" xr:uid="{00000000-0005-0000-0000-00007E040000}"/>
    <cellStyle name="OddBodyShade 2" xfId="1135" xr:uid="{00000000-0005-0000-0000-00007F040000}"/>
    <cellStyle name="OddBodyShade 3" xfId="1136" xr:uid="{00000000-0005-0000-0000-000080040000}"/>
    <cellStyle name="OddBodyShade 4" xfId="1137" xr:uid="{00000000-0005-0000-0000-000081040000}"/>
    <cellStyle name="OddBodyShade 5" xfId="1138" xr:uid="{00000000-0005-0000-0000-000082040000}"/>
    <cellStyle name="OddBodyShade 9" xfId="1139" xr:uid="{00000000-0005-0000-0000-000083040000}"/>
    <cellStyle name="Œ…‹æØ‚è [0.00]_!!!GO" xfId="1140" xr:uid="{00000000-0005-0000-0000-000084040000}"/>
    <cellStyle name="Œ…‹æØ‚è_!!!GO" xfId="1141" xr:uid="{00000000-0005-0000-0000-000085040000}"/>
    <cellStyle name="One Pager Input" xfId="1142" xr:uid="{00000000-0005-0000-0000-000086040000}"/>
    <cellStyle name="OutlineSpec" xfId="1143" xr:uid="{00000000-0005-0000-0000-000087040000}"/>
    <cellStyle name="Output Amounts" xfId="1144" xr:uid="{00000000-0005-0000-0000-000088040000}"/>
    <cellStyle name="Output Column Headings" xfId="1145" xr:uid="{00000000-0005-0000-0000-000089040000}"/>
    <cellStyle name="Output Line Items" xfId="1146" xr:uid="{00000000-0005-0000-0000-00008A040000}"/>
    <cellStyle name="Output Report Heading" xfId="1147" xr:uid="{00000000-0005-0000-0000-00008B040000}"/>
    <cellStyle name="Output Report Title" xfId="1148" xr:uid="{00000000-0005-0000-0000-00008C040000}"/>
    <cellStyle name="Overscore" xfId="1149" xr:uid="{00000000-0005-0000-0000-00008D040000}"/>
    <cellStyle name="Overscore 2" xfId="1150" xr:uid="{00000000-0005-0000-0000-00008E040000}"/>
    <cellStyle name="Overscore 3" xfId="1151" xr:uid="{00000000-0005-0000-0000-00008F040000}"/>
    <cellStyle name="Overscore 4" xfId="1152" xr:uid="{00000000-0005-0000-0000-000090040000}"/>
    <cellStyle name="Overscore 5" xfId="1153" xr:uid="{00000000-0005-0000-0000-000091040000}"/>
    <cellStyle name="Overscore 9" xfId="1154" xr:uid="{00000000-0005-0000-0000-000092040000}"/>
    <cellStyle name="Overunder" xfId="1155" xr:uid="{00000000-0005-0000-0000-000093040000}"/>
    <cellStyle name="P" xfId="1156" xr:uid="{00000000-0005-0000-0000-000094040000}"/>
    <cellStyle name="Page Heading" xfId="1157" xr:uid="{00000000-0005-0000-0000-000095040000}"/>
    <cellStyle name="Page Heading Large" xfId="1158" xr:uid="{00000000-0005-0000-0000-000096040000}"/>
    <cellStyle name="Page Heading Small" xfId="1159" xr:uid="{00000000-0005-0000-0000-000097040000}"/>
    <cellStyle name="Page Number" xfId="1160" xr:uid="{00000000-0005-0000-0000-000098040000}"/>
    <cellStyle name="Page Title (Blue/Gray)" xfId="1161" xr:uid="{00000000-0005-0000-0000-000099040000}"/>
    <cellStyle name="patterns" xfId="1162" xr:uid="{00000000-0005-0000-0000-00009A040000}"/>
    <cellStyle name="PB Table Heading" xfId="1163" xr:uid="{00000000-0005-0000-0000-00009B040000}"/>
    <cellStyle name="PB Table Highlight1" xfId="1164" xr:uid="{00000000-0005-0000-0000-00009C040000}"/>
    <cellStyle name="PB Table Highlight2" xfId="1165" xr:uid="{00000000-0005-0000-0000-00009D040000}"/>
    <cellStyle name="PB Table Highlight3" xfId="1166" xr:uid="{00000000-0005-0000-0000-00009E040000}"/>
    <cellStyle name="PB Table Standard Row" xfId="1167" xr:uid="{00000000-0005-0000-0000-00009F040000}"/>
    <cellStyle name="PB Table Subtotal Row" xfId="1168" xr:uid="{00000000-0005-0000-0000-0000A0040000}"/>
    <cellStyle name="PB Table Total Row" xfId="1169" xr:uid="{00000000-0005-0000-0000-0000A1040000}"/>
    <cellStyle name="pb_page_heading_LS" xfId="1170" xr:uid="{00000000-0005-0000-0000-0000A2040000}"/>
    <cellStyle name="per.style" xfId="1171" xr:uid="{00000000-0005-0000-0000-0000A3040000}"/>
    <cellStyle name="Perc1" xfId="1172" xr:uid="{00000000-0005-0000-0000-0000A4040000}"/>
    <cellStyle name="Percen - Style1" xfId="1173" xr:uid="{00000000-0005-0000-0000-0000A5040000}"/>
    <cellStyle name="Percen - Style2" xfId="1174" xr:uid="{00000000-0005-0000-0000-0000A6040000}"/>
    <cellStyle name="Percen - Style3" xfId="1175" xr:uid="{00000000-0005-0000-0000-0000A7040000}"/>
    <cellStyle name="Percent" xfId="1" builtinId="5"/>
    <cellStyle name="Percent [0%]" xfId="1176" xr:uid="{00000000-0005-0000-0000-0000AB040000}"/>
    <cellStyle name="Percent [0.00%]" xfId="1177" xr:uid="{00000000-0005-0000-0000-0000A9040000}"/>
    <cellStyle name="Percent [0]" xfId="1178" xr:uid="{00000000-0005-0000-0000-0000AA040000}"/>
    <cellStyle name="Percent [00]" xfId="1179" xr:uid="{00000000-0005-0000-0000-0000AC040000}"/>
    <cellStyle name="Percent [2]" xfId="1180" xr:uid="{00000000-0005-0000-0000-0000AD040000}"/>
    <cellStyle name="percent 1 decimal" xfId="1181" xr:uid="{00000000-0005-0000-0000-0000AE040000}"/>
    <cellStyle name="Percent 2" xfId="7" xr:uid="{00000000-0005-0000-0000-0000AF040000}"/>
    <cellStyle name="Percent 2 2" xfId="8" xr:uid="{00000000-0005-0000-0000-0000B0040000}"/>
    <cellStyle name="Percent 2 2 2" xfId="24" xr:uid="{00000000-0005-0000-0000-0000B1040000}"/>
    <cellStyle name="Percent 2 3" xfId="10" xr:uid="{00000000-0005-0000-0000-0000B2040000}"/>
    <cellStyle name="percent 2 decimal" xfId="1182" xr:uid="{00000000-0005-0000-0000-0000B3040000}"/>
    <cellStyle name="Percent 3" xfId="13" xr:uid="{00000000-0005-0000-0000-0000B4040000}"/>
    <cellStyle name="Percent 4" xfId="16" xr:uid="{00000000-0005-0000-0000-0000B5040000}"/>
    <cellStyle name="Percent 5" xfId="128" xr:uid="{00000000-0005-0000-0000-0000B6040000}"/>
    <cellStyle name="Percent 5 2" xfId="1335" xr:uid="{00000000-0005-0000-0000-0000B7040000}"/>
    <cellStyle name="Percent 5 3" xfId="1354" xr:uid="{00000000-0005-0000-0000-0000B8040000}"/>
    <cellStyle name="Percent 6" xfId="130" xr:uid="{00000000-0005-0000-0000-0000B9040000}"/>
    <cellStyle name="Percent 6 2" xfId="1333" xr:uid="{00000000-0005-0000-0000-0000BA040000}"/>
    <cellStyle name="Percent 6 3" xfId="1340" xr:uid="{00000000-0005-0000-0000-0000BB040000}"/>
    <cellStyle name="Percent Hard" xfId="1183" xr:uid="{00000000-0005-0000-0000-0000BC040000}"/>
    <cellStyle name="percent no decimal" xfId="1184" xr:uid="{00000000-0005-0000-0000-0000BD040000}"/>
    <cellStyle name="Percent(4places)TotTop" xfId="1185" xr:uid="{00000000-0005-0000-0000-0000BE040000}"/>
    <cellStyle name="Percent1" xfId="1186" xr:uid="{00000000-0005-0000-0000-0000BF040000}"/>
    <cellStyle name="Percent1Blue" xfId="1187" xr:uid="{00000000-0005-0000-0000-0000C0040000}"/>
    <cellStyle name="Percent2" xfId="1188" xr:uid="{00000000-0005-0000-0000-0000C1040000}"/>
    <cellStyle name="Percent2Blue" xfId="1189" xr:uid="{00000000-0005-0000-0000-0000C2040000}"/>
    <cellStyle name="PercentTotal" xfId="1190" xr:uid="{00000000-0005-0000-0000-0000C3040000}"/>
    <cellStyle name="Pounds" xfId="1191" xr:uid="{00000000-0005-0000-0000-0000C4040000}"/>
    <cellStyle name="Pourcentage_agree" xfId="1192" xr:uid="{00000000-0005-0000-0000-0000C5040000}"/>
    <cellStyle name="PrePop Currency (0)" xfId="1193" xr:uid="{00000000-0005-0000-0000-0000C6040000}"/>
    <cellStyle name="PrePop Currency (2)" xfId="1194" xr:uid="{00000000-0005-0000-0000-0000C7040000}"/>
    <cellStyle name="PrePop Units (0)" xfId="1195" xr:uid="{00000000-0005-0000-0000-0000C8040000}"/>
    <cellStyle name="PrePop Units (1)" xfId="1196" xr:uid="{00000000-0005-0000-0000-0000C9040000}"/>
    <cellStyle name="PrePop Units (2)" xfId="1197" xr:uid="{00000000-0005-0000-0000-0000CA040000}"/>
    <cellStyle name="Price" xfId="1198" xr:uid="{00000000-0005-0000-0000-0000CB040000}"/>
    <cellStyle name="PriceUn" xfId="1199" xr:uid="{00000000-0005-0000-0000-0000CC040000}"/>
    <cellStyle name="pricing" xfId="1200" xr:uid="{00000000-0005-0000-0000-0000CD040000}"/>
    <cellStyle name="PSChar" xfId="1201" xr:uid="{00000000-0005-0000-0000-0000CE040000}"/>
    <cellStyle name="PSDate" xfId="1202" xr:uid="{00000000-0005-0000-0000-0000CF040000}"/>
    <cellStyle name="PSDec" xfId="1203" xr:uid="{00000000-0005-0000-0000-0000D0040000}"/>
    <cellStyle name="PSHeading" xfId="1204" xr:uid="{00000000-0005-0000-0000-0000D1040000}"/>
    <cellStyle name="PSInt" xfId="1205" xr:uid="{00000000-0005-0000-0000-0000D2040000}"/>
    <cellStyle name="PSSpacer" xfId="1206" xr:uid="{00000000-0005-0000-0000-0000D3040000}"/>
    <cellStyle name="Reg1" xfId="1207" xr:uid="{00000000-0005-0000-0000-0000D4040000}"/>
    <cellStyle name="Reg2" xfId="1208" xr:uid="{00000000-0005-0000-0000-0000D5040000}"/>
    <cellStyle name="Reg3" xfId="1209" xr:uid="{00000000-0005-0000-0000-0000D6040000}"/>
    <cellStyle name="Reg4" xfId="1210" xr:uid="{00000000-0005-0000-0000-0000D7040000}"/>
    <cellStyle name="Reg5" xfId="1211" xr:uid="{00000000-0005-0000-0000-0000D8040000}"/>
    <cellStyle name="Reg6" xfId="1212" xr:uid="{00000000-0005-0000-0000-0000D9040000}"/>
    <cellStyle name="Reg7" xfId="1213" xr:uid="{00000000-0005-0000-0000-0000DA040000}"/>
    <cellStyle name="Reg8" xfId="1214" xr:uid="{00000000-0005-0000-0000-0000DB040000}"/>
    <cellStyle name="Reg9" xfId="1215" xr:uid="{00000000-0005-0000-0000-0000DC040000}"/>
    <cellStyle name="regstoresfromspecstores" xfId="1216" xr:uid="{00000000-0005-0000-0000-0000DD040000}"/>
    <cellStyle name="RevList" xfId="1217" xr:uid="{00000000-0005-0000-0000-0000DE040000}"/>
    <cellStyle name="Right" xfId="1218" xr:uid="{00000000-0005-0000-0000-0000DF040000}"/>
    <cellStyle name="s" xfId="1219" xr:uid="{00000000-0005-0000-0000-0000E0040000}"/>
    <cellStyle name="Salomon Logo" xfId="1220" xr:uid="{00000000-0005-0000-0000-0000E1040000}"/>
    <cellStyle name="ScotchRule" xfId="1221" xr:uid="{00000000-0005-0000-0000-0000E2040000}"/>
    <cellStyle name="Second Heading_dynex lihtcperm" xfId="1222" xr:uid="{00000000-0005-0000-0000-0000E3040000}"/>
    <cellStyle name="Separador de milhares [0]_Arrendamiraflores" xfId="1223" xr:uid="{00000000-0005-0000-0000-0000E4040000}"/>
    <cellStyle name="Shaded" xfId="1224" xr:uid="{00000000-0005-0000-0000-0000E5040000}"/>
    <cellStyle name="SHADEDSTORES" xfId="1225" xr:uid="{00000000-0005-0000-0000-0000E6040000}"/>
    <cellStyle name="Single Accounting" xfId="1226" xr:uid="{00000000-0005-0000-0000-0000E7040000}"/>
    <cellStyle name="Small Page Heading" xfId="1227" xr:uid="{00000000-0005-0000-0000-0000E8040000}"/>
    <cellStyle name="Sous-Total" xfId="1228" xr:uid="{00000000-0005-0000-0000-0000E9040000}"/>
    <cellStyle name="SpecialHeader" xfId="1229" xr:uid="{00000000-0005-0000-0000-0000EA040000}"/>
    <cellStyle name="specstores" xfId="1230" xr:uid="{00000000-0005-0000-0000-0000EB040000}"/>
    <cellStyle name="Standaard_Almere" xfId="1231" xr:uid="{00000000-0005-0000-0000-0000EC040000}"/>
    <cellStyle name="Standard_1CC-N-12" xfId="1232" xr:uid="{00000000-0005-0000-0000-0000ED040000}"/>
    <cellStyle name="Style 1" xfId="1233" xr:uid="{00000000-0005-0000-0000-0000EE040000}"/>
    <cellStyle name="Style１" xfId="1234" xr:uid="{00000000-0005-0000-0000-0000EF040000}"/>
    <cellStyle name="subhead" xfId="1235" xr:uid="{00000000-0005-0000-0000-0000F0040000}"/>
    <cellStyle name="SubHeader" xfId="1236" xr:uid="{00000000-0005-0000-0000-0000F1040000}"/>
    <cellStyle name="Subscribers" xfId="1237" xr:uid="{00000000-0005-0000-0000-0000F2040000}"/>
    <cellStyle name="Subtitle" xfId="1238" xr:uid="{00000000-0005-0000-0000-0000F3040000}"/>
    <cellStyle name="SubTotal" xfId="1239" xr:uid="{00000000-0005-0000-0000-0000F4040000}"/>
    <cellStyle name="T" xfId="1240" xr:uid="{00000000-0005-0000-0000-0000F5040000}"/>
    <cellStyle name="Table Col Head" xfId="1241" xr:uid="{00000000-0005-0000-0000-0000F6040000}"/>
    <cellStyle name="Table Head" xfId="1242" xr:uid="{00000000-0005-0000-0000-0000F7040000}"/>
    <cellStyle name="Table Head Aligned" xfId="1243" xr:uid="{00000000-0005-0000-0000-0000F8040000}"/>
    <cellStyle name="Table Head Blue" xfId="1244" xr:uid="{00000000-0005-0000-0000-0000F9040000}"/>
    <cellStyle name="Table Head Green" xfId="1245" xr:uid="{00000000-0005-0000-0000-0000FA040000}"/>
    <cellStyle name="Table Head_Alamosa Bids II" xfId="1246" xr:uid="{00000000-0005-0000-0000-0000FB040000}"/>
    <cellStyle name="Table Heading" xfId="1247" xr:uid="{00000000-0005-0000-0000-0000FC040000}"/>
    <cellStyle name="Table Sub Head" xfId="1248" xr:uid="{00000000-0005-0000-0000-0000FD040000}"/>
    <cellStyle name="Table Text" xfId="1249" xr:uid="{00000000-0005-0000-0000-0000FE040000}"/>
    <cellStyle name="Table Title" xfId="1250" xr:uid="{00000000-0005-0000-0000-0000FF040000}"/>
    <cellStyle name="Table Units" xfId="1251" xr:uid="{00000000-0005-0000-0000-000000050000}"/>
    <cellStyle name="Table_Header" xfId="1252" xr:uid="{00000000-0005-0000-0000-000001050000}"/>
    <cellStyle name="TableBody_sbcpac" xfId="1253" xr:uid="{00000000-0005-0000-0000-000002050000}"/>
    <cellStyle name="Text 1" xfId="1254" xr:uid="{00000000-0005-0000-0000-000003050000}"/>
    <cellStyle name="Text 8" xfId="1255" xr:uid="{00000000-0005-0000-0000-000004050000}"/>
    <cellStyle name="Text Head 1" xfId="1256" xr:uid="{00000000-0005-0000-0000-000005050000}"/>
    <cellStyle name="Text Indent A" xfId="1257" xr:uid="{00000000-0005-0000-0000-000006050000}"/>
    <cellStyle name="Text Indent B" xfId="1258" xr:uid="{00000000-0005-0000-0000-000007050000}"/>
    <cellStyle name="Text Indent C" xfId="1259" xr:uid="{00000000-0005-0000-0000-000008050000}"/>
    <cellStyle name="TIME" xfId="1260" xr:uid="{00000000-0005-0000-0000-000009050000}"/>
    <cellStyle name="Times 10" xfId="1261" xr:uid="{00000000-0005-0000-0000-00000A050000}"/>
    <cellStyle name="Times 12" xfId="1262" xr:uid="{00000000-0005-0000-0000-00000B050000}"/>
    <cellStyle name="Times New Roman" xfId="1263" xr:uid="{00000000-0005-0000-0000-00000C050000}"/>
    <cellStyle name="times roman" xfId="1264" xr:uid="{00000000-0005-0000-0000-00000D050000}"/>
    <cellStyle name="Title1" xfId="1265" xr:uid="{00000000-0005-0000-0000-00000E050000}"/>
    <cellStyle name="Title10" xfId="1266" xr:uid="{00000000-0005-0000-0000-00000F050000}"/>
    <cellStyle name="Title2" xfId="1267" xr:uid="{00000000-0005-0000-0000-000010050000}"/>
    <cellStyle name="Title8" xfId="1268" xr:uid="{00000000-0005-0000-0000-000011050000}"/>
    <cellStyle name="Title8Left" xfId="1269" xr:uid="{00000000-0005-0000-0000-000012050000}"/>
    <cellStyle name="TitleCenter" xfId="1270" xr:uid="{00000000-0005-0000-0000-000013050000}"/>
    <cellStyle name="TitleLeft" xfId="1271" xr:uid="{00000000-0005-0000-0000-000014050000}"/>
    <cellStyle name="TitleOther" xfId="1272" xr:uid="{00000000-0005-0000-0000-000015050000}"/>
    <cellStyle name="Titolo1" xfId="1273" xr:uid="{00000000-0005-0000-0000-000016050000}"/>
    <cellStyle name="Titolo2" xfId="1274" xr:uid="{00000000-0005-0000-0000-000017050000}"/>
    <cellStyle name="Titolo3" xfId="1275" xr:uid="{00000000-0005-0000-0000-000018050000}"/>
    <cellStyle name="topline" xfId="1276" xr:uid="{00000000-0005-0000-0000-000019050000}"/>
    <cellStyle name="TopThick" xfId="1277" xr:uid="{00000000-0005-0000-0000-00001A050000}"/>
    <cellStyle name="Total1" xfId="1278" xr:uid="{00000000-0005-0000-0000-00001B050000}"/>
    <cellStyle name="Total2" xfId="1279" xr:uid="{00000000-0005-0000-0000-00001C050000}"/>
    <cellStyle name="Total3" xfId="1280" xr:uid="{00000000-0005-0000-0000-00001D050000}"/>
    <cellStyle name="Total4" xfId="1281" xr:uid="{00000000-0005-0000-0000-00001E050000}"/>
    <cellStyle name="Total5" xfId="1282" xr:uid="{00000000-0005-0000-0000-00001F050000}"/>
    <cellStyle name="Total6" xfId="1283" xr:uid="{00000000-0005-0000-0000-000020050000}"/>
    <cellStyle name="Total7" xfId="1284" xr:uid="{00000000-0005-0000-0000-000021050000}"/>
    <cellStyle name="Total8" xfId="1285" xr:uid="{00000000-0005-0000-0000-000022050000}"/>
    <cellStyle name="Total9" xfId="1286" xr:uid="{00000000-0005-0000-0000-000023050000}"/>
    <cellStyle name="Totals" xfId="1287" xr:uid="{00000000-0005-0000-0000-000024050000}"/>
    <cellStyle name="TotalsComma" xfId="1288" xr:uid="{00000000-0005-0000-0000-000025050000}"/>
    <cellStyle name="TotShade" xfId="1289" xr:uid="{00000000-0005-0000-0000-000026050000}"/>
    <cellStyle name="TotShade 2" xfId="1290" xr:uid="{00000000-0005-0000-0000-000027050000}"/>
    <cellStyle name="TotShade 3" xfId="1291" xr:uid="{00000000-0005-0000-0000-000028050000}"/>
    <cellStyle name="TotShade 4" xfId="1292" xr:uid="{00000000-0005-0000-0000-000029050000}"/>
    <cellStyle name="TotShade 5" xfId="1293" xr:uid="{00000000-0005-0000-0000-00002A050000}"/>
    <cellStyle name="TotShade 9" xfId="1294" xr:uid="{00000000-0005-0000-0000-00002B050000}"/>
    <cellStyle name="TransVal" xfId="1295" xr:uid="{00000000-0005-0000-0000-00002C050000}"/>
    <cellStyle name="ubordinated Debt" xfId="1296" xr:uid="{00000000-0005-0000-0000-00002D050000}"/>
    <cellStyle name="underline 1 decimal" xfId="1297" xr:uid="{00000000-0005-0000-0000-00002E050000}"/>
    <cellStyle name="underline 2 decimals" xfId="1298" xr:uid="{00000000-0005-0000-0000-00002F050000}"/>
    <cellStyle name="underline flush left" xfId="1299" xr:uid="{00000000-0005-0000-0000-000030050000}"/>
    <cellStyle name="underline no decimals" xfId="1300" xr:uid="{00000000-0005-0000-0000-000031050000}"/>
    <cellStyle name="Underline_Single" xfId="1301" xr:uid="{00000000-0005-0000-0000-000032050000}"/>
    <cellStyle name="Underscore" xfId="1302" xr:uid="{00000000-0005-0000-0000-000033050000}"/>
    <cellStyle name="Underscore 2" xfId="1303" xr:uid="{00000000-0005-0000-0000-000034050000}"/>
    <cellStyle name="Underscore 3" xfId="1304" xr:uid="{00000000-0005-0000-0000-000035050000}"/>
    <cellStyle name="Underscore 4" xfId="1305" xr:uid="{00000000-0005-0000-0000-000036050000}"/>
    <cellStyle name="Underscore 5" xfId="1306" xr:uid="{00000000-0005-0000-0000-000037050000}"/>
    <cellStyle name="Underscore 9" xfId="1307" xr:uid="{00000000-0005-0000-0000-000038050000}"/>
    <cellStyle name="Unprot" xfId="1308" xr:uid="{00000000-0005-0000-0000-000039050000}"/>
    <cellStyle name="Unprot$" xfId="1309" xr:uid="{00000000-0005-0000-0000-00003A050000}"/>
    <cellStyle name="Unprotect" xfId="1310" xr:uid="{00000000-0005-0000-0000-00003B050000}"/>
    <cellStyle name="User_Defined_A" xfId="1311" xr:uid="{00000000-0005-0000-0000-00003C050000}"/>
    <cellStyle name="Valuta (0)_Foglio1 (2)" xfId="1312" xr:uid="{00000000-0005-0000-0000-00003D050000}"/>
    <cellStyle name="Valuta_Foglio1 (2)" xfId="1313" xr:uid="{00000000-0005-0000-0000-00003E050000}"/>
    <cellStyle name="Vírgula_Arrendamiraflores" xfId="1314" xr:uid="{00000000-0005-0000-0000-00003F050000}"/>
    <cellStyle name="White" xfId="1315" xr:uid="{00000000-0005-0000-0000-000040050000}"/>
    <cellStyle name="y" xfId="1316" xr:uid="{00000000-0005-0000-0000-000041050000}"/>
    <cellStyle name="y_Citrix_2pgr2" xfId="1317" xr:uid="{00000000-0005-0000-0000-000042050000}"/>
    <cellStyle name="y_Iron-Steel" xfId="1318" xr:uid="{00000000-0005-0000-0000-000043050000}"/>
    <cellStyle name="y_MERQ_6-14_V8" xfId="1319" xr:uid="{00000000-0005-0000-0000-000044050000}"/>
    <cellStyle name="y_RATL_SRNA synergies" xfId="1320" xr:uid="{00000000-0005-0000-0000-000045050000}"/>
    <cellStyle name="y_Valuation_Jan2" xfId="1321" xr:uid="{00000000-0005-0000-0000-000046050000}"/>
    <cellStyle name="year" xfId="1322" xr:uid="{00000000-0005-0000-0000-000047050000}"/>
    <cellStyle name="Yen" xfId="1323" xr:uid="{00000000-0005-0000-0000-000048050000}"/>
    <cellStyle name="YES NO" xfId="1324" xr:uid="{00000000-0005-0000-0000-000049050000}"/>
    <cellStyle name="型番" xfId="1325" xr:uid="{00000000-0005-0000-0000-00004A050000}"/>
    <cellStyle name="桁区切り [0.00]_Book2" xfId="1326" xr:uid="{00000000-0005-0000-0000-00004B050000}"/>
    <cellStyle name="桁区切り_AssetBalance Template" xfId="1327" xr:uid="{00000000-0005-0000-0000-00004C050000}"/>
    <cellStyle name="標準_1Q01SS-backup_Megalon 3Q2" xfId="1328" xr:uid="{00000000-0005-0000-0000-00004D050000}"/>
    <cellStyle name="通貨 [0.00]_Book2" xfId="1329" xr:uid="{00000000-0005-0000-0000-00004E050000}"/>
    <cellStyle name="通貨_Book2" xfId="1330" xr:uid="{00000000-0005-0000-0000-00004F050000}"/>
  </cellStyles>
  <dxfs count="24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colors>
    <mruColors>
      <color rgb="FF0432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'Table of Contents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hyperlink" Target="#'Table of Contents'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'Table of Content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373528</xdr:colOff>
      <xdr:row>0</xdr:row>
      <xdr:rowOff>0</xdr:rowOff>
    </xdr:from>
    <xdr:to>
      <xdr:col>11</xdr:col>
      <xdr:colOff>1278229</xdr:colOff>
      <xdr:row>49</xdr:row>
      <xdr:rowOff>74706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7DA2C086-5D16-9DAE-26C3-DB014CE84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3528" y="0"/>
          <a:ext cx="11624995" cy="10141324"/>
        </a:xfrm>
        <a:prstGeom prst="rect">
          <a:avLst/>
        </a:prstGeom>
      </xdr:spPr>
    </xdr:pic>
    <xdr:clientData/>
  </xdr:twoCellAnchor>
  <xdr:twoCellAnchor editAs="oneCell">
    <xdr:from>
      <xdr:col>0</xdr:col>
      <xdr:colOff>280146</xdr:colOff>
      <xdr:row>54</xdr:row>
      <xdr:rowOff>37353</xdr:rowOff>
    </xdr:from>
    <xdr:to>
      <xdr:col>11</xdr:col>
      <xdr:colOff>600385</xdr:colOff>
      <xdr:row>77</xdr:row>
      <xdr:rowOff>132317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40FC2158-AAEB-7D4F-BE92-C21898225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0146" y="11131177"/>
          <a:ext cx="11040533" cy="48201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9</xdr:col>
      <xdr:colOff>359087</xdr:colOff>
      <xdr:row>115</xdr:row>
      <xdr:rowOff>14684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73FEF68C-FDE7-2749-9332-5833E36915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640735"/>
          <a:ext cx="9211734" cy="6999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120</xdr:row>
      <xdr:rowOff>0</xdr:rowOff>
    </xdr:from>
    <xdr:to>
      <xdr:col>9</xdr:col>
      <xdr:colOff>242793</xdr:colOff>
      <xdr:row>152</xdr:row>
      <xdr:rowOff>152980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BAE46EA4-44C9-D14E-849D-41296A2371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652941"/>
          <a:ext cx="9095440" cy="6727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74983</xdr:colOff>
      <xdr:row>54</xdr:row>
      <xdr:rowOff>0</xdr:rowOff>
    </xdr:from>
    <xdr:to>
      <xdr:col>58</xdr:col>
      <xdr:colOff>8927</xdr:colOff>
      <xdr:row>55</xdr:row>
      <xdr:rowOff>128315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659508" y="0"/>
          <a:ext cx="18831544" cy="332153"/>
        </a:xfrm>
        <a:prstGeom prst="rect">
          <a:avLst/>
        </a:prstGeom>
        <a:effectLst>
          <a:reflection blurRad="6350" stA="52000" endA="300" endPos="32000" dist="12700" dir="5400000" sy="-100000" algn="bl" rotWithShape="0"/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74983</xdr:colOff>
      <xdr:row>1</xdr:row>
      <xdr:rowOff>0</xdr:rowOff>
    </xdr:from>
    <xdr:to>
      <xdr:col>50</xdr:col>
      <xdr:colOff>8928</xdr:colOff>
      <xdr:row>2</xdr:row>
      <xdr:rowOff>36877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7C66196-3AB2-4BCA-9417-1D13171BE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032263" y="5935980"/>
          <a:ext cx="19441144" cy="326437"/>
        </a:xfrm>
        <a:prstGeom prst="rect">
          <a:avLst/>
        </a:prstGeom>
        <a:effectLst>
          <a:reflection blurRad="6350" stA="52000" endA="300" endPos="32000" dist="12700" dir="5400000" sy="-100000" algn="bl" rotWithShape="0"/>
        </a:effectLst>
      </xdr:spPr>
    </xdr:pic>
    <xdr:clientData/>
  </xdr:twoCellAnchor>
  <xdr:twoCellAnchor>
    <xdr:from>
      <xdr:col>60</xdr:col>
      <xdr:colOff>97945</xdr:colOff>
      <xdr:row>1</xdr:row>
      <xdr:rowOff>0</xdr:rowOff>
    </xdr:from>
    <xdr:to>
      <xdr:col>72</xdr:col>
      <xdr:colOff>44818</xdr:colOff>
      <xdr:row>2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90ADD84-0EAB-4E8F-A3D7-A065C2CA8A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76" t="15556" r="4002" b="14074"/>
        <a:stretch/>
      </xdr:blipFill>
      <xdr:spPr bwMode="auto">
        <a:xfrm>
          <a:off x="49658425" y="5935980"/>
          <a:ext cx="7262073" cy="2895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xmlns:mc="http://schemas.openxmlformats.org/markup-compatibility/2006" val="000000" mc:Ignorable="a14" a14:legacySpreadsheetColorIndex="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60</xdr:col>
      <xdr:colOff>51529</xdr:colOff>
      <xdr:row>3</xdr:row>
      <xdr:rowOff>0</xdr:rowOff>
    </xdr:from>
    <xdr:to>
      <xdr:col>72</xdr:col>
      <xdr:colOff>95096</xdr:colOff>
      <xdr:row>3</xdr:row>
      <xdr:rowOff>85668</xdr:rowOff>
    </xdr:to>
    <xdr:sp macro="" textlink="">
      <xdr:nvSpPr>
        <xdr:cNvPr id="4" name="Text Box 7">
          <a:extLst>
            <a:ext uri="{FF2B5EF4-FFF2-40B4-BE49-F238E27FC236}">
              <a16:creationId xmlns:a16="http://schemas.microsoft.com/office/drawing/2014/main" id="{A6879611-9459-4F79-8FC3-DAEB25299948}"/>
            </a:ext>
          </a:extLst>
        </xdr:cNvPr>
        <xdr:cNvSpPr txBox="1">
          <a:spLocks noChangeArrowheads="1"/>
        </xdr:cNvSpPr>
      </xdr:nvSpPr>
      <xdr:spPr bwMode="auto">
        <a:xfrm>
          <a:off x="49612009" y="6515100"/>
          <a:ext cx="7358767" cy="8566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  <xdr:txBody>
        <a:bodyPr vertOverflow="clip" wrap="square" lIns="36576" tIns="36576" rIns="36576" bIns="36576" anchor="t" upright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800" b="1" i="0" u="none" strike="noStrike" kern="0" cap="none" spc="0" normalizeH="0" baseline="0" noProof="0">
              <a:ln>
                <a:noFill/>
              </a:ln>
              <a:solidFill>
                <a:srgbClr val="FFFFFF"/>
              </a:solidFill>
              <a:effectLst/>
              <a:uLnTx/>
              <a:uFillTx/>
              <a:latin typeface="Calibri"/>
              <a:cs typeface="Calibri"/>
            </a:rPr>
            <a:t>D  e  v  e  l  o  p  m  e  n  t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n-US" sz="1600" b="1" i="0" u="none" strike="noStrike" kern="0" cap="none" spc="0" normalizeH="0" baseline="0" noProof="0">
            <a:ln>
              <a:noFill/>
            </a:ln>
            <a:solidFill>
              <a:srgbClr val="FFFFFF"/>
            </a:solidFill>
            <a:effectLst/>
            <a:uLnTx/>
            <a:uFillTx/>
            <a:latin typeface="Calibri"/>
            <a:cs typeface="Calibri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74983</xdr:colOff>
      <xdr:row>0</xdr:row>
      <xdr:rowOff>0</xdr:rowOff>
    </xdr:from>
    <xdr:to>
      <xdr:col>50</xdr:col>
      <xdr:colOff>8927</xdr:colOff>
      <xdr:row>1</xdr:row>
      <xdr:rowOff>127047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407F4C2-9584-46B6-B514-74E2C9D81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032263" y="0"/>
          <a:ext cx="19441144" cy="334057"/>
        </a:xfrm>
        <a:prstGeom prst="rect">
          <a:avLst/>
        </a:prstGeom>
        <a:effectLst>
          <a:reflection blurRad="6350" stA="52000" endA="300" endPos="32000" dist="12700" dir="5400000" sy="-100000" algn="bl" rotWithShape="0"/>
        </a:effec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li.sharepoint.com/My%20Documents/Closed%20Deals/Mack-Cali%20Portfolio/Investment%20Committee%20Book/$600k%20price%20adjustment%20VI/Section%203%20-%20Mack-Cali%20Portfolio%20FINAL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li.sharepoint.com/Users/Charles%20A%20Long/Dropbox/Development-L-T/West%20Oakland/1600%207th%20St/Equity%20Book%20and%20Financials/efscluster1/eusersdefpaths/greystar/live/41900914476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li.sharepoint.com/Documents%20and%20Settings/ahiggins/Local%20Settings/Temporary%20Internet%20Files/OLK16E/North%20Houston%20Medical%20Base%20Case%208-17-04%20(2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li.sharepoint.com/LAXUsers/koura/Analyst%20Bullpen/2%20-%20Seattle%20Deals/Seattle/South%20Lake%20Union/1%208%2012%20-%20Seattle%20282%20-%20AW_KAO_1.10.13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li.sharepoint.com/Users/matthewticknor/Dropbox/Development-L-T/Oakland/585%2022nd%20St/Asset%20Management/G:/Real%20Estate/_New%20Deals/NYC%20-%2085%20West%20Broadway/Model/hotel%20model/kimpton%20hotel%20development%20mode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li.sharepoint.com/Users/matthewticknor/Dropbox/Development-L-T/Oakland/585%2022nd%20St/Asset%20Management/G:/My%20Documents/Starwood/Models/FiMo%20Clean%203-1-04%20-%20May%20actfor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li.sharepoint.com/BCI-FS1/Users/FHC/ESTIMATE/Large%20Projects%20Estimates%202005/Carmichael%20Library%2025006/Bid%20Card%20Carmichael%20Library%201_27_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li.sharepoint.com/Documents%20and%20Settings/tpender.CHS/Local%20Settings/Temporary%20Internet%20Files/OLK12F/45760934376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li.sharepoint.com/Users/Matt/Dropbox/Greystar/Deals/Menlo%20Park/Equity%20Book/Menlo%20Park%20-%2065%25%20LTC%20-%2011-17-2013%20-%20broken%20links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li.sharepoint.com/users/SAMR/Invoices/Greystar%20Investments/GCP%20Invoice-JMIGRP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li.sharepoint.com/beaconlakes/Shared%20Documents/Beacon%20Lakes/100%20Land%20and%20Feasibility/Project%20Budget/MULE%20and%20Partners%20model%20greystar%20Beacon%20Lakes%203-5-07%20v5/beacon%20MULE2007_Beta2.3/MULE2007_Beta2.3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li.sharepoint.com/Documents%20and%20Settings/drbrown.AUSTIN/Local%20Settings/Temporary%20Internet%20Files/OLK1/49864162724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****"/>
      <sheetName val="Dealsumm"/>
      <sheetName val="Assm"/>
      <sheetName val="#"/>
      <sheetName val="#debt"/>
      <sheetName val="A"/>
      <sheetName val="B"/>
      <sheetName val="C"/>
      <sheetName val="Profit"/>
      <sheetName val="FeeAnalysis"/>
      <sheetName val="Land Assm"/>
      <sheetName val="Land #"/>
      <sheetName val="Land #debt"/>
      <sheetName val="Mont Assm"/>
      <sheetName val="Mont #"/>
      <sheetName val="Mont #debt"/>
      <sheetName val="Metr Assm"/>
      <sheetName val="Metr #"/>
      <sheetName val="Metr #debt"/>
      <sheetName val="Rep Assm"/>
      <sheetName val="Rep #"/>
      <sheetName val="Rep #deb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mplate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perty taxes-NOI-Prop 13 2538"/>
      <sheetName val="585 22nd NOI reduction-Prop 13"/>
      <sheetName val="471 Fees and allowances"/>
      <sheetName val="Unit mix revised 2538 08-04-16"/>
      <sheetName val="Unit mix revised 585 01-24-17"/>
      <sheetName val="570 Fees and Allowances"/>
      <sheetName val="Operating Expense &amp; Income 2538"/>
      <sheetName val="Rental pro-forma-97 UNITS-2538"/>
      <sheetName val="OVERALL DRAW 2538"/>
      <sheetName val="Equity Investor Sheet 2538"/>
      <sheetName val="26th - PM Budget"/>
      <sheetName val="2538 ALL EXPENSES"/>
      <sheetName val="2538 CONTRACTS"/>
      <sheetName val="Monthly Draw 585&amp;2538"/>
      <sheetName val="Operating Expense &amp; Income-585"/>
      <sheetName val="Rental pro-forma 585"/>
      <sheetName val="OVERALL DRAW 585"/>
      <sheetName val="Equity Investor Sheet 585"/>
      <sheetName val="21st - PM Budget"/>
      <sheetName val="585 ALL EXPENSES"/>
      <sheetName val="585 CONTRACTS"/>
      <sheetName val="UBS Waterfall"/>
      <sheetName val="Return Summary"/>
      <sheetName val="Trended CF-Simple 2538"/>
      <sheetName val="Trended CF-Simple585"/>
      <sheetName val="2538 BID LOG 5-16-17"/>
      <sheetName val="2538 BID LOG 6-6-17"/>
      <sheetName val="COSTS BOTH"/>
      <sheetName val="CONSOLIDATED"/>
      <sheetName val="DESIGN DRAW 585"/>
      <sheetName val="DESIGN DRAW 2538"/>
      <sheetName val="10y Libor"/>
      <sheetName val="60 units-OLD"/>
      <sheetName val="TIC Structure"/>
      <sheetName val="10 Yr. - Cash Flow"/>
      <sheetName val="One Pager - Assumptions"/>
      <sheetName val="NOI Down"/>
      <sheetName val="Rent Roll"/>
      <sheetName val="Rent"/>
      <sheetName val="TI"/>
      <sheetName val="Supporting Info."/>
      <sheetName val="Lease-Up"/>
      <sheetName val="Client Specif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perty taxes-NOI-Prop 13 2538"/>
      <sheetName val="585 22nd NOI reduction-Prop 13"/>
      <sheetName val="471 Fees and allowances"/>
      <sheetName val="Unit mix revised 2538 08-04-16"/>
      <sheetName val="Unit mix revised 585 01-24-17"/>
      <sheetName val="570 Fees and Allowances"/>
      <sheetName val="Operating Expense &amp; Income 2538"/>
      <sheetName val="Rental pro-forma-97 UNITS-2538"/>
      <sheetName val="OVERALL DRAW 2538"/>
      <sheetName val="Equity Investor Sheet 2538"/>
      <sheetName val="26th - PM Budget"/>
      <sheetName val="2538 ALL EXPENSES"/>
      <sheetName val="2538 CONTRACTS"/>
      <sheetName val="Monthly Draw 585&amp;2538"/>
      <sheetName val="Operating Expense &amp; Income-585"/>
      <sheetName val="Rental pro-forma 585"/>
      <sheetName val="OVERALL DRAW 585"/>
      <sheetName val="Equity Investor Sheet 585"/>
      <sheetName val="21st - PM Budget"/>
      <sheetName val="585 ALL EXPENSES"/>
      <sheetName val="585 CONTRACTS"/>
      <sheetName val="UBS Waterfall"/>
      <sheetName val="Return Summary"/>
      <sheetName val="Trended CF-Simple 2538"/>
      <sheetName val="Trended CF-Simple585"/>
      <sheetName val="2538 BID LOG 5-16-17"/>
      <sheetName val="2538 BID LOG 6-6-17"/>
      <sheetName val="COSTS BOTH"/>
      <sheetName val="CONSOLIDATED"/>
      <sheetName val="DESIGN DRAW 585"/>
      <sheetName val="DESIGN DRAW 2538"/>
      <sheetName val="10y Libor"/>
      <sheetName val="60 units-OLD"/>
      <sheetName val="Updates"/>
      <sheetName val="Negotiations Page"/>
      <sheetName val="Land Flip"/>
      <sheetName val="Parking"/>
      <sheetName val="base case"/>
      <sheetName val="Spent to Date"/>
      <sheetName val="Table of Contents"/>
      <sheetName val="Lanes Analysis"/>
      <sheetName val="Investment Committee Cover"/>
      <sheetName val="Executive Summary"/>
      <sheetName val="Assumptions Tracker"/>
      <sheetName val="Development Images"/>
      <sheetName val="Lanes Summary"/>
      <sheetName val="1 - Location"/>
      <sheetName val="2 - Supply &amp; Demand"/>
      <sheetName val="3 - Basis"/>
      <sheetName val="4 - Rents"/>
      <sheetName val="5 - Rent Growth"/>
      <sheetName val="6 - Development"/>
      <sheetName val="7 - Construction"/>
      <sheetName val="8 - Transaction Timing"/>
      <sheetName val="9 - Partnership Structure"/>
      <sheetName val="10 - Returns"/>
      <sheetName val="NOT IN USE - Detailed Budget"/>
      <sheetName val="Muni Fees"/>
      <sheetName val="New Detailed Budget MT"/>
      <sheetName val="Input"/>
      <sheetName val="Equity Package"/>
      <sheetName val="Coinvest Analysis"/>
      <sheetName val="Pursuit Schedule"/>
      <sheetName val="Comparison IC"/>
      <sheetName val="Sales Analysis"/>
      <sheetName val="REIS 2Q12"/>
      <sheetName val="Untrended Cash Flow"/>
      <sheetName val="Trended Cash Flow"/>
      <sheetName val="Comparison Table"/>
      <sheetName val="REIS YE2011"/>
      <sheetName val="Mgmt Sign Off"/>
      <sheetName val="Capitalization"/>
      <sheetName val="Comparison"/>
      <sheetName val="3Q11 REIS Report"/>
      <sheetName val="Exhibits"/>
      <sheetName val="Develop. Integrated Lifecycle"/>
      <sheetName val="Integrated Checklist"/>
      <sheetName val="Conceptual Design Review"/>
      <sheetName val="Detailed Costs"/>
      <sheetName val="Deposit Dollars"/>
      <sheetName val="Pursuit Costs"/>
      <sheetName val="Tools"/>
      <sheetName val="Generic Cover"/>
      <sheetName val="Notes"/>
      <sheetName val="Protocol &amp; Policy"/>
      <sheetName val="Suggestions"/>
      <sheetName val="Calc Table"/>
      <sheetName val="Project Cost Summary"/>
      <sheetName val="Lease Up"/>
      <sheetName val="Lists"/>
      <sheetName val="Origin"/>
      <sheetName val="Construction Costs"/>
      <sheetName val="Expense Detail"/>
      <sheetName val="Data"/>
      <sheetName val="Operating Expense &amp; Income"/>
      <sheetName val="Property taxes-NOI- Prop 13"/>
      <sheetName val="Rental pro-forma-97 UNITS"/>
      <sheetName val="Schedule-Budgets-2538"/>
      <sheetName val="Monthly Draw 2538"/>
      <sheetName val="Trended CF-Simple"/>
      <sheetName val="Rent Roll table for Equity Book"/>
      <sheetName val="Cost Allocation to commerci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-INPUT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perty taxes-NOI-Prop 13 2538"/>
      <sheetName val="585 22nd NOI reduction-Prop 13"/>
      <sheetName val="471 Fees and allowances"/>
      <sheetName val="Unit mix revised 2538 08-04-16"/>
      <sheetName val="Unit mix revised 585 01-24-17"/>
      <sheetName val="570 Fees and Allowances"/>
      <sheetName val="Operating Expense &amp; Income 2538"/>
      <sheetName val="Rental pro-forma-97 UNITS-2538"/>
      <sheetName val="OVERALL DRAW 2538"/>
      <sheetName val="Equity Investor Sheet 2538"/>
      <sheetName val="26th - PM Budget"/>
      <sheetName val="2538 ALL EXPENSES"/>
      <sheetName val="2538 CONTRACTS"/>
      <sheetName val="Monthly Draw 585&amp;2538"/>
      <sheetName val="Operating Expense &amp; Income-585"/>
      <sheetName val="Rental pro-forma 585"/>
      <sheetName val="OVERALL DRAW 585"/>
      <sheetName val="Equity Investor Sheet 585"/>
      <sheetName val="21st - PM Budget"/>
      <sheetName val="585 ALL EXPENSES"/>
      <sheetName val="585 CONTRACTS"/>
      <sheetName val="UBS Waterfall"/>
      <sheetName val="Return Summary"/>
      <sheetName val="Trended CF-Simple 2538"/>
      <sheetName val="Trended CF-Simple585"/>
      <sheetName val="2538 BID LOG 5-16-17"/>
      <sheetName val="2538 BID LOG 6-6-17"/>
      <sheetName val="COSTS BOTH"/>
      <sheetName val="CONSOLIDATED"/>
      <sheetName val="DESIGN DRAW 585"/>
      <sheetName val="DESIGN DRAW 2538"/>
      <sheetName val="10y Libor"/>
      <sheetName val="60 units-OLD"/>
      <sheetName val="Frontsheet"/>
      <sheetName val="Bid Form"/>
      <sheetName val="1"/>
      <sheetName val="2"/>
      <sheetName val="3"/>
      <sheetName val="4"/>
      <sheetName val="5"/>
      <sheetName val="6"/>
      <sheetName val="8"/>
      <sheetName val="7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  <sheetName val="65"/>
      <sheetName val="66"/>
      <sheetName val="67"/>
      <sheetName val="68"/>
      <sheetName val="69"/>
      <sheetName val="70"/>
      <sheetName val="71"/>
      <sheetName val="72"/>
      <sheetName val="73"/>
      <sheetName val="74"/>
      <sheetName val="75"/>
      <sheetName val="76"/>
      <sheetName val="77"/>
      <sheetName val="78"/>
      <sheetName val="79"/>
      <sheetName val="80"/>
      <sheetName val="81"/>
      <sheetName val="82"/>
      <sheetName val="83"/>
      <sheetName val="84"/>
      <sheetName val="85"/>
      <sheetName val="86"/>
      <sheetName val="87"/>
      <sheetName val="88"/>
      <sheetName val="89"/>
      <sheetName val="90"/>
      <sheetName val="91"/>
      <sheetName val="92"/>
      <sheetName val="93"/>
      <sheetName val="94"/>
      <sheetName val="95"/>
      <sheetName val="96"/>
      <sheetName val="97"/>
      <sheetName val="98"/>
      <sheetName val="99"/>
      <sheetName val="Trade Breakdown"/>
      <sheetName val="Notes"/>
      <sheetName val="Mac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mplate"/>
      <sheetName val="Report"/>
      <sheetName val="Message"/>
      <sheetName val="Operating Expense &amp; Income"/>
      <sheetName val="Property taxes-NOI- Prop 13"/>
      <sheetName val="Rental pro-forma-97 UNITS"/>
      <sheetName val="OVERALL DRAW 2538"/>
      <sheetName val="Schedule-Budgets-2538"/>
      <sheetName val="Equity Investor Sheet 2538"/>
      <sheetName val="Monthly Draw 2538"/>
      <sheetName val="Trended CF-Simple"/>
      <sheetName val="Rent Roll table for Equity Book"/>
      <sheetName val="Cost Allocation to commercial"/>
      <sheetName val="DESIGN DRAW 2538"/>
      <sheetName val="2538 CONTRACTS"/>
      <sheetName val="60 units-OL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pdates"/>
      <sheetName val="Lanes Analysis"/>
      <sheetName val="Pursuit Schedule"/>
      <sheetName val="Investment Committee Cover"/>
      <sheetName val="Executive Summary"/>
      <sheetName val="Development Images"/>
      <sheetName val="Lanes Summary"/>
      <sheetName val="1 - Location"/>
      <sheetName val="2 - Supply &amp; Demand"/>
      <sheetName val="3 - Basis"/>
      <sheetName val="4 - Rents"/>
      <sheetName val="5 - Rent Growth"/>
      <sheetName val="6 - Development"/>
      <sheetName val="7 - Construction"/>
      <sheetName val="8 - Transaction Timing"/>
      <sheetName val="10 - Returns"/>
      <sheetName val="9 - Assumptions Tracker"/>
      <sheetName val="Sales Comps"/>
      <sheetName val="Rent Comps"/>
      <sheetName val="Equity Page"/>
      <sheetName val="Mgmt Sign Off"/>
      <sheetName val="Input"/>
      <sheetName val="Trended Cash Flow"/>
      <sheetName val="Coinvest Analysis"/>
      <sheetName val="Sale Value Analysis"/>
      <sheetName val="Pursuit Cost IRR"/>
      <sheetName val="Sheet1"/>
      <sheetName val="Detailed Budget"/>
      <sheetName val="Development Budget"/>
      <sheetName val="Muni Fees"/>
      <sheetName val="Elan San Fran"/>
      <sheetName val="Yardi"/>
      <sheetName val="REIS"/>
      <sheetName val="Project Budget"/>
      <sheetName val="Sensitivity Analysis"/>
      <sheetName val="IRR Bridge"/>
      <sheetName val="Calc Table"/>
      <sheetName val="Unit Matrix"/>
      <sheetName val="Concord Mix"/>
      <sheetName val="Pursuit_Expenses by cost code"/>
      <sheetName val="Tracker"/>
      <sheetName val="Construction"/>
      <sheetName val="Budget"/>
      <sheetName val="Unit Mix"/>
      <sheetName val="Inclusionary Housing"/>
      <sheetName val="Untrended Cash Flow"/>
      <sheetName val="Project Cost Summary"/>
      <sheetName val="Capitalization"/>
      <sheetName val="Lease Up"/>
      <sheetName val="Lists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  <sheetData sheetId="48" refreshError="1"/>
      <sheetData sheetId="49"/>
      <sheetData sheetId="5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stomize Your Invoice"/>
      <sheetName val="AutoOpen Stub Data"/>
      <sheetName val="Invoice"/>
      <sheetName val="Macros"/>
      <sheetName val="ATW"/>
      <sheetName val="Lock"/>
      <sheetName val="Intl Data Table"/>
      <sheetName val="TemplateInformation"/>
      <sheetName val="GCP Invoice-JMIGR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al Input"/>
      <sheetName val="Annual CF Input"/>
      <sheetName val="Monthly CF Input"/>
      <sheetName val="Pools"/>
      <sheetName val="RE Valuation"/>
      <sheetName val="JV Financials"/>
      <sheetName val="GE Economics"/>
      <sheetName val="Metrics"/>
      <sheetName val="Sensitivities"/>
      <sheetName val="Deal Assumptions"/>
      <sheetName val="Property Assumptions"/>
      <sheetName val="Debt Worksheet"/>
      <sheetName val="Equity Worksheet"/>
      <sheetName val="FAS 141"/>
      <sheetName val="Overhead"/>
      <sheetName val="Data Tape"/>
      <sheetName val="Criteria"/>
      <sheetName val="UW vs Actu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498641627242"/>
      <sheetName val="Template"/>
      <sheetName val="Sheet3"/>
    </sheetNames>
    <sheetDataSet>
      <sheetData sheetId="0" refreshError="1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447EA8-8AB1-48C9-A292-F6E053ABBA9C}">
  <sheetPr>
    <tabColor theme="2" tint="-9.9978637043366805E-2"/>
  </sheetPr>
  <dimension ref="A1:AQ119"/>
  <sheetViews>
    <sheetView showGridLines="0" zoomScale="68" zoomScaleNormal="100" workbookViewId="0">
      <selection activeCell="M64" sqref="M64"/>
    </sheetView>
  </sheetViews>
  <sheetFormatPr defaultColWidth="12.140625" defaultRowHeight="15.95"/>
  <cols>
    <col min="1" max="7" width="12.140625" style="243"/>
    <col min="8" max="8" width="18.140625" style="243" bestFit="1" customWidth="1"/>
    <col min="9" max="11" width="12.140625" style="243"/>
    <col min="12" max="12" width="38.85546875" style="243" bestFit="1" customWidth="1"/>
    <col min="13" max="13" width="8.140625" style="243" bestFit="1" customWidth="1"/>
    <col min="14" max="14" width="6.42578125" style="243" bestFit="1" customWidth="1"/>
    <col min="15" max="15" width="7.28515625" style="243" bestFit="1" customWidth="1"/>
    <col min="16" max="16" width="6.140625" style="243" bestFit="1" customWidth="1"/>
    <col min="17" max="17" width="7.28515625" style="243" bestFit="1" customWidth="1"/>
    <col min="18" max="18" width="6.140625" style="243" bestFit="1" customWidth="1"/>
    <col min="19" max="19" width="8.140625" style="243" customWidth="1"/>
    <col min="20" max="20" width="8.85546875" style="243" customWidth="1"/>
    <col min="21" max="21" width="36.42578125" style="243" bestFit="1" customWidth="1"/>
    <col min="22" max="22" width="11" style="243" bestFit="1" customWidth="1"/>
    <col min="23" max="23" width="12.140625" style="243"/>
    <col min="24" max="24" width="36.42578125" style="243" bestFit="1" customWidth="1"/>
    <col min="25" max="26" width="12.140625" style="243"/>
    <col min="27" max="27" width="36.42578125" style="243" bestFit="1" customWidth="1"/>
    <col min="28" max="36" width="12.140625" style="243"/>
    <col min="37" max="37" width="33.28515625" style="243" bestFit="1" customWidth="1"/>
    <col min="38" max="16384" width="12.140625" style="243"/>
  </cols>
  <sheetData>
    <row r="1" spans="1:29">
      <c r="A1" s="248"/>
    </row>
    <row r="2" spans="1:29">
      <c r="A2" s="248"/>
    </row>
    <row r="3" spans="1:29">
      <c r="A3" s="248"/>
    </row>
    <row r="5" spans="1:29">
      <c r="D5" s="249"/>
      <c r="U5" s="249"/>
    </row>
    <row r="6" spans="1:29">
      <c r="D6" s="249"/>
      <c r="L6" s="250"/>
      <c r="U6" s="249"/>
      <c r="AC6" s="250"/>
    </row>
    <row r="8" spans="1:29">
      <c r="H8" s="244"/>
      <c r="M8" s="271"/>
      <c r="N8" s="271"/>
      <c r="O8" s="271"/>
      <c r="P8" s="271"/>
      <c r="Q8" s="271"/>
      <c r="R8" s="271"/>
      <c r="V8" s="251"/>
      <c r="Y8" s="252"/>
      <c r="AB8" s="252"/>
    </row>
    <row r="9" spans="1:29">
      <c r="H9" s="253"/>
      <c r="M9" s="244"/>
      <c r="N9" s="244"/>
      <c r="O9" s="244"/>
      <c r="P9" s="244"/>
      <c r="Q9" s="244"/>
      <c r="R9" s="244"/>
      <c r="V9" s="252"/>
      <c r="Y9" s="245"/>
      <c r="AB9" s="244"/>
    </row>
    <row r="10" spans="1:29">
      <c r="H10" s="244"/>
      <c r="I10" s="244"/>
      <c r="L10" s="264"/>
      <c r="M10" s="265"/>
      <c r="N10" s="265"/>
      <c r="O10" s="244"/>
      <c r="P10" s="244"/>
      <c r="Q10" s="244"/>
      <c r="R10" s="244"/>
      <c r="V10" s="252"/>
      <c r="Y10" s="244"/>
      <c r="AB10" s="244"/>
    </row>
    <row r="11" spans="1:29">
      <c r="G11" s="254"/>
      <c r="H11" s="255"/>
      <c r="I11" s="256"/>
      <c r="L11" s="266"/>
      <c r="M11" s="267"/>
      <c r="N11" s="267"/>
      <c r="O11" s="268"/>
      <c r="P11" s="268"/>
      <c r="Q11" s="268"/>
      <c r="R11" s="268"/>
      <c r="S11" s="267"/>
      <c r="V11" s="252"/>
      <c r="Y11" s="244"/>
      <c r="AB11" s="244"/>
    </row>
    <row r="12" spans="1:29">
      <c r="G12" s="257"/>
      <c r="H12" s="255"/>
      <c r="I12" s="256"/>
      <c r="L12" s="264"/>
      <c r="O12" s="269"/>
      <c r="P12" s="269"/>
      <c r="Q12" s="269"/>
      <c r="R12" s="269"/>
      <c r="V12" s="252"/>
      <c r="Y12" s="244"/>
      <c r="AB12" s="244"/>
    </row>
    <row r="13" spans="1:29">
      <c r="G13" s="254"/>
      <c r="H13" s="255"/>
      <c r="I13" s="256"/>
      <c r="L13" s="266"/>
      <c r="M13" s="267"/>
      <c r="N13" s="267"/>
      <c r="O13" s="268"/>
      <c r="P13" s="268"/>
      <c r="Q13" s="268"/>
      <c r="R13" s="268"/>
      <c r="S13" s="267"/>
      <c r="V13" s="244"/>
    </row>
    <row r="14" spans="1:29">
      <c r="G14" s="254"/>
      <c r="H14" s="255"/>
      <c r="I14" s="256"/>
      <c r="L14" s="266"/>
      <c r="M14" s="267"/>
      <c r="N14" s="267"/>
      <c r="O14" s="268"/>
      <c r="P14" s="268"/>
      <c r="Q14" s="268"/>
      <c r="R14" s="268"/>
      <c r="S14" s="267"/>
      <c r="V14" s="258"/>
    </row>
    <row r="15" spans="1:29">
      <c r="G15" s="254"/>
      <c r="H15" s="255"/>
      <c r="I15" s="256"/>
      <c r="L15" s="264"/>
      <c r="O15" s="269"/>
      <c r="P15" s="269"/>
      <c r="Q15" s="269"/>
      <c r="R15" s="269"/>
      <c r="S15" s="267"/>
    </row>
    <row r="16" spans="1:29">
      <c r="G16" s="254"/>
      <c r="H16" s="255"/>
      <c r="I16" s="256"/>
      <c r="L16" s="266"/>
      <c r="M16" s="267"/>
      <c r="N16" s="267"/>
      <c r="O16" s="268"/>
      <c r="P16" s="268"/>
      <c r="Q16" s="268"/>
      <c r="R16" s="268"/>
      <c r="S16" s="267"/>
    </row>
    <row r="17" spans="4:42">
      <c r="G17" s="254"/>
      <c r="H17" s="255"/>
      <c r="I17" s="256"/>
      <c r="L17" s="264"/>
      <c r="O17" s="269"/>
      <c r="P17" s="269"/>
      <c r="Q17" s="269"/>
      <c r="R17" s="269"/>
      <c r="S17" s="267"/>
    </row>
    <row r="18" spans="4:42">
      <c r="G18" s="254"/>
      <c r="H18" s="255"/>
      <c r="I18" s="256"/>
      <c r="L18" s="266"/>
      <c r="M18" s="267"/>
      <c r="N18" s="267"/>
      <c r="O18" s="268"/>
      <c r="P18" s="268"/>
      <c r="Q18" s="268"/>
      <c r="R18" s="268"/>
      <c r="S18" s="267"/>
    </row>
    <row r="19" spans="4:42">
      <c r="G19" s="254"/>
      <c r="H19" s="255"/>
      <c r="I19" s="256"/>
      <c r="L19" s="266"/>
      <c r="M19" s="267"/>
      <c r="N19" s="267"/>
      <c r="O19" s="268"/>
      <c r="P19" s="268"/>
      <c r="Q19" s="268"/>
      <c r="R19" s="268"/>
      <c r="S19" s="267"/>
    </row>
    <row r="20" spans="4:42">
      <c r="G20" s="254"/>
      <c r="H20" s="255"/>
      <c r="I20" s="256"/>
      <c r="L20" s="264"/>
      <c r="O20" s="269"/>
      <c r="P20" s="269"/>
      <c r="Q20" s="269"/>
      <c r="R20" s="269"/>
      <c r="S20" s="267"/>
    </row>
    <row r="21" spans="4:42">
      <c r="G21" s="254"/>
      <c r="H21" s="255"/>
      <c r="I21" s="256"/>
      <c r="L21" s="266"/>
      <c r="M21" s="267"/>
      <c r="N21" s="267"/>
      <c r="O21" s="268"/>
      <c r="P21" s="268"/>
      <c r="Q21" s="268"/>
      <c r="R21" s="268"/>
      <c r="S21" s="267"/>
    </row>
    <row r="22" spans="4:42">
      <c r="G22" s="254"/>
      <c r="H22" s="255"/>
      <c r="I22" s="256"/>
      <c r="L22" s="266"/>
      <c r="M22" s="267"/>
      <c r="N22" s="267"/>
      <c r="O22" s="268"/>
      <c r="P22" s="268"/>
      <c r="Q22" s="268"/>
      <c r="R22" s="268"/>
      <c r="S22" s="267"/>
    </row>
    <row r="23" spans="4:42">
      <c r="G23" s="254"/>
      <c r="H23" s="254"/>
      <c r="I23" s="259"/>
    </row>
    <row r="24" spans="4:42"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  <c r="R24" s="249"/>
      <c r="S24" s="249"/>
      <c r="T24" s="249"/>
      <c r="U24" s="249"/>
      <c r="V24" s="249"/>
      <c r="W24" s="249"/>
      <c r="X24" s="249"/>
      <c r="Y24" s="249"/>
      <c r="Z24" s="249"/>
      <c r="AA24" s="249"/>
      <c r="AB24" s="249"/>
    </row>
    <row r="25" spans="4:42">
      <c r="D25" s="249"/>
      <c r="E25" s="249"/>
      <c r="F25" s="249"/>
      <c r="G25" s="249"/>
      <c r="H25" s="249"/>
      <c r="I25" s="249"/>
      <c r="J25" s="249"/>
      <c r="K25" s="249"/>
      <c r="L25" s="249"/>
      <c r="M25" s="249"/>
      <c r="N25" s="249"/>
      <c r="O25" s="249"/>
      <c r="P25" s="249"/>
      <c r="Q25" s="249"/>
      <c r="R25" s="249"/>
      <c r="S25" s="249"/>
      <c r="T25" s="249"/>
      <c r="U25" s="249"/>
      <c r="V25" s="249"/>
      <c r="W25" s="249"/>
      <c r="X25" s="249"/>
      <c r="Y25" s="249"/>
      <c r="Z25" s="249"/>
      <c r="AA25" s="249"/>
      <c r="AB25" s="249"/>
    </row>
    <row r="26" spans="4:42">
      <c r="F26" s="244"/>
    </row>
    <row r="27" spans="4:42">
      <c r="F27" s="251"/>
    </row>
    <row r="29" spans="4:42">
      <c r="T29" s="244"/>
      <c r="U29" s="244"/>
      <c r="W29" s="244"/>
      <c r="X29" s="244"/>
      <c r="Y29" s="244"/>
      <c r="Z29" s="244"/>
      <c r="AA29" s="244"/>
      <c r="AB29" s="244"/>
    </row>
    <row r="30" spans="4:42" ht="15.95" customHeight="1">
      <c r="S30" s="246"/>
      <c r="T30" s="245"/>
      <c r="U30" s="245"/>
      <c r="V30" s="247"/>
      <c r="W30" s="247"/>
      <c r="X30" s="247"/>
      <c r="Y30" s="247"/>
      <c r="Z30" s="247"/>
      <c r="AA30" s="247"/>
      <c r="AB30" s="247"/>
      <c r="AK30" s="260"/>
      <c r="AL30" s="260"/>
    </row>
    <row r="31" spans="4:42">
      <c r="S31" s="246"/>
      <c r="T31" s="245"/>
      <c r="U31" s="245"/>
      <c r="V31" s="247"/>
      <c r="W31" s="247"/>
      <c r="X31" s="247"/>
      <c r="Y31" s="247"/>
      <c r="Z31" s="247"/>
      <c r="AA31" s="247"/>
      <c r="AB31" s="247"/>
      <c r="AK31" s="260"/>
      <c r="AL31" s="260"/>
    </row>
    <row r="32" spans="4:42">
      <c r="S32" s="246"/>
      <c r="T32" s="245"/>
      <c r="U32" s="245"/>
      <c r="V32" s="247"/>
      <c r="W32" s="247"/>
      <c r="X32" s="247"/>
      <c r="Y32" s="247"/>
      <c r="Z32" s="247"/>
      <c r="AA32" s="247"/>
      <c r="AB32" s="247"/>
      <c r="AK32" s="260"/>
      <c r="AL32" s="261"/>
      <c r="AN32" s="261"/>
      <c r="AP32" s="261"/>
    </row>
    <row r="33" spans="19:43" ht="15.95" customHeight="1">
      <c r="S33" s="246"/>
      <c r="T33" s="245"/>
      <c r="U33" s="245"/>
      <c r="V33" s="247"/>
      <c r="W33" s="247"/>
      <c r="X33" s="247"/>
      <c r="Y33" s="247"/>
      <c r="Z33" s="247"/>
      <c r="AA33" s="247"/>
      <c r="AB33" s="247"/>
      <c r="AK33" s="260"/>
    </row>
    <row r="34" spans="19:43">
      <c r="S34" s="246"/>
      <c r="T34" s="245"/>
      <c r="U34" s="245"/>
      <c r="V34" s="247"/>
      <c r="W34" s="247"/>
      <c r="X34" s="247"/>
      <c r="Y34" s="247"/>
      <c r="Z34" s="247"/>
      <c r="AA34" s="247"/>
      <c r="AB34" s="247"/>
      <c r="AK34" s="262"/>
      <c r="AL34" s="260"/>
      <c r="AM34" s="260"/>
      <c r="AN34" s="260"/>
      <c r="AO34" s="260"/>
      <c r="AP34" s="260"/>
      <c r="AQ34" s="260"/>
    </row>
    <row r="35" spans="19:43">
      <c r="S35" s="246"/>
      <c r="T35" s="245"/>
      <c r="U35" s="245"/>
      <c r="V35" s="247"/>
      <c r="W35" s="247"/>
      <c r="X35" s="247"/>
      <c r="Y35" s="247"/>
      <c r="Z35" s="247"/>
      <c r="AA35" s="247"/>
      <c r="AB35" s="247"/>
      <c r="AK35" s="260"/>
      <c r="AL35" s="263"/>
      <c r="AM35" s="263"/>
      <c r="AN35" s="263"/>
      <c r="AO35" s="263"/>
      <c r="AP35" s="263"/>
      <c r="AQ35" s="263"/>
    </row>
    <row r="36" spans="19:43">
      <c r="S36" s="246"/>
      <c r="T36" s="245"/>
      <c r="U36" s="245"/>
      <c r="V36" s="247"/>
      <c r="W36" s="247"/>
      <c r="X36" s="247"/>
      <c r="Y36" s="247"/>
      <c r="Z36" s="247"/>
      <c r="AA36" s="247"/>
      <c r="AB36" s="247"/>
      <c r="AK36" s="262"/>
      <c r="AL36" s="260"/>
      <c r="AM36" s="260"/>
      <c r="AN36" s="260"/>
      <c r="AO36" s="260"/>
      <c r="AP36" s="260"/>
      <c r="AQ36" s="260"/>
    </row>
    <row r="37" spans="19:43">
      <c r="S37" s="246"/>
      <c r="T37" s="245"/>
      <c r="U37" s="245"/>
      <c r="V37" s="247"/>
      <c r="W37" s="247"/>
      <c r="X37" s="247"/>
      <c r="Y37" s="247"/>
      <c r="Z37" s="247"/>
      <c r="AA37" s="247"/>
      <c r="AB37" s="247"/>
      <c r="AK37" s="260"/>
      <c r="AL37" s="263"/>
      <c r="AM37" s="263"/>
      <c r="AN37" s="263"/>
      <c r="AO37" s="263"/>
      <c r="AP37" s="263"/>
      <c r="AQ37" s="263"/>
    </row>
    <row r="38" spans="19:43" ht="15.95" customHeight="1">
      <c r="S38" s="246"/>
      <c r="T38" s="245"/>
      <c r="U38" s="245"/>
      <c r="V38" s="247"/>
      <c r="W38" s="247"/>
      <c r="X38" s="247"/>
      <c r="Y38" s="247"/>
      <c r="Z38" s="247"/>
      <c r="AA38" s="247"/>
      <c r="AB38" s="247"/>
      <c r="AK38" s="260"/>
      <c r="AL38" s="263"/>
      <c r="AM38" s="263"/>
      <c r="AN38" s="263"/>
      <c r="AO38" s="263"/>
      <c r="AP38" s="263"/>
      <c r="AQ38" s="263"/>
    </row>
    <row r="39" spans="19:43">
      <c r="S39" s="246"/>
      <c r="T39" s="245"/>
      <c r="U39" s="245"/>
      <c r="V39" s="247"/>
      <c r="W39" s="247"/>
      <c r="X39" s="247"/>
      <c r="Y39" s="247"/>
      <c r="Z39" s="247"/>
      <c r="AA39" s="247"/>
      <c r="AB39" s="247"/>
      <c r="AK39" s="262"/>
      <c r="AL39" s="260"/>
      <c r="AM39" s="260"/>
      <c r="AN39" s="260"/>
      <c r="AO39" s="260"/>
      <c r="AP39" s="260"/>
      <c r="AQ39" s="260"/>
    </row>
    <row r="40" spans="19:43">
      <c r="S40" s="246"/>
      <c r="T40" s="245"/>
      <c r="U40" s="245"/>
      <c r="V40" s="247"/>
      <c r="W40" s="247"/>
      <c r="X40" s="247"/>
      <c r="Y40" s="247"/>
      <c r="Z40" s="247"/>
      <c r="AA40" s="247"/>
      <c r="AB40" s="247"/>
      <c r="AK40" s="260"/>
      <c r="AL40" s="263"/>
      <c r="AM40" s="263"/>
      <c r="AN40" s="263"/>
      <c r="AO40" s="263"/>
      <c r="AP40" s="263"/>
      <c r="AQ40" s="263"/>
    </row>
    <row r="41" spans="19:43">
      <c r="S41" s="246"/>
      <c r="T41" s="245"/>
      <c r="U41" s="245"/>
      <c r="V41" s="247"/>
      <c r="W41" s="247"/>
      <c r="X41" s="247"/>
      <c r="Y41" s="247"/>
      <c r="Z41" s="247"/>
      <c r="AA41" s="247"/>
      <c r="AB41" s="247"/>
      <c r="AK41" s="262"/>
      <c r="AL41" s="260"/>
      <c r="AM41" s="260"/>
      <c r="AN41" s="260"/>
      <c r="AO41" s="260"/>
      <c r="AP41" s="260"/>
      <c r="AQ41" s="260"/>
    </row>
    <row r="42" spans="19:43">
      <c r="S42" s="246"/>
      <c r="T42" s="245"/>
      <c r="U42" s="245"/>
      <c r="V42" s="247"/>
      <c r="W42" s="247"/>
      <c r="X42" s="247"/>
      <c r="Y42" s="247"/>
      <c r="Z42" s="247"/>
      <c r="AA42" s="247"/>
      <c r="AB42" s="247"/>
      <c r="AK42" s="260"/>
      <c r="AL42" s="263"/>
      <c r="AM42" s="263"/>
      <c r="AN42" s="263"/>
      <c r="AO42" s="263"/>
      <c r="AP42" s="263"/>
      <c r="AQ42" s="263"/>
    </row>
    <row r="43" spans="19:43">
      <c r="S43" s="246"/>
      <c r="T43" s="245"/>
      <c r="U43" s="245"/>
      <c r="V43" s="247"/>
      <c r="W43" s="247"/>
      <c r="X43" s="247"/>
      <c r="Y43" s="247"/>
      <c r="Z43" s="247"/>
      <c r="AA43" s="247"/>
      <c r="AB43" s="247"/>
      <c r="AK43" s="260"/>
      <c r="AL43" s="263"/>
      <c r="AM43" s="263"/>
      <c r="AN43" s="263"/>
      <c r="AO43" s="263"/>
      <c r="AP43" s="263"/>
      <c r="AQ43" s="263"/>
    </row>
    <row r="44" spans="19:43">
      <c r="AK44" s="262"/>
      <c r="AL44" s="260"/>
      <c r="AM44" s="260"/>
      <c r="AN44" s="260"/>
      <c r="AO44" s="260"/>
      <c r="AP44" s="260"/>
      <c r="AQ44" s="260"/>
    </row>
    <row r="45" spans="19:43">
      <c r="AK45" s="260"/>
      <c r="AL45" s="263"/>
      <c r="AM45" s="263"/>
      <c r="AN45" s="263"/>
      <c r="AO45" s="263"/>
      <c r="AP45" s="263"/>
      <c r="AQ45" s="263"/>
    </row>
    <row r="46" spans="19:43">
      <c r="AK46" s="260"/>
      <c r="AL46" s="263"/>
      <c r="AM46" s="263"/>
      <c r="AN46" s="263"/>
      <c r="AO46" s="263"/>
      <c r="AP46" s="263"/>
      <c r="AQ46" s="263"/>
    </row>
    <row r="52" spans="1:1">
      <c r="A52" s="270" t="s">
        <v>0</v>
      </c>
    </row>
    <row r="71" spans="1:31">
      <c r="D71" s="249"/>
      <c r="E71" s="249"/>
      <c r="F71" s="249"/>
      <c r="G71" s="249"/>
      <c r="H71" s="249"/>
      <c r="I71" s="249"/>
      <c r="J71" s="249"/>
      <c r="K71" s="249"/>
      <c r="L71" s="249"/>
      <c r="M71" s="249"/>
      <c r="N71" s="249"/>
      <c r="O71" s="249"/>
      <c r="P71" s="249"/>
      <c r="Q71" s="249"/>
      <c r="R71" s="249"/>
      <c r="S71" s="249"/>
      <c r="T71" s="249"/>
      <c r="U71" s="249"/>
      <c r="V71" s="249"/>
      <c r="W71" s="249"/>
      <c r="X71" s="249"/>
      <c r="Y71" s="249"/>
      <c r="Z71" s="249"/>
      <c r="AA71" s="249"/>
      <c r="AB71" s="249"/>
      <c r="AC71" s="249"/>
      <c r="AD71" s="249"/>
      <c r="AE71" s="249"/>
    </row>
    <row r="72" spans="1:31">
      <c r="D72" s="249"/>
      <c r="E72" s="249"/>
      <c r="F72" s="249"/>
      <c r="G72" s="249"/>
      <c r="H72" s="249"/>
      <c r="I72" s="249"/>
      <c r="J72" s="249"/>
      <c r="K72" s="249"/>
      <c r="L72" s="249"/>
      <c r="M72" s="249"/>
      <c r="N72" s="249"/>
      <c r="O72" s="249"/>
      <c r="P72" s="249"/>
      <c r="Q72" s="249"/>
      <c r="R72" s="249"/>
      <c r="S72" s="249"/>
      <c r="T72" s="249"/>
      <c r="U72" s="249"/>
      <c r="V72" s="249"/>
      <c r="W72" s="249"/>
      <c r="X72" s="249"/>
      <c r="Y72" s="249"/>
      <c r="Z72" s="249"/>
      <c r="AA72" s="249"/>
      <c r="AB72" s="249"/>
      <c r="AC72" s="249"/>
      <c r="AD72" s="249"/>
      <c r="AE72" s="249"/>
    </row>
    <row r="80" spans="1:31">
      <c r="A80" s="243" t="s">
        <v>1</v>
      </c>
    </row>
    <row r="118" spans="4:31">
      <c r="D118" s="249"/>
      <c r="E118" s="249"/>
      <c r="F118" s="249"/>
      <c r="G118" s="249"/>
      <c r="H118" s="249"/>
      <c r="I118" s="249"/>
      <c r="J118" s="249"/>
      <c r="K118" s="249"/>
      <c r="L118" s="249"/>
      <c r="M118" s="249"/>
      <c r="N118" s="249"/>
      <c r="O118" s="249"/>
      <c r="P118" s="249"/>
      <c r="Q118" s="249"/>
      <c r="R118" s="249"/>
      <c r="S118" s="249"/>
      <c r="T118" s="249"/>
      <c r="U118" s="249"/>
      <c r="V118" s="249"/>
      <c r="W118" s="249"/>
      <c r="X118" s="249"/>
      <c r="Y118" s="249"/>
      <c r="Z118" s="249"/>
      <c r="AA118" s="249"/>
      <c r="AB118" s="249"/>
      <c r="AC118" s="249"/>
      <c r="AD118" s="249"/>
      <c r="AE118" s="249"/>
    </row>
    <row r="119" spans="4:31">
      <c r="D119" s="249"/>
      <c r="E119" s="249"/>
      <c r="F119" s="249"/>
      <c r="G119" s="249"/>
      <c r="H119" s="249"/>
      <c r="I119" s="249"/>
      <c r="J119" s="249"/>
      <c r="K119" s="249"/>
      <c r="L119" s="249"/>
      <c r="M119" s="249"/>
      <c r="N119" s="249"/>
      <c r="O119" s="249"/>
      <c r="P119" s="249"/>
      <c r="Q119" s="249"/>
      <c r="R119" s="249"/>
      <c r="S119" s="249"/>
      <c r="T119" s="249"/>
      <c r="U119" s="249"/>
      <c r="V119" s="249"/>
      <c r="W119" s="249"/>
      <c r="X119" s="249"/>
      <c r="Y119" s="249"/>
      <c r="Z119" s="249"/>
      <c r="AA119" s="249"/>
      <c r="AB119" s="249"/>
      <c r="AC119" s="249"/>
      <c r="AD119" s="249"/>
      <c r="AE119" s="249"/>
    </row>
  </sheetData>
  <mergeCells count="3">
    <mergeCell ref="M8:N8"/>
    <mergeCell ref="O8:P8"/>
    <mergeCell ref="Q8:R8"/>
  </mergeCells>
  <pageMargins left="0.7" right="0.7" top="0.75" bottom="0.75" header="0.3" footer="0.3"/>
  <pageSetup paperSize="3" orientation="landscape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18FE95-4ED2-40C2-A093-ADB7D34F28F5}">
  <sheetPr>
    <tabColor theme="2"/>
    <pageSetUpPr fitToPage="1"/>
  </sheetPr>
  <dimension ref="A1:K82"/>
  <sheetViews>
    <sheetView showGridLines="0" view="pageBreakPreview" zoomScale="66" zoomScaleNormal="100" zoomScaleSheetLayoutView="80" workbookViewId="0">
      <selection activeCell="F25" sqref="F25"/>
    </sheetView>
  </sheetViews>
  <sheetFormatPr defaultColWidth="12.140625" defaultRowHeight="12.95"/>
  <cols>
    <col min="1" max="1" width="27.85546875" style="41" customWidth="1"/>
    <col min="2" max="2" width="12.140625" style="41"/>
    <col min="3" max="3" width="19.42578125" style="41" customWidth="1"/>
    <col min="4" max="4" width="21.85546875" style="41" customWidth="1"/>
    <col min="5" max="5" width="25.140625" style="41" customWidth="1"/>
    <col min="6" max="6" width="33.140625" style="41" customWidth="1"/>
    <col min="7" max="7" width="26.42578125" style="41" customWidth="1"/>
    <col min="8" max="9" width="12.140625" style="41"/>
    <col min="10" max="10" width="20.42578125" style="41" bestFit="1" customWidth="1"/>
    <col min="11" max="11" width="26.7109375" style="41" customWidth="1"/>
    <col min="12" max="16384" width="12.140625" style="41"/>
  </cols>
  <sheetData>
    <row r="1" spans="1:11" ht="42" customHeight="1">
      <c r="C1" s="41" t="s">
        <v>2</v>
      </c>
    </row>
    <row r="2" spans="1:11" ht="42" customHeight="1">
      <c r="C2" s="272"/>
      <c r="D2" s="272"/>
    </row>
    <row r="3" spans="1:11" ht="42" customHeight="1" thickBot="1">
      <c r="B3" s="42"/>
      <c r="C3" s="43"/>
      <c r="D3" s="43"/>
      <c r="E3" s="43"/>
      <c r="F3" s="43"/>
    </row>
    <row r="4" spans="1:11" ht="42" customHeight="1" thickBot="1">
      <c r="A4" s="278" t="s">
        <v>3</v>
      </c>
      <c r="B4" s="352"/>
      <c r="C4" s="352"/>
      <c r="D4" s="352"/>
      <c r="E4" s="352"/>
      <c r="F4" s="352"/>
      <c r="G4" s="352"/>
      <c r="H4" s="279"/>
      <c r="I4" s="43"/>
      <c r="J4" s="353" t="s">
        <v>4</v>
      </c>
      <c r="K4" s="354"/>
    </row>
    <row r="5" spans="1:11" ht="42" customHeight="1" thickBot="1">
      <c r="A5" s="45" t="s">
        <v>5</v>
      </c>
      <c r="B5" s="46"/>
      <c r="C5" s="47"/>
      <c r="D5" s="48"/>
      <c r="E5" s="355" t="s">
        <v>6</v>
      </c>
      <c r="F5" s="356" t="s">
        <v>7</v>
      </c>
      <c r="G5" s="357" t="s">
        <v>8</v>
      </c>
      <c r="H5" s="358"/>
      <c r="J5" s="359" t="s">
        <v>9</v>
      </c>
      <c r="K5" s="360" t="s">
        <v>10</v>
      </c>
    </row>
    <row r="6" spans="1:11" ht="42" customHeight="1">
      <c r="A6" s="49" t="s">
        <v>11</v>
      </c>
      <c r="B6" s="361"/>
      <c r="C6" s="362" t="s">
        <v>12</v>
      </c>
      <c r="D6" s="363" t="s">
        <v>13</v>
      </c>
      <c r="E6" s="50" t="s">
        <v>14</v>
      </c>
      <c r="F6" s="102">
        <v>35</v>
      </c>
      <c r="G6" s="230" t="s">
        <v>15</v>
      </c>
      <c r="H6" s="231"/>
      <c r="J6" s="125" t="s">
        <v>16</v>
      </c>
      <c r="K6" s="126">
        <v>325</v>
      </c>
    </row>
    <row r="7" spans="1:11" ht="42" customHeight="1">
      <c r="A7" s="53" t="s">
        <v>17</v>
      </c>
      <c r="B7" s="54"/>
      <c r="C7" s="364">
        <v>525</v>
      </c>
      <c r="D7" s="365" t="s">
        <v>18</v>
      </c>
      <c r="E7" s="55" t="s">
        <v>19</v>
      </c>
      <c r="F7" s="102">
        <v>30</v>
      </c>
      <c r="G7" s="56" t="s">
        <v>20</v>
      </c>
      <c r="H7" s="57">
        <v>0.05</v>
      </c>
      <c r="J7" s="366" t="s">
        <v>21</v>
      </c>
      <c r="K7" s="367">
        <v>315</v>
      </c>
    </row>
    <row r="8" spans="1:11" ht="42" customHeight="1">
      <c r="A8" s="53" t="s">
        <v>22</v>
      </c>
      <c r="B8" s="54"/>
      <c r="C8" s="368">
        <v>2.2400000000000002</v>
      </c>
      <c r="D8" s="369" t="s">
        <v>18</v>
      </c>
      <c r="E8" s="50" t="s">
        <v>23</v>
      </c>
      <c r="F8" s="102">
        <v>40</v>
      </c>
      <c r="G8" s="56" t="s">
        <v>24</v>
      </c>
      <c r="H8" s="57">
        <v>0.05</v>
      </c>
      <c r="J8" s="370" t="s">
        <v>25</v>
      </c>
      <c r="K8" s="371">
        <v>400</v>
      </c>
    </row>
    <row r="9" spans="1:11" ht="35.1" customHeight="1" thickBot="1">
      <c r="A9" s="58" t="s">
        <v>26</v>
      </c>
      <c r="B9" s="59"/>
      <c r="C9" s="372"/>
      <c r="D9" s="373"/>
      <c r="E9" s="374" t="s">
        <v>27</v>
      </c>
      <c r="F9" s="375">
        <v>23</v>
      </c>
      <c r="G9" s="56" t="s">
        <v>6</v>
      </c>
      <c r="H9" s="57">
        <v>0.06</v>
      </c>
      <c r="I9" s="2"/>
      <c r="J9" s="376" t="s">
        <v>28</v>
      </c>
      <c r="K9" s="377" t="s">
        <v>29</v>
      </c>
    </row>
    <row r="10" spans="1:11" ht="24.95" customHeight="1" thickBot="1">
      <c r="A10" s="53" t="s">
        <v>17</v>
      </c>
      <c r="B10" s="54"/>
      <c r="C10" s="364">
        <v>700</v>
      </c>
      <c r="D10" s="378">
        <v>700</v>
      </c>
      <c r="E10" s="379" t="s">
        <v>30</v>
      </c>
      <c r="F10" s="103" t="s">
        <v>7</v>
      </c>
      <c r="G10" s="56" t="s">
        <v>30</v>
      </c>
      <c r="H10" s="57">
        <v>6.0499999999999998E-2</v>
      </c>
      <c r="I10" s="2"/>
      <c r="J10" s="366" t="s">
        <v>31</v>
      </c>
      <c r="K10" s="380">
        <v>0.05</v>
      </c>
    </row>
    <row r="11" spans="1:11" ht="24.95" customHeight="1">
      <c r="A11" s="53" t="s">
        <v>22</v>
      </c>
      <c r="B11" s="54"/>
      <c r="C11" s="368">
        <v>2.44</v>
      </c>
      <c r="D11" s="369">
        <v>460</v>
      </c>
      <c r="E11" s="381" t="s">
        <v>19</v>
      </c>
      <c r="F11" s="382">
        <v>32</v>
      </c>
      <c r="G11" s="56" t="s">
        <v>32</v>
      </c>
      <c r="H11" s="57">
        <v>0.05</v>
      </c>
      <c r="J11" s="366"/>
      <c r="K11" s="383"/>
    </row>
    <row r="12" spans="1:11" ht="24.95" customHeight="1" thickBot="1">
      <c r="A12" s="60" t="s">
        <v>33</v>
      </c>
      <c r="B12" s="59"/>
      <c r="C12" s="372"/>
      <c r="D12" s="384"/>
      <c r="E12" s="385" t="s">
        <v>34</v>
      </c>
      <c r="F12" s="386">
        <v>28</v>
      </c>
      <c r="G12" s="387" t="s">
        <v>35</v>
      </c>
      <c r="H12" s="388">
        <v>0.02</v>
      </c>
      <c r="J12" s="389" t="s">
        <v>36</v>
      </c>
      <c r="K12" s="390">
        <v>0.02</v>
      </c>
    </row>
    <row r="13" spans="1:11" ht="24.95" customHeight="1" thickBot="1">
      <c r="A13" s="53" t="s">
        <v>17</v>
      </c>
      <c r="B13" s="61"/>
      <c r="C13" s="364">
        <v>1150</v>
      </c>
      <c r="D13" s="391">
        <v>1150</v>
      </c>
      <c r="E13" s="62" t="s">
        <v>37</v>
      </c>
      <c r="F13" s="62"/>
      <c r="H13" s="63"/>
      <c r="J13" s="389" t="s">
        <v>38</v>
      </c>
      <c r="K13" s="392" t="s">
        <v>39</v>
      </c>
    </row>
    <row r="14" spans="1:11" ht="24.95" customHeight="1" thickBot="1">
      <c r="A14" s="53" t="s">
        <v>22</v>
      </c>
      <c r="B14" s="61"/>
      <c r="C14" s="368">
        <v>2.1</v>
      </c>
      <c r="D14" s="369">
        <v>480</v>
      </c>
      <c r="E14" s="393" t="s">
        <v>40</v>
      </c>
      <c r="F14" s="394">
        <v>7.0000000000000007E-2</v>
      </c>
      <c r="G14" s="280" t="s">
        <v>41</v>
      </c>
      <c r="H14" s="281"/>
      <c r="J14" s="389" t="s">
        <v>42</v>
      </c>
      <c r="K14" s="395">
        <v>0.04</v>
      </c>
    </row>
    <row r="15" spans="1:11" ht="24.95" customHeight="1">
      <c r="A15" s="60" t="s">
        <v>43</v>
      </c>
      <c r="B15" s="59"/>
      <c r="C15" s="372"/>
      <c r="D15" s="384"/>
      <c r="E15" s="41" t="s">
        <v>44</v>
      </c>
      <c r="F15" s="394">
        <v>3.5000000000000003E-2</v>
      </c>
      <c r="G15" s="51" t="s">
        <v>45</v>
      </c>
      <c r="H15" s="52"/>
      <c r="J15" s="389" t="s">
        <v>46</v>
      </c>
      <c r="K15" s="396">
        <v>0.03</v>
      </c>
    </row>
    <row r="16" spans="1:11" ht="24.95" customHeight="1">
      <c r="A16" s="53" t="s">
        <v>17</v>
      </c>
      <c r="B16" s="61"/>
      <c r="C16" s="364">
        <v>1350</v>
      </c>
      <c r="D16" s="391">
        <v>1350</v>
      </c>
      <c r="E16" s="397" t="s">
        <v>47</v>
      </c>
      <c r="F16" s="394">
        <v>0.3</v>
      </c>
      <c r="G16" s="56" t="s">
        <v>48</v>
      </c>
      <c r="H16" s="64">
        <v>0.6</v>
      </c>
      <c r="J16" s="389" t="s">
        <v>49</v>
      </c>
      <c r="K16" s="395">
        <v>0.02</v>
      </c>
    </row>
    <row r="17" spans="1:11" ht="24.95" customHeight="1" thickBot="1">
      <c r="A17" s="398" t="s">
        <v>22</v>
      </c>
      <c r="B17" s="399"/>
      <c r="C17" s="400">
        <v>2.0499999999999998</v>
      </c>
      <c r="D17" s="401">
        <v>620</v>
      </c>
      <c r="E17" s="43"/>
      <c r="F17" s="43"/>
      <c r="G17" s="56" t="s">
        <v>50</v>
      </c>
      <c r="H17" s="64">
        <v>0.6</v>
      </c>
      <c r="J17" s="389" t="s">
        <v>51</v>
      </c>
      <c r="K17" s="402" t="s">
        <v>39</v>
      </c>
    </row>
    <row r="18" spans="1:11" ht="24.95" customHeight="1" thickBot="1">
      <c r="A18" s="65"/>
      <c r="B18" s="66"/>
      <c r="C18" s="66"/>
      <c r="D18" s="67"/>
      <c r="G18" s="56" t="s">
        <v>6</v>
      </c>
      <c r="H18" s="64">
        <v>0.6</v>
      </c>
      <c r="J18" s="389" t="s">
        <v>52</v>
      </c>
      <c r="K18" s="403">
        <v>6000</v>
      </c>
    </row>
    <row r="19" spans="1:11" ht="24.95" customHeight="1" thickBot="1">
      <c r="A19" s="275" t="s">
        <v>53</v>
      </c>
      <c r="B19" s="276"/>
      <c r="C19" s="277"/>
      <c r="D19" s="67"/>
      <c r="G19" s="404" t="s">
        <v>30</v>
      </c>
      <c r="H19" s="405">
        <v>0.55000000000000004</v>
      </c>
      <c r="J19" s="389" t="s">
        <v>54</v>
      </c>
      <c r="K19" s="392" t="s">
        <v>39</v>
      </c>
    </row>
    <row r="20" spans="1:11" ht="24.95" customHeight="1">
      <c r="A20" s="68" t="s">
        <v>55</v>
      </c>
      <c r="B20" s="406"/>
      <c r="C20" s="103"/>
      <c r="D20" s="67"/>
      <c r="G20" s="44"/>
      <c r="H20" s="69"/>
      <c r="J20" s="389" t="s">
        <v>56</v>
      </c>
      <c r="K20" s="407">
        <v>6</v>
      </c>
    </row>
    <row r="21" spans="1:11" ht="24.95" customHeight="1">
      <c r="A21" s="70" t="s">
        <v>57</v>
      </c>
      <c r="B21" s="66"/>
      <c r="C21" s="104" t="s">
        <v>58</v>
      </c>
      <c r="D21" s="67"/>
      <c r="E21" s="138"/>
      <c r="F21" s="138"/>
      <c r="G21" s="138"/>
      <c r="H21" s="138"/>
      <c r="J21" s="389" t="s">
        <v>59</v>
      </c>
      <c r="K21" s="408">
        <v>75</v>
      </c>
    </row>
    <row r="22" spans="1:11" ht="24.95" customHeight="1">
      <c r="A22" s="70" t="s">
        <v>60</v>
      </c>
      <c r="B22" s="66"/>
      <c r="C22" s="104" t="s">
        <v>61</v>
      </c>
      <c r="D22" s="67"/>
      <c r="E22" s="138"/>
      <c r="F22" s="138"/>
      <c r="G22" s="138"/>
      <c r="H22" s="138"/>
      <c r="J22" s="389" t="s">
        <v>62</v>
      </c>
      <c r="K22" s="409">
        <v>0.06</v>
      </c>
    </row>
    <row r="23" spans="1:11" ht="24.95" customHeight="1">
      <c r="A23" s="71" t="s">
        <v>63</v>
      </c>
      <c r="B23" s="47"/>
      <c r="C23" s="105"/>
      <c r="D23" s="67"/>
      <c r="E23" s="138"/>
      <c r="F23" s="138"/>
      <c r="G23" s="138"/>
      <c r="H23" s="138"/>
      <c r="J23" s="389" t="s">
        <v>64</v>
      </c>
      <c r="K23" s="410">
        <v>1.4999999999999999E-2</v>
      </c>
    </row>
    <row r="24" spans="1:11" ht="24.95" customHeight="1" thickBot="1">
      <c r="A24" s="72" t="s">
        <v>65</v>
      </c>
      <c r="B24" s="47"/>
      <c r="C24" s="106">
        <v>400</v>
      </c>
      <c r="D24" s="67"/>
      <c r="E24" s="138"/>
      <c r="F24" s="138"/>
      <c r="G24" s="138"/>
      <c r="H24" s="138"/>
      <c r="J24" s="411" t="s">
        <v>66</v>
      </c>
      <c r="K24" s="412">
        <v>7.0000000000000007E-2</v>
      </c>
    </row>
    <row r="25" spans="1:11" ht="24.95" customHeight="1">
      <c r="A25" s="71" t="s">
        <v>67</v>
      </c>
      <c r="B25" s="47"/>
      <c r="C25" s="107"/>
      <c r="D25" s="67"/>
      <c r="E25" s="138"/>
      <c r="F25" s="138"/>
      <c r="G25" s="138"/>
      <c r="H25" s="138"/>
    </row>
    <row r="26" spans="1:11" ht="24.95" customHeight="1">
      <c r="A26" s="72" t="s">
        <v>68</v>
      </c>
      <c r="B26" s="47"/>
      <c r="C26" s="108">
        <v>340000</v>
      </c>
      <c r="D26" s="67"/>
      <c r="E26" s="138"/>
      <c r="F26" s="138"/>
      <c r="G26" s="138"/>
      <c r="H26" s="138"/>
    </row>
    <row r="27" spans="1:11" ht="24.95" customHeight="1">
      <c r="A27" s="72" t="s">
        <v>69</v>
      </c>
      <c r="B27" s="47"/>
      <c r="C27" s="109">
        <v>0</v>
      </c>
      <c r="D27" s="67"/>
      <c r="E27" s="138"/>
      <c r="F27" s="138"/>
      <c r="G27" s="138"/>
      <c r="H27" s="138"/>
    </row>
    <row r="28" spans="1:11" ht="24.95" customHeight="1">
      <c r="A28" s="71" t="s">
        <v>70</v>
      </c>
      <c r="B28" s="47"/>
      <c r="C28" s="110"/>
      <c r="D28" s="67"/>
      <c r="E28" s="138"/>
      <c r="F28" s="138"/>
      <c r="G28" s="138"/>
      <c r="H28" s="138"/>
    </row>
    <row r="29" spans="1:11" ht="24.95" customHeight="1">
      <c r="A29" s="72" t="s">
        <v>65</v>
      </c>
      <c r="B29" s="47"/>
      <c r="C29" s="111">
        <v>194</v>
      </c>
      <c r="D29" s="67"/>
      <c r="E29" s="138"/>
      <c r="F29" s="138"/>
      <c r="G29" s="138"/>
      <c r="H29" s="138"/>
    </row>
    <row r="30" spans="1:11" ht="24.95" customHeight="1">
      <c r="A30" s="72" t="s">
        <v>71</v>
      </c>
      <c r="B30" s="47"/>
      <c r="C30" s="109">
        <v>12500</v>
      </c>
      <c r="D30" s="67"/>
      <c r="E30" s="138"/>
      <c r="F30" s="138"/>
      <c r="G30" s="138"/>
      <c r="H30" s="138"/>
    </row>
    <row r="31" spans="1:11" ht="24.95" customHeight="1">
      <c r="A31" s="72" t="s">
        <v>72</v>
      </c>
      <c r="B31" s="47"/>
      <c r="C31" s="110"/>
      <c r="D31" s="67"/>
      <c r="E31" s="138"/>
      <c r="F31" s="138"/>
      <c r="G31" s="138"/>
      <c r="H31" s="138"/>
    </row>
    <row r="32" spans="1:11" ht="24.95" customHeight="1">
      <c r="A32" s="55" t="s">
        <v>73</v>
      </c>
      <c r="B32" s="47"/>
      <c r="C32" s="112">
        <v>80</v>
      </c>
      <c r="D32" s="67"/>
      <c r="E32" s="138"/>
      <c r="F32" s="138"/>
      <c r="G32" s="138"/>
      <c r="H32" s="138"/>
    </row>
    <row r="33" spans="1:11" ht="24.95" customHeight="1">
      <c r="A33" s="73" t="s">
        <v>74</v>
      </c>
      <c r="B33" s="74"/>
      <c r="C33" s="112">
        <v>0</v>
      </c>
      <c r="D33" s="67"/>
      <c r="E33" s="138"/>
      <c r="F33" s="138"/>
      <c r="G33" s="138"/>
      <c r="H33" s="138"/>
    </row>
    <row r="34" spans="1:11" ht="24.95" customHeight="1">
      <c r="A34" s="72" t="s">
        <v>75</v>
      </c>
      <c r="B34" s="66"/>
      <c r="C34" s="108">
        <v>0</v>
      </c>
      <c r="D34" s="67"/>
      <c r="E34" s="138"/>
      <c r="F34" s="138"/>
      <c r="G34" s="138"/>
      <c r="H34" s="138"/>
    </row>
    <row r="35" spans="1:11" ht="24.95" customHeight="1" thickBot="1">
      <c r="A35" s="413" t="s">
        <v>76</v>
      </c>
      <c r="B35" s="414"/>
      <c r="C35" s="415">
        <v>0</v>
      </c>
      <c r="D35" s="67"/>
      <c r="E35" s="138"/>
      <c r="F35" s="138"/>
      <c r="G35" s="138"/>
      <c r="H35" s="148"/>
    </row>
    <row r="36" spans="1:11" ht="24.95" customHeight="1">
      <c r="A36" s="65"/>
      <c r="B36" s="66"/>
      <c r="C36" s="66"/>
      <c r="D36" s="67"/>
      <c r="G36" s="44"/>
      <c r="H36" s="63"/>
    </row>
    <row r="37" spans="1:11" ht="24.95" customHeight="1">
      <c r="A37" s="65"/>
      <c r="B37" s="66"/>
      <c r="C37" s="66"/>
      <c r="D37" s="67"/>
      <c r="G37" s="44"/>
      <c r="H37" s="63"/>
    </row>
    <row r="38" spans="1:11" ht="24.95" customHeight="1">
      <c r="A38" s="65"/>
      <c r="B38" s="66"/>
      <c r="C38" s="66"/>
      <c r="D38" s="67"/>
      <c r="G38" s="44"/>
      <c r="H38" s="63"/>
    </row>
    <row r="39" spans="1:11" ht="24.95" customHeight="1">
      <c r="A39" s="65"/>
      <c r="B39" s="66"/>
      <c r="C39" s="66"/>
      <c r="D39" s="67"/>
      <c r="G39" s="44"/>
      <c r="H39" s="63"/>
    </row>
    <row r="40" spans="1:11" ht="24.95" customHeight="1" thickBot="1">
      <c r="A40" s="65"/>
      <c r="B40" s="66"/>
      <c r="C40" s="66"/>
      <c r="D40" s="67"/>
      <c r="G40" s="44"/>
      <c r="H40" s="63"/>
    </row>
    <row r="41" spans="1:11" ht="24.95" customHeight="1">
      <c r="A41" s="65"/>
      <c r="B41" s="66"/>
      <c r="C41" s="66"/>
      <c r="D41" s="67"/>
      <c r="G41" s="44"/>
      <c r="H41" s="63"/>
      <c r="J41" s="416"/>
      <c r="K41" s="417"/>
    </row>
    <row r="42" spans="1:11" ht="24.95" customHeight="1" thickBot="1">
      <c r="A42" s="65"/>
      <c r="B42" s="66"/>
      <c r="C42" s="66"/>
      <c r="D42" s="67"/>
      <c r="G42" s="44"/>
      <c r="H42" s="63"/>
      <c r="J42" s="418">
        <v>3</v>
      </c>
      <c r="K42" s="419">
        <v>4</v>
      </c>
    </row>
    <row r="43" spans="1:11" ht="24.95" customHeight="1" thickBot="1">
      <c r="A43" s="273" t="s">
        <v>77</v>
      </c>
      <c r="B43" s="420"/>
      <c r="C43" s="420"/>
      <c r="D43" s="420"/>
      <c r="E43" s="274"/>
      <c r="G43" s="421" t="s">
        <v>78</v>
      </c>
      <c r="H43" s="416"/>
      <c r="I43" s="416"/>
      <c r="J43" s="422">
        <f>D45</f>
        <v>82667</v>
      </c>
      <c r="K43" s="422">
        <f>E45</f>
        <v>91833</v>
      </c>
    </row>
    <row r="44" spans="1:11" ht="24.95" customHeight="1">
      <c r="A44" s="75" t="s">
        <v>79</v>
      </c>
      <c r="B44" s="423">
        <v>1</v>
      </c>
      <c r="C44" s="423">
        <v>2</v>
      </c>
      <c r="D44" s="423">
        <v>3</v>
      </c>
      <c r="E44" s="424">
        <v>4</v>
      </c>
      <c r="G44" s="425" t="s">
        <v>79</v>
      </c>
      <c r="H44" s="418">
        <v>1</v>
      </c>
      <c r="I44" s="418">
        <v>2</v>
      </c>
      <c r="J44" s="426">
        <f>0.7*J$43</f>
        <v>57866.899999999994</v>
      </c>
      <c r="K44" s="427">
        <f>0.7*K$43</f>
        <v>64283.1</v>
      </c>
    </row>
    <row r="45" spans="1:11" ht="24.95" customHeight="1" thickBot="1">
      <c r="A45" s="428" t="s">
        <v>80</v>
      </c>
      <c r="B45" s="429">
        <v>64333</v>
      </c>
      <c r="C45" s="429">
        <v>73500</v>
      </c>
      <c r="D45" s="429">
        <v>82667</v>
      </c>
      <c r="E45" s="430">
        <v>91833</v>
      </c>
      <c r="G45" s="425" t="s">
        <v>81</v>
      </c>
      <c r="H45" s="422">
        <f>B45</f>
        <v>64333</v>
      </c>
      <c r="I45" s="422">
        <f t="shared" ref="I45" si="0">C45</f>
        <v>73500</v>
      </c>
      <c r="J45" s="140">
        <f>0.35*J44</f>
        <v>20253.414999999997</v>
      </c>
      <c r="K45" s="141">
        <f>0.35*K44</f>
        <v>22499.084999999999</v>
      </c>
    </row>
    <row r="46" spans="1:11" ht="24.95" customHeight="1">
      <c r="A46" s="431" t="s">
        <v>82</v>
      </c>
      <c r="B46" s="429">
        <f>0.5*B$45</f>
        <v>32166.5</v>
      </c>
      <c r="C46" s="429">
        <f>0.5*C$45</f>
        <v>36750</v>
      </c>
      <c r="D46" s="429">
        <f>0.5*D$45</f>
        <v>41333.5</v>
      </c>
      <c r="E46" s="430">
        <f>0.5*E$45</f>
        <v>45916.5</v>
      </c>
      <c r="G46" s="432" t="s">
        <v>83</v>
      </c>
      <c r="H46" s="426">
        <f>0.7*H$45</f>
        <v>45033.1</v>
      </c>
      <c r="I46" s="426">
        <f>0.7*I$45</f>
        <v>51450</v>
      </c>
      <c r="J46" s="140">
        <f>-12*200</f>
        <v>-2400</v>
      </c>
      <c r="K46" s="141">
        <f>-12*200</f>
        <v>-2400</v>
      </c>
    </row>
    <row r="47" spans="1:11" ht="24.95" customHeight="1">
      <c r="A47" s="389" t="s">
        <v>84</v>
      </c>
      <c r="B47" s="429">
        <f>0.3*B46</f>
        <v>9649.9499999999989</v>
      </c>
      <c r="C47" s="429">
        <f>0.3*C46</f>
        <v>11025</v>
      </c>
      <c r="D47" s="429">
        <f>0.3*D46</f>
        <v>12400.05</v>
      </c>
      <c r="E47" s="430">
        <f>0.3*E46</f>
        <v>13774.949999999999</v>
      </c>
      <c r="G47" s="139" t="s">
        <v>85</v>
      </c>
      <c r="H47" s="140">
        <f>0.35*H46</f>
        <v>15761.584999999999</v>
      </c>
      <c r="I47" s="140">
        <f>0.35*I46</f>
        <v>18007.5</v>
      </c>
      <c r="J47" s="140">
        <v>-1000</v>
      </c>
      <c r="K47" s="141">
        <v>-1000</v>
      </c>
    </row>
    <row r="48" spans="1:11" ht="24.95" customHeight="1" thickBot="1">
      <c r="A48" s="433" t="s">
        <v>86</v>
      </c>
      <c r="B48" s="434">
        <v>1728</v>
      </c>
      <c r="C48" s="434">
        <v>2112</v>
      </c>
      <c r="D48" s="434">
        <v>2496</v>
      </c>
      <c r="E48" s="435">
        <v>2892</v>
      </c>
      <c r="G48" s="139" t="s">
        <v>86</v>
      </c>
      <c r="H48" s="140">
        <f>-12*200</f>
        <v>-2400</v>
      </c>
      <c r="I48" s="140">
        <f>-12*200</f>
        <v>-2400</v>
      </c>
      <c r="J48" s="436">
        <f>-0.014*425000</f>
        <v>-5950</v>
      </c>
      <c r="K48" s="437">
        <f>-0.014*425000</f>
        <v>-5950</v>
      </c>
    </row>
    <row r="49" spans="1:11" ht="24.95" customHeight="1" thickTop="1">
      <c r="A49" s="76" t="s">
        <v>87</v>
      </c>
      <c r="B49" s="438">
        <f>B47-B48</f>
        <v>7921.9499999999989</v>
      </c>
      <c r="C49" s="438">
        <f>C47-C48</f>
        <v>8913</v>
      </c>
      <c r="D49" s="438">
        <f>D47-D48</f>
        <v>9904.0499999999993</v>
      </c>
      <c r="E49" s="439">
        <f>E47-E48</f>
        <v>10882.949999999999</v>
      </c>
      <c r="G49" s="139" t="s">
        <v>88</v>
      </c>
      <c r="H49" s="140">
        <v>-1000</v>
      </c>
      <c r="I49" s="140">
        <v>-1000</v>
      </c>
      <c r="J49" s="140">
        <f>SUM(J45:J48)</f>
        <v>10903.414999999997</v>
      </c>
      <c r="K49" s="141">
        <f>SUM(K45:K48)</f>
        <v>13149.084999999999</v>
      </c>
    </row>
    <row r="50" spans="1:11" ht="24.95" customHeight="1" thickBot="1">
      <c r="A50" s="431" t="s">
        <v>89</v>
      </c>
      <c r="B50" s="440">
        <f>B49/12</f>
        <v>660.16249999999991</v>
      </c>
      <c r="C50" s="440">
        <f>C49/12</f>
        <v>742.75</v>
      </c>
      <c r="D50" s="440">
        <f>D49/12</f>
        <v>825.33749999999998</v>
      </c>
      <c r="E50" s="441">
        <f>E49/12</f>
        <v>906.91249999999991</v>
      </c>
      <c r="G50" s="442" t="s">
        <v>90</v>
      </c>
      <c r="H50" s="436">
        <f>-0.014*425000</f>
        <v>-5950</v>
      </c>
      <c r="I50" s="436">
        <f>-0.014*425000</f>
        <v>-5950</v>
      </c>
      <c r="J50" s="143">
        <f>-PV($G52,30,J49)</f>
        <v>188542.21527096469</v>
      </c>
      <c r="K50" s="144">
        <f>-PV($G52,30,K49)</f>
        <v>227374.41569326795</v>
      </c>
    </row>
    <row r="51" spans="1:11" ht="24.95" customHeight="1" thickTop="1" thickBot="1">
      <c r="A51" s="431"/>
      <c r="B51" s="429"/>
      <c r="C51" s="429"/>
      <c r="D51" s="429"/>
      <c r="E51" s="430"/>
      <c r="G51" s="139" t="s">
        <v>91</v>
      </c>
      <c r="H51" s="140">
        <f>SUM(H47:H50)</f>
        <v>6411.5849999999991</v>
      </c>
      <c r="I51" s="140">
        <f>SUM(I47:I50)</f>
        <v>8657.5</v>
      </c>
      <c r="J51" s="443">
        <f>$G53*(J50/(1-$G53))</f>
        <v>5831.2025341535473</v>
      </c>
      <c r="K51" s="444">
        <f>$G53*(K50/(1-$G53))</f>
        <v>7032.1984235031323</v>
      </c>
    </row>
    <row r="52" spans="1:11" ht="24.95" customHeight="1" thickTop="1" thickBot="1">
      <c r="A52" s="431" t="s">
        <v>92</v>
      </c>
      <c r="B52" s="429">
        <f>0.7*B$45</f>
        <v>45033.1</v>
      </c>
      <c r="C52" s="429">
        <f>0.7*C$45</f>
        <v>51450</v>
      </c>
      <c r="D52" s="429">
        <f>0.7*D$45</f>
        <v>57866.899999999994</v>
      </c>
      <c r="E52" s="430">
        <f>0.7*E$45</f>
        <v>64283.1</v>
      </c>
      <c r="G52" s="142">
        <v>0.04</v>
      </c>
      <c r="H52" s="143">
        <f>-PV($G52,30,H51)</f>
        <v>110869.34133004093</v>
      </c>
      <c r="I52" s="143">
        <f>-PV($G52,30,I51)</f>
        <v>149705.77830050283</v>
      </c>
      <c r="J52" s="445">
        <f>SUM(J50:J51)</f>
        <v>194373.41780511822</v>
      </c>
      <c r="K52" s="446">
        <f>SUM(K50:K51)</f>
        <v>234406.61411677109</v>
      </c>
    </row>
    <row r="53" spans="1:11" ht="24.95" customHeight="1" thickBot="1">
      <c r="A53" s="389" t="s">
        <v>84</v>
      </c>
      <c r="B53" s="429">
        <f>0.3*B52</f>
        <v>13509.929999999998</v>
      </c>
      <c r="C53" s="429">
        <f>0.3*C52</f>
        <v>15435</v>
      </c>
      <c r="D53" s="429">
        <f>0.3*D52</f>
        <v>17360.069999999996</v>
      </c>
      <c r="E53" s="430">
        <f>0.3*E52</f>
        <v>19284.93</v>
      </c>
      <c r="G53" s="447">
        <v>0.03</v>
      </c>
      <c r="H53" s="443">
        <f>$G53*(H52/(1-$G53))</f>
        <v>3428.9487009291011</v>
      </c>
      <c r="I53" s="443">
        <f>$G53*(I52/(1-$G53))</f>
        <v>4630.0756175413244</v>
      </c>
      <c r="J53" s="146"/>
      <c r="K53" s="147"/>
    </row>
    <row r="54" spans="1:11" ht="24.95" customHeight="1" thickTop="1" thickBot="1">
      <c r="A54" s="433" t="s">
        <v>86</v>
      </c>
      <c r="B54" s="434">
        <v>1728</v>
      </c>
      <c r="C54" s="434">
        <v>2112</v>
      </c>
      <c r="D54" s="434">
        <v>2496</v>
      </c>
      <c r="E54" s="435">
        <v>2892</v>
      </c>
      <c r="G54" s="448" t="s">
        <v>93</v>
      </c>
      <c r="H54" s="445">
        <f>SUM(H52:H53)</f>
        <v>114298.29003097003</v>
      </c>
      <c r="I54" s="445">
        <f>SUM(I52:I53)</f>
        <v>154335.85391804416</v>
      </c>
      <c r="J54" s="426">
        <f>1*J$43</f>
        <v>82667</v>
      </c>
      <c r="K54" s="427">
        <f>1*K$43</f>
        <v>91833</v>
      </c>
    </row>
    <row r="55" spans="1:11" ht="24.95" customHeight="1" thickTop="1" thickBot="1">
      <c r="A55" s="76" t="s">
        <v>87</v>
      </c>
      <c r="B55" s="438">
        <f>B53-B54</f>
        <v>11781.929999999998</v>
      </c>
      <c r="C55" s="438">
        <f>C53-C54</f>
        <v>13323</v>
      </c>
      <c r="D55" s="438">
        <f>D53-D54</f>
        <v>14864.069999999996</v>
      </c>
      <c r="E55" s="439">
        <f>E53-E54</f>
        <v>16392.93</v>
      </c>
      <c r="G55" s="145"/>
      <c r="H55" s="146"/>
      <c r="I55" s="146"/>
      <c r="J55" s="140">
        <f>0.35*J54</f>
        <v>28933.449999999997</v>
      </c>
      <c r="K55" s="141">
        <f>0.35*K54</f>
        <v>32141.55</v>
      </c>
    </row>
    <row r="56" spans="1:11" ht="24.95" customHeight="1">
      <c r="A56" s="431" t="s">
        <v>89</v>
      </c>
      <c r="B56" s="440">
        <f>B55/12</f>
        <v>981.82749999999987</v>
      </c>
      <c r="C56" s="440">
        <f>C55/12</f>
        <v>1110.25</v>
      </c>
      <c r="D56" s="440">
        <f>D55/12</f>
        <v>1238.6724999999997</v>
      </c>
      <c r="E56" s="441">
        <f>E55/12</f>
        <v>1366.0775000000001</v>
      </c>
      <c r="G56" s="449" t="s">
        <v>94</v>
      </c>
      <c r="H56" s="426">
        <f>1*H$45</f>
        <v>64333</v>
      </c>
      <c r="I56" s="426">
        <f>1*I$45</f>
        <v>73500</v>
      </c>
      <c r="J56" s="140">
        <f>-12*200</f>
        <v>-2400</v>
      </c>
      <c r="K56" s="141">
        <f>-12*200</f>
        <v>-2400</v>
      </c>
    </row>
    <row r="57" spans="1:11" ht="24.95" customHeight="1">
      <c r="A57" s="431"/>
      <c r="B57" s="450"/>
      <c r="C57" s="450"/>
      <c r="D57" s="450"/>
      <c r="E57" s="451"/>
      <c r="G57" s="139" t="s">
        <v>85</v>
      </c>
      <c r="H57" s="140">
        <f>0.35*H56</f>
        <v>22516.55</v>
      </c>
      <c r="I57" s="140">
        <f>0.35*I56</f>
        <v>25725</v>
      </c>
      <c r="J57" s="140">
        <v>-1000</v>
      </c>
      <c r="K57" s="141">
        <v>-1000</v>
      </c>
    </row>
    <row r="58" spans="1:11" ht="24.95" customHeight="1" thickBot="1">
      <c r="A58" s="431" t="s">
        <v>95</v>
      </c>
      <c r="B58" s="429">
        <f>1.1*B45</f>
        <v>70766.3</v>
      </c>
      <c r="C58" s="429">
        <f>1.1*C45</f>
        <v>80850</v>
      </c>
      <c r="D58" s="429">
        <f>1.1*D45</f>
        <v>90933.700000000012</v>
      </c>
      <c r="E58" s="430">
        <f>1.1*E45</f>
        <v>101016.3</v>
      </c>
      <c r="G58" s="139" t="s">
        <v>86</v>
      </c>
      <c r="H58" s="140">
        <f>-12*200</f>
        <v>-2400</v>
      </c>
      <c r="I58" s="140">
        <f>-12*200</f>
        <v>-2400</v>
      </c>
      <c r="J58" s="436">
        <f>-0.014*425000</f>
        <v>-5950</v>
      </c>
      <c r="K58" s="437">
        <f>-0.014*425000</f>
        <v>-5950</v>
      </c>
    </row>
    <row r="59" spans="1:11" ht="24.95" customHeight="1" thickTop="1">
      <c r="A59" s="389" t="s">
        <v>85</v>
      </c>
      <c r="B59" s="429">
        <f>0.35*B58</f>
        <v>24768.204999999998</v>
      </c>
      <c r="C59" s="429">
        <f>0.35*C58</f>
        <v>28297.5</v>
      </c>
      <c r="D59" s="429">
        <f>0.35*D58</f>
        <v>31826.795000000002</v>
      </c>
      <c r="E59" s="430">
        <f>0.35*E58</f>
        <v>35355.705000000002</v>
      </c>
      <c r="G59" s="139" t="s">
        <v>88</v>
      </c>
      <c r="H59" s="140">
        <v>-1000</v>
      </c>
      <c r="I59" s="140">
        <v>-1000</v>
      </c>
      <c r="J59" s="146">
        <f>SUM(J55:J58)</f>
        <v>19583.449999999997</v>
      </c>
      <c r="K59" s="147">
        <f>SUM(K55:K58)</f>
        <v>22791.55</v>
      </c>
    </row>
    <row r="60" spans="1:11" ht="24.95" customHeight="1" thickBot="1">
      <c r="A60" s="433" t="s">
        <v>86</v>
      </c>
      <c r="B60" s="434">
        <v>1728</v>
      </c>
      <c r="C60" s="434">
        <v>2112</v>
      </c>
      <c r="D60" s="434">
        <v>2496</v>
      </c>
      <c r="E60" s="435">
        <v>2892</v>
      </c>
      <c r="G60" s="442" t="s">
        <v>90</v>
      </c>
      <c r="H60" s="436">
        <f>-0.014*425000</f>
        <v>-5950</v>
      </c>
      <c r="I60" s="436">
        <f>-0.014*425000</f>
        <v>-5950</v>
      </c>
      <c r="J60" s="143">
        <f>-PV($G62,30,J59)</f>
        <v>338637.66954189801</v>
      </c>
      <c r="K60" s="144">
        <f>-PV($G62,30,K59)</f>
        <v>394112.24157375976</v>
      </c>
    </row>
    <row r="61" spans="1:11" ht="24.95" customHeight="1" thickTop="1" thickBot="1">
      <c r="A61" s="77" t="s">
        <v>91</v>
      </c>
      <c r="B61" s="438">
        <f>B59-B60</f>
        <v>23040.204999999998</v>
      </c>
      <c r="C61" s="438">
        <f>C59-C60</f>
        <v>26185.5</v>
      </c>
      <c r="D61" s="438">
        <f>D59-D60</f>
        <v>29330.795000000002</v>
      </c>
      <c r="E61" s="439">
        <f>E59-E60</f>
        <v>32463.705000000002</v>
      </c>
      <c r="G61" s="145" t="s">
        <v>91</v>
      </c>
      <c r="H61" s="146">
        <f>SUM(H57:H60)</f>
        <v>13166.55</v>
      </c>
      <c r="I61" s="146">
        <f>SUM(I57:I60)</f>
        <v>16375</v>
      </c>
      <c r="J61" s="443">
        <f>$G63*(J60/(1-$G63))</f>
        <v>10473.329985831897</v>
      </c>
      <c r="K61" s="444">
        <f>$G63*(K60/(1-$G63))</f>
        <v>12189.038399188445</v>
      </c>
    </row>
    <row r="62" spans="1:11" ht="24.95" customHeight="1" thickTop="1" thickBot="1">
      <c r="A62" s="452" t="s">
        <v>89</v>
      </c>
      <c r="B62" s="453">
        <f>B61/12</f>
        <v>1920.0170833333332</v>
      </c>
      <c r="C62" s="453">
        <f>C61/12</f>
        <v>2182.125</v>
      </c>
      <c r="D62" s="453">
        <f>D61/12</f>
        <v>2444.2329166666668</v>
      </c>
      <c r="E62" s="454">
        <f>E61/12</f>
        <v>2705.3087500000001</v>
      </c>
      <c r="G62" s="142">
        <v>0.04</v>
      </c>
      <c r="H62" s="143">
        <f>-PV($G62,30,H61)</f>
        <v>227676.42105486404</v>
      </c>
      <c r="I62" s="143">
        <f>-PV($G62,30,I61)</f>
        <v>283157.04529838107</v>
      </c>
      <c r="J62" s="445">
        <f>SUM(J60:J61)</f>
        <v>349110.99952772993</v>
      </c>
      <c r="K62" s="446">
        <f>SUM(K60:K61)</f>
        <v>406301.27997294819</v>
      </c>
    </row>
    <row r="63" spans="1:11" ht="24.95" customHeight="1" thickBot="1">
      <c r="A63" s="65"/>
      <c r="B63" s="66"/>
      <c r="C63" s="66"/>
      <c r="D63" s="67"/>
      <c r="E63" s="43"/>
      <c r="G63" s="447">
        <v>0.03</v>
      </c>
      <c r="H63" s="443">
        <f>$G63*(H62/(1-$G63))</f>
        <v>7041.5387955112592</v>
      </c>
      <c r="I63" s="443">
        <f>$G63*(I62/(1-$G63))</f>
        <v>8757.4343906715803</v>
      </c>
      <c r="J63" s="146"/>
      <c r="K63" s="147"/>
    </row>
    <row r="64" spans="1:11" ht="24.95" customHeight="1" thickTop="1" thickBot="1">
      <c r="A64" s="65"/>
      <c r="B64" s="66"/>
      <c r="C64" s="66"/>
      <c r="D64" s="67"/>
      <c r="E64" s="43"/>
      <c r="G64" s="448" t="s">
        <v>93</v>
      </c>
      <c r="H64" s="445">
        <f>SUM(H62:H63)</f>
        <v>234717.95985037531</v>
      </c>
      <c r="I64" s="445">
        <f>SUM(I62:I63)</f>
        <v>291914.47968905268</v>
      </c>
      <c r="J64" s="426">
        <f>1.2*J$43</f>
        <v>99200.4</v>
      </c>
      <c r="K64" s="427">
        <f>1.2*K$43</f>
        <v>110199.59999999999</v>
      </c>
    </row>
    <row r="65" spans="1:11" ht="24.95" customHeight="1" thickBot="1">
      <c r="A65" s="65"/>
      <c r="B65" s="66"/>
      <c r="C65" s="66"/>
      <c r="D65" s="67"/>
      <c r="E65" s="43"/>
      <c r="G65" s="145"/>
      <c r="H65" s="146"/>
      <c r="I65" s="146"/>
      <c r="J65" s="140">
        <f>0.35*J64</f>
        <v>34720.139999999992</v>
      </c>
      <c r="K65" s="141">
        <f>0.35*K64</f>
        <v>38569.859999999993</v>
      </c>
    </row>
    <row r="66" spans="1:11" ht="24.95" customHeight="1">
      <c r="A66" s="65"/>
      <c r="B66" s="66"/>
      <c r="C66" s="66"/>
      <c r="D66" s="67"/>
      <c r="E66" s="43"/>
      <c r="G66" s="455" t="s">
        <v>96</v>
      </c>
      <c r="H66" s="426">
        <f>1.2*H$45</f>
        <v>77199.599999999991</v>
      </c>
      <c r="I66" s="426">
        <f>1.2*I$45</f>
        <v>88200</v>
      </c>
      <c r="J66" s="140">
        <f>-12*200</f>
        <v>-2400</v>
      </c>
      <c r="K66" s="141">
        <f>-12*200</f>
        <v>-2400</v>
      </c>
    </row>
    <row r="67" spans="1:11" ht="24.95" customHeight="1">
      <c r="A67" s="65"/>
      <c r="B67" s="66"/>
      <c r="C67" s="66"/>
      <c r="D67" s="67"/>
      <c r="E67" s="43"/>
      <c r="G67" s="139" t="s">
        <v>85</v>
      </c>
      <c r="H67" s="140">
        <f>0.35*H66</f>
        <v>27019.859999999997</v>
      </c>
      <c r="I67" s="140">
        <f>0.35*I66</f>
        <v>30869.999999999996</v>
      </c>
      <c r="J67" s="140">
        <v>-1000</v>
      </c>
      <c r="K67" s="141">
        <v>-1000</v>
      </c>
    </row>
    <row r="68" spans="1:11" ht="24.95" customHeight="1" thickBot="1">
      <c r="A68" s="65"/>
      <c r="B68" s="66"/>
      <c r="C68" s="66"/>
      <c r="D68" s="67"/>
      <c r="E68" s="43"/>
      <c r="G68" s="139" t="s">
        <v>86</v>
      </c>
      <c r="H68" s="140">
        <f>-12*200</f>
        <v>-2400</v>
      </c>
      <c r="I68" s="140">
        <f>-12*200</f>
        <v>-2400</v>
      </c>
      <c r="J68" s="436">
        <f>-0.014*425000</f>
        <v>-5950</v>
      </c>
      <c r="K68" s="437">
        <f>-0.014*425000</f>
        <v>-5950</v>
      </c>
    </row>
    <row r="69" spans="1:11" ht="24.95" customHeight="1" thickTop="1">
      <c r="A69" s="65"/>
      <c r="B69" s="66"/>
      <c r="C69" s="66"/>
      <c r="D69" s="67"/>
      <c r="E69" s="43"/>
      <c r="G69" s="139" t="s">
        <v>88</v>
      </c>
      <c r="H69" s="140">
        <v>-1000</v>
      </c>
      <c r="I69" s="140">
        <v>-1000</v>
      </c>
      <c r="J69" s="146">
        <f>SUM(J65:J68)</f>
        <v>25370.139999999992</v>
      </c>
      <c r="K69" s="147">
        <f>SUM(K65:K68)</f>
        <v>29219.859999999993</v>
      </c>
    </row>
    <row r="70" spans="1:11" ht="24.95" customHeight="1" thickBot="1">
      <c r="A70" s="65"/>
      <c r="B70" s="66"/>
      <c r="C70" s="66"/>
      <c r="D70" s="67"/>
      <c r="E70" s="43"/>
      <c r="G70" s="442" t="s">
        <v>90</v>
      </c>
      <c r="H70" s="436">
        <f>-0.014*425000</f>
        <v>-5950</v>
      </c>
      <c r="I70" s="436">
        <f>-0.014*425000</f>
        <v>-5950</v>
      </c>
      <c r="J70" s="143">
        <f>-PV($G72,30,J69)</f>
        <v>438701.3057225201</v>
      </c>
      <c r="K70" s="144">
        <f>-PV($G72,30,K69)</f>
        <v>505270.79216075421</v>
      </c>
    </row>
    <row r="71" spans="1:11" ht="24.95" customHeight="1" thickTop="1" thickBot="1">
      <c r="A71" s="65"/>
      <c r="B71" s="66"/>
      <c r="C71" s="66"/>
      <c r="D71" s="67"/>
      <c r="E71" s="43"/>
      <c r="G71" s="145" t="s">
        <v>91</v>
      </c>
      <c r="H71" s="146">
        <f>SUM(H67:H70)</f>
        <v>17669.859999999997</v>
      </c>
      <c r="I71" s="146">
        <f>SUM(I67:I70)</f>
        <v>21519.999999999996</v>
      </c>
      <c r="J71" s="443">
        <f>$G73*(J70/(1-$G73))</f>
        <v>13568.081620284127</v>
      </c>
      <c r="K71" s="444">
        <f>$G73*(K70/(1-$G73))</f>
        <v>15626.931716311987</v>
      </c>
    </row>
    <row r="72" spans="1:11" ht="24.95" customHeight="1" thickTop="1" thickBot="1">
      <c r="A72" s="65"/>
      <c r="B72" s="66"/>
      <c r="C72" s="66"/>
      <c r="D72" s="67"/>
      <c r="E72" s="43"/>
      <c r="G72" s="142">
        <v>0.04</v>
      </c>
      <c r="H72" s="143">
        <f>-PV($G72,30,H71)</f>
        <v>305547.80753807939</v>
      </c>
      <c r="I72" s="143">
        <f>-PV($G72,30,I71)</f>
        <v>372124.55663029983</v>
      </c>
      <c r="J72" s="445">
        <f>SUM(J70:J71)</f>
        <v>452269.38734280423</v>
      </c>
      <c r="K72" s="446">
        <f>SUM(K70:K71)</f>
        <v>520897.72387706622</v>
      </c>
    </row>
    <row r="73" spans="1:11" ht="24.95" customHeight="1" thickBot="1">
      <c r="A73" s="65"/>
      <c r="B73" s="66"/>
      <c r="C73" s="66"/>
      <c r="D73" s="67"/>
      <c r="E73" s="43"/>
      <c r="G73" s="447">
        <v>0.03</v>
      </c>
      <c r="H73" s="443">
        <f>$G73*(H72/(1-$G73))</f>
        <v>9449.9321918993628</v>
      </c>
      <c r="I73" s="443">
        <f>$G73*(I72/(1-$G73))</f>
        <v>11509.006906091747</v>
      </c>
    </row>
    <row r="74" spans="1:11" ht="24.95" customHeight="1" thickTop="1" thickBot="1">
      <c r="A74" s="65"/>
      <c r="B74" s="66"/>
      <c r="C74" s="66"/>
      <c r="D74" s="67"/>
      <c r="E74" s="43"/>
      <c r="G74" s="448" t="s">
        <v>93</v>
      </c>
      <c r="H74" s="445">
        <f>SUM(H72:H73)</f>
        <v>314997.73972997873</v>
      </c>
      <c r="I74" s="445">
        <f>SUM(I72:I73)</f>
        <v>383633.56353639159</v>
      </c>
    </row>
    <row r="75" spans="1:11">
      <c r="A75" s="65"/>
      <c r="B75" s="66"/>
      <c r="C75" s="66"/>
      <c r="D75" s="67"/>
      <c r="E75" s="43"/>
      <c r="F75" s="43"/>
      <c r="G75" s="44"/>
      <c r="H75" s="63"/>
    </row>
    <row r="76" spans="1:11">
      <c r="A76" s="65"/>
      <c r="B76" s="47"/>
    </row>
    <row r="77" spans="1:11">
      <c r="A77" s="65"/>
      <c r="B77" s="47"/>
    </row>
    <row r="78" spans="1:11">
      <c r="A78" s="65"/>
      <c r="B78" s="47"/>
    </row>
    <row r="79" spans="1:11">
      <c r="B79" s="66"/>
    </row>
    <row r="80" spans="1:11">
      <c r="B80" s="66"/>
    </row>
    <row r="81" spans="2:2">
      <c r="B81" s="66"/>
    </row>
    <row r="82" spans="2:2">
      <c r="B82" s="66"/>
    </row>
  </sheetData>
  <mergeCells count="6">
    <mergeCell ref="C2:D2"/>
    <mergeCell ref="A43:E43"/>
    <mergeCell ref="A19:C19"/>
    <mergeCell ref="A4:H4"/>
    <mergeCell ref="J4:K4"/>
    <mergeCell ref="G14:H14"/>
  </mergeCells>
  <pageMargins left="0.7" right="0.7" top="0.75" bottom="0.75" header="0.3" footer="0.3"/>
  <pageSetup scale="26" pageOrder="overThenDown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2"/>
    <pageSetUpPr fitToPage="1"/>
  </sheetPr>
  <dimension ref="B1:AM77"/>
  <sheetViews>
    <sheetView showGridLines="0" tabSelected="1" topLeftCell="A4" zoomScale="61" zoomScaleNormal="70" zoomScaleSheetLayoutView="90" workbookViewId="0">
      <selection activeCell="R36" sqref="R36"/>
    </sheetView>
  </sheetViews>
  <sheetFormatPr defaultColWidth="8.85546875" defaultRowHeight="23.25" customHeight="1"/>
  <cols>
    <col min="1" max="1" width="9" style="1" bestFit="1" customWidth="1"/>
    <col min="2" max="3" width="18" style="1" bestFit="1" customWidth="1"/>
    <col min="4" max="4" width="15.140625" style="203" bestFit="1" customWidth="1"/>
    <col min="5" max="5" width="21" style="1" customWidth="1"/>
    <col min="6" max="6" width="16.85546875" style="1" bestFit="1" customWidth="1"/>
    <col min="7" max="7" width="23.85546875" style="1" customWidth="1"/>
    <col min="8" max="8" width="23.7109375" style="1" customWidth="1"/>
    <col min="9" max="9" width="15.85546875" style="1" customWidth="1"/>
    <col min="10" max="10" width="19" style="1" bestFit="1" customWidth="1"/>
    <col min="11" max="11" width="16.42578125" style="1" customWidth="1"/>
    <col min="12" max="12" width="15.42578125" style="1" customWidth="1"/>
    <col min="13" max="13" width="18" style="1" customWidth="1"/>
    <col min="14" max="14" width="15.140625" style="1" bestFit="1" customWidth="1"/>
    <col min="15" max="15" width="14.85546875" style="1" customWidth="1"/>
    <col min="16" max="16" width="20.28515625" style="1" bestFit="1" customWidth="1"/>
    <col min="17" max="17" width="20.7109375" style="1" bestFit="1" customWidth="1"/>
    <col min="18" max="18" width="17" style="1" bestFit="1" customWidth="1"/>
    <col min="19" max="19" width="17" style="1" customWidth="1"/>
    <col min="20" max="20" width="22.140625" style="1" customWidth="1"/>
    <col min="21" max="16384" width="8.85546875" style="1"/>
  </cols>
  <sheetData>
    <row r="1" spans="2:39" ht="23.25" customHeight="1">
      <c r="O1" s="456"/>
      <c r="P1" s="456"/>
      <c r="Q1" s="456"/>
      <c r="R1" s="456"/>
    </row>
    <row r="2" spans="2:39" ht="24" customHeight="1">
      <c r="O2" s="101"/>
      <c r="U2" s="40"/>
    </row>
    <row r="3" spans="2:39" ht="24" customHeight="1">
      <c r="O3" s="101"/>
      <c r="U3" s="40"/>
    </row>
    <row r="4" spans="2:39" ht="24" customHeight="1" thickBot="1">
      <c r="O4" s="101"/>
      <c r="U4" s="40"/>
    </row>
    <row r="5" spans="2:39" ht="45" customHeight="1" thickBot="1">
      <c r="B5" s="308" t="s">
        <v>97</v>
      </c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10"/>
    </row>
    <row r="6" spans="2:39" ht="32.1" customHeight="1">
      <c r="B6" s="116" t="s">
        <v>98</v>
      </c>
      <c r="C6" s="137" t="s">
        <v>99</v>
      </c>
      <c r="D6" s="204" t="s">
        <v>100</v>
      </c>
      <c r="E6" s="118" t="s">
        <v>101</v>
      </c>
      <c r="F6" s="121" t="s">
        <v>102</v>
      </c>
      <c r="G6" s="119" t="s">
        <v>103</v>
      </c>
      <c r="H6" s="120" t="s">
        <v>104</v>
      </c>
      <c r="I6" s="117" t="s">
        <v>105</v>
      </c>
      <c r="J6" s="118" t="s">
        <v>106</v>
      </c>
      <c r="K6" s="117" t="s">
        <v>107</v>
      </c>
      <c r="L6" s="117" t="s">
        <v>108</v>
      </c>
      <c r="M6" s="119" t="s">
        <v>109</v>
      </c>
      <c r="N6" s="121" t="s">
        <v>110</v>
      </c>
      <c r="O6" s="122" t="s">
        <v>111</v>
      </c>
    </row>
    <row r="7" spans="2:39" ht="17.100000000000001" customHeight="1">
      <c r="B7" s="214" t="s">
        <v>112</v>
      </c>
      <c r="C7" s="216" t="s">
        <v>113</v>
      </c>
      <c r="D7" s="215">
        <v>92705</v>
      </c>
      <c r="E7" s="202" t="s">
        <v>114</v>
      </c>
      <c r="F7" s="294" t="s">
        <v>115</v>
      </c>
      <c r="G7" s="296">
        <f>' Phase I Financial'!B11</f>
        <v>280</v>
      </c>
      <c r="H7" s="299">
        <f>' Phase I Financial'!B20</f>
        <v>814152</v>
      </c>
      <c r="I7" s="302">
        <f>9</f>
        <v>9</v>
      </c>
      <c r="J7" s="305">
        <f>' Phase I Financial'!D47</f>
        <v>476852956.79999989</v>
      </c>
      <c r="K7" s="311">
        <f>' Phase I Financial'!C69</f>
        <v>529504538.78880006</v>
      </c>
      <c r="L7" s="305">
        <f>' Phase I Financial'!B80</f>
        <v>211801815.51552004</v>
      </c>
      <c r="M7" s="305">
        <f>' Phase I Financial'!B79</f>
        <v>317702723.27328002</v>
      </c>
      <c r="N7" s="305">
        <f>' Phase I Financial'!B77</f>
        <v>-162695000</v>
      </c>
      <c r="O7" s="314"/>
      <c r="S7" s="213"/>
      <c r="AH7" s="213"/>
      <c r="AI7" s="213"/>
      <c r="AJ7" s="213"/>
      <c r="AK7" s="213"/>
      <c r="AL7" s="213"/>
      <c r="AM7" s="213"/>
    </row>
    <row r="8" spans="2:39" ht="17.100000000000001" customHeight="1">
      <c r="B8" s="214"/>
      <c r="C8" s="216"/>
      <c r="D8" s="215">
        <v>68941</v>
      </c>
      <c r="E8" s="217" t="s">
        <v>116</v>
      </c>
      <c r="F8" s="457"/>
      <c r="G8" s="297"/>
      <c r="H8" s="300"/>
      <c r="I8" s="303"/>
      <c r="J8" s="306"/>
      <c r="K8" s="312"/>
      <c r="L8" s="306"/>
      <c r="M8" s="306"/>
      <c r="N8" s="306"/>
      <c r="O8" s="315"/>
      <c r="S8" s="213"/>
      <c r="AH8" s="213"/>
      <c r="AI8" s="213"/>
      <c r="AJ8" s="213"/>
      <c r="AK8" s="213"/>
      <c r="AL8" s="213"/>
      <c r="AM8" s="213"/>
    </row>
    <row r="9" spans="2:39" ht="17.100000000000001" customHeight="1">
      <c r="B9" s="214"/>
      <c r="C9" s="216"/>
      <c r="D9" s="215">
        <v>28793</v>
      </c>
      <c r="E9" s="217" t="s">
        <v>117</v>
      </c>
      <c r="F9" s="457"/>
      <c r="G9" s="297"/>
      <c r="H9" s="300"/>
      <c r="I9" s="303"/>
      <c r="J9" s="306"/>
      <c r="K9" s="312"/>
      <c r="L9" s="306"/>
      <c r="M9" s="306"/>
      <c r="N9" s="306"/>
      <c r="O9" s="315"/>
      <c r="S9" s="213"/>
      <c r="AH9" s="213"/>
      <c r="AI9" s="213"/>
      <c r="AJ9" s="213"/>
      <c r="AK9" s="213"/>
      <c r="AL9" s="213"/>
      <c r="AM9" s="213"/>
    </row>
    <row r="10" spans="2:39" ht="17.100000000000001" customHeight="1">
      <c r="B10" s="214"/>
      <c r="C10" s="216"/>
      <c r="D10" s="215">
        <v>48003</v>
      </c>
      <c r="E10" s="217" t="s">
        <v>118</v>
      </c>
      <c r="F10" s="457"/>
      <c r="G10" s="297"/>
      <c r="H10" s="300"/>
      <c r="I10" s="303"/>
      <c r="J10" s="306"/>
      <c r="K10" s="312"/>
      <c r="L10" s="306"/>
      <c r="M10" s="306"/>
      <c r="N10" s="306"/>
      <c r="O10" s="315"/>
      <c r="S10" s="213"/>
      <c r="AH10" s="213"/>
      <c r="AI10" s="213"/>
      <c r="AJ10" s="213"/>
      <c r="AK10" s="213"/>
      <c r="AL10" s="213"/>
      <c r="AM10" s="213"/>
    </row>
    <row r="11" spans="2:39" ht="17.100000000000001" customHeight="1">
      <c r="B11" s="214" t="s">
        <v>119</v>
      </c>
      <c r="C11" s="216" t="s">
        <v>113</v>
      </c>
      <c r="D11" s="215">
        <v>146975</v>
      </c>
      <c r="E11" s="217" t="s">
        <v>114</v>
      </c>
      <c r="F11" s="457"/>
      <c r="G11" s="297"/>
      <c r="H11" s="300"/>
      <c r="I11" s="303"/>
      <c r="J11" s="306"/>
      <c r="K11" s="312"/>
      <c r="L11" s="306"/>
      <c r="M11" s="306"/>
      <c r="N11" s="306"/>
      <c r="O11" s="315"/>
      <c r="S11" s="213"/>
      <c r="AH11" s="213"/>
      <c r="AI11" s="213"/>
      <c r="AJ11" s="213"/>
      <c r="AK11" s="213"/>
      <c r="AL11" s="213"/>
      <c r="AM11" s="213"/>
    </row>
    <row r="12" spans="2:39" ht="17.100000000000001" customHeight="1">
      <c r="B12" s="214"/>
      <c r="C12" s="216"/>
      <c r="D12" s="215">
        <v>59223</v>
      </c>
      <c r="E12" s="217" t="s">
        <v>117</v>
      </c>
      <c r="F12" s="457"/>
      <c r="G12" s="297"/>
      <c r="H12" s="300"/>
      <c r="I12" s="303"/>
      <c r="J12" s="306"/>
      <c r="K12" s="312"/>
      <c r="L12" s="306"/>
      <c r="M12" s="306"/>
      <c r="N12" s="306"/>
      <c r="O12" s="315"/>
      <c r="S12" s="213"/>
      <c r="AH12" s="213"/>
      <c r="AI12" s="213"/>
      <c r="AJ12" s="213"/>
      <c r="AK12" s="213"/>
      <c r="AL12" s="213"/>
      <c r="AM12" s="213"/>
    </row>
    <row r="13" spans="2:39" ht="17.100000000000001" customHeight="1">
      <c r="B13" s="214"/>
      <c r="C13" s="216"/>
      <c r="D13" s="215">
        <v>88850</v>
      </c>
      <c r="E13" s="217" t="s">
        <v>118</v>
      </c>
      <c r="F13" s="457"/>
      <c r="G13" s="297"/>
      <c r="H13" s="300"/>
      <c r="I13" s="303"/>
      <c r="J13" s="306"/>
      <c r="K13" s="312"/>
      <c r="L13" s="306"/>
      <c r="M13" s="306"/>
      <c r="N13" s="306"/>
      <c r="O13" s="315"/>
      <c r="S13" s="213"/>
      <c r="AH13" s="213"/>
      <c r="AI13" s="213"/>
      <c r="AJ13" s="213"/>
      <c r="AK13" s="213"/>
      <c r="AL13" s="213"/>
      <c r="AM13" s="213"/>
    </row>
    <row r="14" spans="2:39" ht="17.100000000000001" customHeight="1">
      <c r="B14" s="218" t="s">
        <v>120</v>
      </c>
      <c r="C14" s="216" t="s">
        <v>113</v>
      </c>
      <c r="D14" s="215">
        <v>375383</v>
      </c>
      <c r="E14" s="217" t="s">
        <v>121</v>
      </c>
      <c r="F14" s="457"/>
      <c r="G14" s="297"/>
      <c r="H14" s="300"/>
      <c r="I14" s="303"/>
      <c r="J14" s="306"/>
      <c r="K14" s="312"/>
      <c r="L14" s="306"/>
      <c r="M14" s="306"/>
      <c r="N14" s="306"/>
      <c r="O14" s="315"/>
      <c r="S14" s="213"/>
      <c r="AH14" s="213"/>
      <c r="AI14" s="213"/>
      <c r="AJ14" s="213"/>
      <c r="AK14" s="213"/>
      <c r="AL14" s="213"/>
      <c r="AM14" s="213"/>
    </row>
    <row r="15" spans="2:39" ht="17.100000000000001" customHeight="1">
      <c r="B15" s="214"/>
      <c r="C15" s="216"/>
      <c r="D15" s="215">
        <v>22360</v>
      </c>
      <c r="E15" s="217" t="s">
        <v>117</v>
      </c>
      <c r="F15" s="457"/>
      <c r="G15" s="297"/>
      <c r="H15" s="300"/>
      <c r="I15" s="303"/>
      <c r="J15" s="306"/>
      <c r="K15" s="312"/>
      <c r="L15" s="306"/>
      <c r="M15" s="306"/>
      <c r="N15" s="306"/>
      <c r="O15" s="315"/>
      <c r="S15" s="213"/>
      <c r="AH15" s="213"/>
      <c r="AI15" s="213"/>
      <c r="AJ15" s="213"/>
      <c r="AK15" s="213"/>
      <c r="AL15" s="213"/>
      <c r="AM15" s="213"/>
    </row>
    <row r="16" spans="2:39" ht="17.100000000000001" customHeight="1">
      <c r="B16" s="214"/>
      <c r="C16" s="216"/>
      <c r="D16" s="215">
        <v>116515</v>
      </c>
      <c r="E16" s="217" t="s">
        <v>122</v>
      </c>
      <c r="F16" s="457"/>
      <c r="G16" s="297"/>
      <c r="H16" s="300"/>
      <c r="I16" s="303"/>
      <c r="J16" s="306"/>
      <c r="K16" s="312"/>
      <c r="L16" s="306"/>
      <c r="M16" s="306"/>
      <c r="N16" s="306"/>
      <c r="O16" s="315"/>
      <c r="S16" s="213"/>
      <c r="AH16" s="213"/>
      <c r="AI16" s="213"/>
      <c r="AJ16" s="213"/>
      <c r="AK16" s="213"/>
      <c r="AL16" s="213"/>
      <c r="AM16" s="213"/>
    </row>
    <row r="17" spans="2:39" ht="17.100000000000001" customHeight="1">
      <c r="B17" s="218" t="s">
        <v>123</v>
      </c>
      <c r="C17" s="216" t="s">
        <v>113</v>
      </c>
      <c r="D17" s="215">
        <v>119889</v>
      </c>
      <c r="E17" s="217" t="s">
        <v>121</v>
      </c>
      <c r="F17" s="457"/>
      <c r="G17" s="297"/>
      <c r="H17" s="300"/>
      <c r="I17" s="303"/>
      <c r="J17" s="306"/>
      <c r="K17" s="312"/>
      <c r="L17" s="306"/>
      <c r="M17" s="306"/>
      <c r="N17" s="306"/>
      <c r="O17" s="315"/>
      <c r="S17" s="213"/>
      <c r="AH17" s="213"/>
      <c r="AI17" s="213"/>
      <c r="AJ17" s="213"/>
      <c r="AK17" s="213"/>
      <c r="AL17" s="213"/>
      <c r="AM17" s="213"/>
    </row>
    <row r="18" spans="2:39" ht="17.100000000000001" customHeight="1">
      <c r="B18" s="214"/>
      <c r="C18" s="216"/>
      <c r="D18" s="215">
        <v>16348</v>
      </c>
      <c r="E18" s="217" t="s">
        <v>117</v>
      </c>
      <c r="F18" s="457"/>
      <c r="G18" s="297"/>
      <c r="H18" s="300"/>
      <c r="I18" s="303"/>
      <c r="J18" s="306"/>
      <c r="K18" s="312"/>
      <c r="L18" s="306"/>
      <c r="M18" s="306"/>
      <c r="N18" s="306"/>
      <c r="O18" s="315"/>
      <c r="S18" s="213"/>
      <c r="AH18" s="213"/>
      <c r="AI18" s="213"/>
      <c r="AJ18" s="213"/>
      <c r="AK18" s="213"/>
      <c r="AL18" s="213"/>
      <c r="AM18" s="213"/>
    </row>
    <row r="19" spans="2:39" ht="17.100000000000001" customHeight="1">
      <c r="B19" s="214"/>
      <c r="C19" s="216"/>
      <c r="D19" s="215">
        <v>22923</v>
      </c>
      <c r="E19" s="217" t="s">
        <v>122</v>
      </c>
      <c r="F19" s="295"/>
      <c r="G19" s="297"/>
      <c r="H19" s="300"/>
      <c r="I19" s="303"/>
      <c r="J19" s="306"/>
      <c r="K19" s="312"/>
      <c r="L19" s="306"/>
      <c r="M19" s="306"/>
      <c r="N19" s="306"/>
      <c r="O19" s="315"/>
      <c r="S19" s="213"/>
      <c r="AH19" s="213"/>
      <c r="AI19" s="213"/>
      <c r="AJ19" s="213"/>
      <c r="AK19" s="213"/>
      <c r="AL19" s="213"/>
      <c r="AM19" s="213"/>
    </row>
    <row r="20" spans="2:39" ht="17.100000000000001" customHeight="1">
      <c r="B20" s="458" t="s">
        <v>124</v>
      </c>
      <c r="C20" s="459" t="s">
        <v>125</v>
      </c>
      <c r="D20" s="460">
        <v>47755</v>
      </c>
      <c r="E20" s="461" t="str">
        <f>'Types of Development'!E4</f>
        <v>RES-Market-Rental</v>
      </c>
      <c r="F20" s="462" t="s">
        <v>115</v>
      </c>
      <c r="G20" s="297"/>
      <c r="H20" s="300"/>
      <c r="I20" s="303"/>
      <c r="J20" s="306"/>
      <c r="K20" s="312"/>
      <c r="L20" s="306"/>
      <c r="M20" s="306"/>
      <c r="N20" s="306"/>
      <c r="O20" s="315"/>
    </row>
    <row r="21" spans="2:39" ht="17.100000000000001" customHeight="1">
      <c r="B21" s="463"/>
      <c r="C21" s="195"/>
      <c r="D21" s="460">
        <v>68229</v>
      </c>
      <c r="E21" s="464" t="str">
        <f>'Types of Development'!E8</f>
        <v>RES-AFF-MU</v>
      </c>
      <c r="F21" s="465"/>
      <c r="G21" s="297"/>
      <c r="H21" s="300"/>
      <c r="I21" s="303"/>
      <c r="J21" s="306"/>
      <c r="K21" s="312"/>
      <c r="L21" s="306"/>
      <c r="M21" s="306"/>
      <c r="N21" s="306"/>
      <c r="O21" s="315"/>
    </row>
    <row r="22" spans="2:39" ht="18" customHeight="1">
      <c r="B22" s="463"/>
      <c r="C22" s="195"/>
      <c r="D22" s="460">
        <v>38295</v>
      </c>
      <c r="E22" s="202" t="str">
        <f>'Types of Development'!E6</f>
        <v>RES-Market-Sale</v>
      </c>
      <c r="F22" s="465"/>
      <c r="G22" s="297"/>
      <c r="H22" s="300"/>
      <c r="I22" s="303"/>
      <c r="J22" s="306"/>
      <c r="K22" s="312"/>
      <c r="L22" s="306"/>
      <c r="M22" s="306"/>
      <c r="N22" s="306"/>
      <c r="O22" s="315"/>
    </row>
    <row r="23" spans="2:39" ht="17.100000000000001" customHeight="1">
      <c r="B23" s="463"/>
      <c r="C23" s="195"/>
      <c r="D23" s="460">
        <v>81979</v>
      </c>
      <c r="E23" s="466" t="str">
        <f>'Types of Development'!E10</f>
        <v>RETAIL-MU</v>
      </c>
      <c r="F23" s="465"/>
      <c r="G23" s="297"/>
      <c r="H23" s="300"/>
      <c r="I23" s="303"/>
      <c r="J23" s="306"/>
      <c r="K23" s="312"/>
      <c r="L23" s="306"/>
      <c r="M23" s="306"/>
      <c r="N23" s="306"/>
      <c r="O23" s="315"/>
    </row>
    <row r="24" spans="2:39" ht="17.100000000000001" customHeight="1">
      <c r="B24" s="463"/>
      <c r="C24" s="195"/>
      <c r="D24" s="460">
        <v>65524</v>
      </c>
      <c r="E24" s="466" t="str">
        <f>'Types of Development'!E12</f>
        <v>OFFICE-MU</v>
      </c>
      <c r="F24" s="465"/>
      <c r="G24" s="297"/>
      <c r="H24" s="300"/>
      <c r="I24" s="303"/>
      <c r="J24" s="306"/>
      <c r="K24" s="312"/>
      <c r="L24" s="306"/>
      <c r="M24" s="306"/>
      <c r="N24" s="306"/>
      <c r="O24" s="315"/>
    </row>
    <row r="25" spans="2:39" ht="17.100000000000001" customHeight="1">
      <c r="B25" s="463"/>
      <c r="C25" s="195"/>
      <c r="D25" s="460">
        <v>144901</v>
      </c>
      <c r="E25" s="466" t="str">
        <f>'Types of Development'!E16</f>
        <v>PARKING</v>
      </c>
      <c r="F25" s="465"/>
      <c r="G25" s="297"/>
      <c r="H25" s="300"/>
      <c r="I25" s="303"/>
      <c r="J25" s="306"/>
      <c r="K25" s="312"/>
      <c r="L25" s="306"/>
      <c r="M25" s="306"/>
      <c r="N25" s="306"/>
      <c r="O25" s="315"/>
    </row>
    <row r="26" spans="2:39" ht="17.100000000000001" customHeight="1">
      <c r="B26" s="463" t="s">
        <v>126</v>
      </c>
      <c r="C26" s="195"/>
      <c r="D26" s="460">
        <v>49003</v>
      </c>
      <c r="E26" s="466" t="str">
        <f>'Types of Development'!E4</f>
        <v>RES-Market-Rental</v>
      </c>
      <c r="F26" s="465"/>
      <c r="G26" s="297"/>
      <c r="H26" s="300"/>
      <c r="I26" s="303"/>
      <c r="J26" s="306"/>
      <c r="K26" s="312"/>
      <c r="L26" s="306"/>
      <c r="M26" s="306"/>
      <c r="N26" s="306"/>
      <c r="O26" s="315"/>
    </row>
    <row r="27" spans="2:39" ht="17.100000000000001" customHeight="1">
      <c r="B27" s="463"/>
      <c r="C27" s="195"/>
      <c r="D27" s="215">
        <v>63072</v>
      </c>
      <c r="E27" s="466" t="str">
        <f>'Types of Development'!E13</f>
        <v>ART STUDIOS</v>
      </c>
      <c r="F27" s="465"/>
      <c r="G27" s="297"/>
      <c r="H27" s="300"/>
      <c r="I27" s="303"/>
      <c r="J27" s="306"/>
      <c r="K27" s="312"/>
      <c r="L27" s="306"/>
      <c r="M27" s="306"/>
      <c r="N27" s="306"/>
      <c r="O27" s="315"/>
    </row>
    <row r="28" spans="2:39" ht="17.100000000000001" customHeight="1">
      <c r="B28" s="463"/>
      <c r="C28" s="195"/>
      <c r="D28" s="215">
        <v>44607</v>
      </c>
      <c r="E28" s="466" t="str">
        <f>'Types of Development'!E12</f>
        <v>OFFICE-MU</v>
      </c>
      <c r="F28" s="467"/>
      <c r="G28" s="297"/>
      <c r="H28" s="300"/>
      <c r="I28" s="303"/>
      <c r="J28" s="306"/>
      <c r="K28" s="312"/>
      <c r="L28" s="306"/>
      <c r="M28" s="306"/>
      <c r="N28" s="306"/>
      <c r="O28" s="315"/>
    </row>
    <row r="29" spans="2:39" ht="17.100000000000001" customHeight="1">
      <c r="B29" s="468" t="s">
        <v>127</v>
      </c>
      <c r="C29" s="201" t="s">
        <v>128</v>
      </c>
      <c r="D29" s="215">
        <v>71649</v>
      </c>
      <c r="E29" s="469" t="str">
        <f>'Types of Development'!E10</f>
        <v>RETAIL-MU</v>
      </c>
      <c r="F29" s="294" t="s">
        <v>115</v>
      </c>
      <c r="G29" s="297"/>
      <c r="H29" s="300"/>
      <c r="I29" s="303"/>
      <c r="J29" s="306"/>
      <c r="K29" s="312"/>
      <c r="L29" s="306"/>
      <c r="M29" s="306"/>
      <c r="N29" s="306"/>
      <c r="O29" s="315"/>
    </row>
    <row r="30" spans="2:39" ht="17.100000000000001" customHeight="1">
      <c r="B30" s="470"/>
      <c r="C30" s="201"/>
      <c r="D30" s="215">
        <v>163827</v>
      </c>
      <c r="E30" s="471" t="str">
        <f>'Types of Development'!E15</f>
        <v>HOTEL-A</v>
      </c>
      <c r="F30" s="457"/>
      <c r="G30" s="297"/>
      <c r="H30" s="300"/>
      <c r="I30" s="303"/>
      <c r="J30" s="306"/>
      <c r="K30" s="312"/>
      <c r="L30" s="306"/>
      <c r="M30" s="306"/>
      <c r="N30" s="306"/>
      <c r="O30" s="315"/>
    </row>
    <row r="31" spans="2:39" ht="17.100000000000001" customHeight="1">
      <c r="B31" s="470"/>
      <c r="C31" s="201"/>
      <c r="D31" s="215">
        <v>41357</v>
      </c>
      <c r="E31" s="471" t="str">
        <f>'Types of Development'!E16</f>
        <v>PARKING</v>
      </c>
      <c r="F31" s="472"/>
      <c r="G31" s="297"/>
      <c r="H31" s="300"/>
      <c r="I31" s="303"/>
      <c r="J31" s="306"/>
      <c r="K31" s="312"/>
      <c r="L31" s="306"/>
      <c r="M31" s="306"/>
      <c r="N31" s="306"/>
      <c r="O31" s="315"/>
    </row>
    <row r="32" spans="2:39" ht="17.100000000000001" customHeight="1">
      <c r="B32" s="470" t="s">
        <v>112</v>
      </c>
      <c r="C32" s="216" t="s">
        <v>113</v>
      </c>
      <c r="D32" s="215">
        <v>92705</v>
      </c>
      <c r="E32" s="202" t="str">
        <f>'Types of Development'!E15</f>
        <v>HOTEL-A</v>
      </c>
      <c r="F32" s="294" t="s">
        <v>115</v>
      </c>
      <c r="G32" s="297"/>
      <c r="H32" s="300"/>
      <c r="I32" s="303"/>
      <c r="J32" s="306"/>
      <c r="K32" s="312"/>
      <c r="L32" s="306"/>
      <c r="M32" s="306"/>
      <c r="N32" s="306"/>
      <c r="O32" s="315"/>
    </row>
    <row r="33" spans="2:15" ht="17.100000000000001" customHeight="1">
      <c r="B33" s="470"/>
      <c r="C33" s="216"/>
      <c r="D33" s="215">
        <v>68941</v>
      </c>
      <c r="E33" s="471" t="str">
        <f>'Types of Development'!E12</f>
        <v>OFFICE-MU</v>
      </c>
      <c r="F33" s="457"/>
      <c r="G33" s="297"/>
      <c r="H33" s="300"/>
      <c r="I33" s="303"/>
      <c r="J33" s="306"/>
      <c r="K33" s="312"/>
      <c r="L33" s="306"/>
      <c r="M33" s="306"/>
      <c r="N33" s="306"/>
      <c r="O33" s="315"/>
    </row>
    <row r="34" spans="2:15" ht="17.100000000000001" customHeight="1">
      <c r="B34" s="470"/>
      <c r="C34" s="216"/>
      <c r="D34" s="215">
        <v>28793</v>
      </c>
      <c r="E34" s="471" t="str">
        <f>'Types of Development'!E10</f>
        <v>RETAIL-MU</v>
      </c>
      <c r="F34" s="457"/>
      <c r="G34" s="297"/>
      <c r="H34" s="300"/>
      <c r="I34" s="303"/>
      <c r="J34" s="306"/>
      <c r="K34" s="312"/>
      <c r="L34" s="306"/>
      <c r="M34" s="306"/>
      <c r="N34" s="306"/>
      <c r="O34" s="315"/>
    </row>
    <row r="35" spans="2:15" ht="17.100000000000001" customHeight="1">
      <c r="B35" s="470"/>
      <c r="C35" s="216"/>
      <c r="D35" s="215">
        <v>48003</v>
      </c>
      <c r="E35" s="471" t="str">
        <f>'Types of Development'!E16</f>
        <v>PARKING</v>
      </c>
      <c r="F35" s="457"/>
      <c r="G35" s="297"/>
      <c r="H35" s="300"/>
      <c r="I35" s="303"/>
      <c r="J35" s="306"/>
      <c r="K35" s="312"/>
      <c r="L35" s="306"/>
      <c r="M35" s="306"/>
      <c r="N35" s="306"/>
      <c r="O35" s="315"/>
    </row>
    <row r="36" spans="2:15" ht="17.100000000000001" customHeight="1">
      <c r="B36" s="470" t="s">
        <v>119</v>
      </c>
      <c r="C36" s="216" t="s">
        <v>113</v>
      </c>
      <c r="D36" s="215">
        <v>146975</v>
      </c>
      <c r="E36" s="471" t="str">
        <f>'Types of Development'!E15</f>
        <v>HOTEL-A</v>
      </c>
      <c r="F36" s="457"/>
      <c r="G36" s="297"/>
      <c r="H36" s="300"/>
      <c r="I36" s="303"/>
      <c r="J36" s="306"/>
      <c r="K36" s="312"/>
      <c r="L36" s="306"/>
      <c r="M36" s="306"/>
      <c r="N36" s="306"/>
      <c r="O36" s="315"/>
    </row>
    <row r="37" spans="2:15" ht="17.100000000000001" customHeight="1">
      <c r="B37" s="470"/>
      <c r="C37" s="216"/>
      <c r="D37" s="215">
        <v>59223</v>
      </c>
      <c r="E37" s="471" t="str">
        <f>'Types of Development'!E10</f>
        <v>RETAIL-MU</v>
      </c>
      <c r="F37" s="457"/>
      <c r="G37" s="297"/>
      <c r="H37" s="300"/>
      <c r="I37" s="303"/>
      <c r="J37" s="306"/>
      <c r="K37" s="312"/>
      <c r="L37" s="306"/>
      <c r="M37" s="306"/>
      <c r="N37" s="306"/>
      <c r="O37" s="315"/>
    </row>
    <row r="38" spans="2:15" ht="17.100000000000001" customHeight="1">
      <c r="B38" s="470"/>
      <c r="C38" s="216"/>
      <c r="D38" s="215">
        <v>88850</v>
      </c>
      <c r="E38" s="471" t="str">
        <f>'Types of Development'!E16</f>
        <v>PARKING</v>
      </c>
      <c r="F38" s="457"/>
      <c r="G38" s="297"/>
      <c r="H38" s="300"/>
      <c r="I38" s="303"/>
      <c r="J38" s="306"/>
      <c r="K38" s="312"/>
      <c r="L38" s="306"/>
      <c r="M38" s="306"/>
      <c r="N38" s="306"/>
      <c r="O38" s="315"/>
    </row>
    <row r="39" spans="2:15" ht="17.100000000000001" customHeight="1">
      <c r="B39" s="473" t="s">
        <v>120</v>
      </c>
      <c r="C39" s="216" t="s">
        <v>113</v>
      </c>
      <c r="D39" s="215">
        <v>375383</v>
      </c>
      <c r="E39" s="471" t="str">
        <f>'Types of Development'!E14</f>
        <v>HOTEL-R</v>
      </c>
      <c r="F39" s="457"/>
      <c r="G39" s="297"/>
      <c r="H39" s="300"/>
      <c r="I39" s="303"/>
      <c r="J39" s="306"/>
      <c r="K39" s="312"/>
      <c r="L39" s="306"/>
      <c r="M39" s="306"/>
      <c r="N39" s="306"/>
      <c r="O39" s="315"/>
    </row>
    <row r="40" spans="2:15" ht="17.100000000000001" customHeight="1">
      <c r="B40" s="470"/>
      <c r="C40" s="216"/>
      <c r="D40" s="215">
        <v>22360</v>
      </c>
      <c r="E40" s="471" t="str">
        <f>'Types of Development'!E10</f>
        <v>RETAIL-MU</v>
      </c>
      <c r="F40" s="457"/>
      <c r="G40" s="297"/>
      <c r="H40" s="300"/>
      <c r="I40" s="303"/>
      <c r="J40" s="306"/>
      <c r="K40" s="312"/>
      <c r="L40" s="306"/>
      <c r="M40" s="306"/>
      <c r="N40" s="306"/>
      <c r="O40" s="315"/>
    </row>
    <row r="41" spans="2:15" ht="17.100000000000001" customHeight="1">
      <c r="B41" s="470"/>
      <c r="C41" s="216"/>
      <c r="D41" s="215">
        <v>116515</v>
      </c>
      <c r="E41" s="471" t="str">
        <f>'Types of Development'!E13</f>
        <v>ART STUDIOS</v>
      </c>
      <c r="F41" s="457"/>
      <c r="G41" s="297"/>
      <c r="H41" s="300"/>
      <c r="I41" s="303"/>
      <c r="J41" s="306"/>
      <c r="K41" s="312"/>
      <c r="L41" s="306"/>
      <c r="M41" s="306"/>
      <c r="N41" s="306"/>
      <c r="O41" s="315"/>
    </row>
    <row r="42" spans="2:15" ht="17.100000000000001" customHeight="1">
      <c r="B42" s="473" t="s">
        <v>123</v>
      </c>
      <c r="C42" s="216" t="s">
        <v>113</v>
      </c>
      <c r="D42" s="215">
        <v>119889</v>
      </c>
      <c r="E42" s="471" t="str">
        <f>'Types of Development'!E14</f>
        <v>HOTEL-R</v>
      </c>
      <c r="F42" s="457"/>
      <c r="G42" s="297"/>
      <c r="H42" s="300"/>
      <c r="I42" s="303"/>
      <c r="J42" s="306"/>
      <c r="K42" s="312"/>
      <c r="L42" s="306"/>
      <c r="M42" s="306"/>
      <c r="N42" s="306"/>
      <c r="O42" s="315"/>
    </row>
    <row r="43" spans="2:15" ht="17.100000000000001" customHeight="1">
      <c r="B43" s="470"/>
      <c r="C43" s="216"/>
      <c r="D43" s="215">
        <v>16348</v>
      </c>
      <c r="E43" s="471" t="str">
        <f>'Types of Development'!E10</f>
        <v>RETAIL-MU</v>
      </c>
      <c r="F43" s="457"/>
      <c r="G43" s="297"/>
      <c r="H43" s="300"/>
      <c r="I43" s="303"/>
      <c r="J43" s="306"/>
      <c r="K43" s="312"/>
      <c r="L43" s="306"/>
      <c r="M43" s="306"/>
      <c r="N43" s="306"/>
      <c r="O43" s="315"/>
    </row>
    <row r="44" spans="2:15" ht="17.100000000000001" customHeight="1">
      <c r="B44" s="470"/>
      <c r="C44" s="216"/>
      <c r="D44" s="215">
        <v>22923</v>
      </c>
      <c r="E44" s="471" t="str">
        <f>'Types of Development'!E13</f>
        <v>ART STUDIOS</v>
      </c>
      <c r="F44" s="472"/>
      <c r="G44" s="298"/>
      <c r="H44" s="301"/>
      <c r="I44" s="304"/>
      <c r="J44" s="307"/>
      <c r="K44" s="313"/>
      <c r="L44" s="307"/>
      <c r="M44" s="307"/>
      <c r="N44" s="307"/>
      <c r="O44" s="316"/>
    </row>
    <row r="45" spans="2:15" ht="17.100000000000001" customHeight="1">
      <c r="B45" s="474" t="s">
        <v>129</v>
      </c>
      <c r="C45" s="475" t="s">
        <v>130</v>
      </c>
      <c r="D45" s="476">
        <v>77346</v>
      </c>
      <c r="E45" s="466" t="str">
        <f>'Types of Development'!E4</f>
        <v>RES-Market-Rental</v>
      </c>
      <c r="F45" s="462" t="s">
        <v>131</v>
      </c>
      <c r="G45" s="237">
        <f>' Phase I Financial'!B11</f>
        <v>280</v>
      </c>
      <c r="H45" s="477">
        <f>' Phase I Financial'!B20</f>
        <v>814152</v>
      </c>
      <c r="I45" s="238">
        <v>6</v>
      </c>
      <c r="J45" s="478">
        <f>' Phase I Financial'!D47</f>
        <v>476852956.79999989</v>
      </c>
      <c r="K45" s="479">
        <f>' Phase I Financial'!C69</f>
        <v>529504538.78880006</v>
      </c>
      <c r="L45" s="480">
        <f>' Phase I Financial'!B80</f>
        <v>211801815.51552004</v>
      </c>
      <c r="M45" s="239">
        <f>' Phase I Financial'!B79</f>
        <v>317702723.27328002</v>
      </c>
      <c r="N45" s="481">
        <f>IF(' Phase I Financial'!B73&gt;0,0,' Phase I Financial'!B73)</f>
        <v>-162695000</v>
      </c>
      <c r="O45" s="482"/>
    </row>
    <row r="46" spans="2:15" ht="17.100000000000001" customHeight="1">
      <c r="B46" s="474"/>
      <c r="C46" s="475"/>
      <c r="D46" s="476">
        <v>58958</v>
      </c>
      <c r="E46" s="466" t="str">
        <f>'Types of Development'!E6</f>
        <v>RES-Market-Sale</v>
      </c>
      <c r="F46" s="465"/>
      <c r="G46" s="317"/>
      <c r="H46" s="288"/>
      <c r="I46" s="291"/>
      <c r="J46" s="282"/>
      <c r="K46" s="282"/>
      <c r="L46" s="282"/>
      <c r="M46" s="282"/>
      <c r="N46" s="282"/>
      <c r="O46" s="285"/>
    </row>
    <row r="47" spans="2:15" ht="17.100000000000001" customHeight="1">
      <c r="B47" s="474"/>
      <c r="C47" s="475"/>
      <c r="D47" s="476">
        <v>58958</v>
      </c>
      <c r="E47" s="466" t="str">
        <f>'Types of Development'!E8</f>
        <v>RES-AFF-MU</v>
      </c>
      <c r="F47" s="465"/>
      <c r="G47" s="318"/>
      <c r="H47" s="289"/>
      <c r="I47" s="292"/>
      <c r="J47" s="283"/>
      <c r="K47" s="283"/>
      <c r="L47" s="283"/>
      <c r="M47" s="283"/>
      <c r="N47" s="283"/>
      <c r="O47" s="286"/>
    </row>
    <row r="48" spans="2:15" ht="17.100000000000001" customHeight="1">
      <c r="B48" s="470" t="s">
        <v>132</v>
      </c>
      <c r="C48" s="475" t="s">
        <v>133</v>
      </c>
      <c r="D48" s="483">
        <v>84272</v>
      </c>
      <c r="E48" s="469" t="str">
        <f>'Types of Development'!E4</f>
        <v>RES-Market-Rental</v>
      </c>
      <c r="F48" s="465"/>
      <c r="G48" s="318"/>
      <c r="H48" s="289"/>
      <c r="I48" s="292"/>
      <c r="J48" s="283"/>
      <c r="K48" s="283"/>
      <c r="L48" s="283"/>
      <c r="M48" s="283"/>
      <c r="N48" s="283"/>
      <c r="O48" s="286"/>
    </row>
    <row r="49" spans="2:15" ht="17.100000000000001" customHeight="1">
      <c r="B49" s="199"/>
      <c r="C49" s="200"/>
      <c r="D49" s="484">
        <v>81842</v>
      </c>
      <c r="E49" s="469" t="str">
        <f>'Types of Development'!E8</f>
        <v>RES-AFF-MU</v>
      </c>
      <c r="F49" s="465"/>
      <c r="G49" s="318"/>
      <c r="H49" s="289"/>
      <c r="I49" s="292"/>
      <c r="J49" s="283"/>
      <c r="K49" s="283"/>
      <c r="L49" s="283"/>
      <c r="M49" s="283"/>
      <c r="N49" s="283"/>
      <c r="O49" s="286"/>
    </row>
    <row r="50" spans="2:15" ht="17.100000000000001" customHeight="1">
      <c r="B50" s="194"/>
      <c r="C50" s="216"/>
      <c r="D50" s="485">
        <v>12792</v>
      </c>
      <c r="E50" s="486" t="str">
        <f>'Types of Development'!E13</f>
        <v>ART STUDIOS</v>
      </c>
      <c r="F50" s="467"/>
      <c r="G50" s="318"/>
      <c r="H50" s="289"/>
      <c r="I50" s="292"/>
      <c r="J50" s="283"/>
      <c r="K50" s="283"/>
      <c r="L50" s="283"/>
      <c r="M50" s="283"/>
      <c r="N50" s="283"/>
      <c r="O50" s="286"/>
    </row>
    <row r="51" spans="2:15" ht="17.100000000000001" customHeight="1">
      <c r="B51" s="470" t="s">
        <v>134</v>
      </c>
      <c r="C51" s="475" t="s">
        <v>135</v>
      </c>
      <c r="D51" s="215">
        <v>55562</v>
      </c>
      <c r="E51" s="471" t="str">
        <f>'Types of Development'!E10</f>
        <v>RETAIL-MU</v>
      </c>
      <c r="F51" s="465" t="s">
        <v>131</v>
      </c>
      <c r="G51" s="318"/>
      <c r="H51" s="289"/>
      <c r="I51" s="292"/>
      <c r="J51" s="283"/>
      <c r="K51" s="283"/>
      <c r="L51" s="283"/>
      <c r="M51" s="283"/>
      <c r="N51" s="283"/>
      <c r="O51" s="286"/>
    </row>
    <row r="52" spans="2:15" ht="34.700000000000003" customHeight="1">
      <c r="B52" s="194"/>
      <c r="C52" s="216"/>
      <c r="D52" s="460">
        <v>282919</v>
      </c>
      <c r="E52" s="486" t="str">
        <f>'Types of Development'!E12</f>
        <v>OFFICE-MU</v>
      </c>
      <c r="F52" s="465"/>
      <c r="G52" s="318"/>
      <c r="H52" s="289"/>
      <c r="I52" s="292"/>
      <c r="J52" s="283"/>
      <c r="K52" s="283"/>
      <c r="L52" s="283"/>
      <c r="M52" s="283"/>
      <c r="N52" s="283"/>
      <c r="O52" s="286"/>
    </row>
    <row r="53" spans="2:15" ht="15.95">
      <c r="B53" s="194"/>
      <c r="C53" s="216"/>
      <c r="D53" s="487">
        <v>75913</v>
      </c>
      <c r="E53" s="486" t="str">
        <f>'Types of Development'!E16</f>
        <v>PARKING</v>
      </c>
      <c r="F53" s="467"/>
      <c r="G53" s="318"/>
      <c r="H53" s="289"/>
      <c r="I53" s="292"/>
      <c r="J53" s="283"/>
      <c r="K53" s="283"/>
      <c r="L53" s="283"/>
      <c r="M53" s="283"/>
      <c r="N53" s="283"/>
      <c r="O53" s="286"/>
    </row>
    <row r="54" spans="2:15" ht="15.95">
      <c r="B54" s="470" t="s">
        <v>136</v>
      </c>
      <c r="C54" s="201" t="s">
        <v>137</v>
      </c>
      <c r="D54" s="488">
        <v>89214</v>
      </c>
      <c r="E54" s="471" t="str">
        <f>'Types of Development'!E12</f>
        <v>OFFICE-MU</v>
      </c>
      <c r="F54" s="294" t="s">
        <v>131</v>
      </c>
      <c r="G54" s="318"/>
      <c r="H54" s="289"/>
      <c r="I54" s="292"/>
      <c r="J54" s="283"/>
      <c r="K54" s="283"/>
      <c r="L54" s="283"/>
      <c r="M54" s="283"/>
      <c r="N54" s="283"/>
      <c r="O54" s="286"/>
    </row>
    <row r="55" spans="2:15" ht="15.95">
      <c r="B55" s="470"/>
      <c r="C55" s="216"/>
      <c r="D55" s="215">
        <v>55457</v>
      </c>
      <c r="E55" s="471" t="str">
        <f>'Types of Development'!E10</f>
        <v>RETAIL-MU</v>
      </c>
      <c r="F55" s="457"/>
      <c r="G55" s="318"/>
      <c r="H55" s="289"/>
      <c r="I55" s="292"/>
      <c r="J55" s="283"/>
      <c r="K55" s="283"/>
      <c r="L55" s="283"/>
      <c r="M55" s="283"/>
      <c r="N55" s="283"/>
      <c r="O55" s="286"/>
    </row>
    <row r="56" spans="2:15" ht="15.95">
      <c r="B56" s="470"/>
      <c r="C56" s="216"/>
      <c r="D56" s="215">
        <v>70301</v>
      </c>
      <c r="E56" s="469" t="str">
        <f>'Types of Development'!E16</f>
        <v>PARKING</v>
      </c>
      <c r="F56" s="472"/>
      <c r="G56" s="318"/>
      <c r="H56" s="289"/>
      <c r="I56" s="292"/>
      <c r="J56" s="283"/>
      <c r="K56" s="283"/>
      <c r="L56" s="283"/>
      <c r="M56" s="283"/>
      <c r="N56" s="283"/>
      <c r="O56" s="286"/>
    </row>
    <row r="57" spans="2:15" s="136" customFormat="1" ht="23.25" customHeight="1">
      <c r="B57" s="473" t="s">
        <v>138</v>
      </c>
      <c r="C57" s="216" t="s">
        <v>113</v>
      </c>
      <c r="D57" s="483">
        <v>116904</v>
      </c>
      <c r="E57" s="471" t="str">
        <f>'Types of Development'!E4</f>
        <v>RES-Market-Rental</v>
      </c>
      <c r="F57" s="489" t="s">
        <v>131</v>
      </c>
      <c r="G57" s="318"/>
      <c r="H57" s="289"/>
      <c r="I57" s="292"/>
      <c r="J57" s="283"/>
      <c r="K57" s="283"/>
      <c r="L57" s="283"/>
      <c r="M57" s="283"/>
      <c r="N57" s="283"/>
      <c r="O57" s="286"/>
    </row>
    <row r="58" spans="2:15" ht="23.25" hidden="1" customHeight="1" thickTop="1" thickBot="1">
      <c r="B58" s="470"/>
      <c r="C58" s="216"/>
      <c r="D58" s="215">
        <v>15552</v>
      </c>
      <c r="E58" s="471" t="str">
        <f>'Types of Development'!E13</f>
        <v>ART STUDIOS</v>
      </c>
      <c r="F58" s="490"/>
      <c r="G58" s="318"/>
      <c r="H58" s="289"/>
      <c r="I58" s="292"/>
      <c r="J58" s="283"/>
      <c r="K58" s="283"/>
      <c r="L58" s="283"/>
      <c r="M58" s="283"/>
      <c r="N58" s="283"/>
      <c r="O58" s="286"/>
    </row>
    <row r="59" spans="2:15" ht="23.25" customHeight="1">
      <c r="B59" s="470"/>
      <c r="C59" s="216"/>
      <c r="D59" s="215">
        <v>108829</v>
      </c>
      <c r="E59" s="471" t="str">
        <f>'Types of Development'!E16</f>
        <v>PARKING</v>
      </c>
      <c r="F59" s="490"/>
      <c r="G59" s="318"/>
      <c r="H59" s="289"/>
      <c r="I59" s="292"/>
      <c r="J59" s="283"/>
      <c r="K59" s="283"/>
      <c r="L59" s="283"/>
      <c r="M59" s="283"/>
      <c r="N59" s="283"/>
      <c r="O59" s="286"/>
    </row>
    <row r="60" spans="2:15" ht="27.95" customHeight="1">
      <c r="B60" s="473" t="s">
        <v>139</v>
      </c>
      <c r="C60" s="216" t="s">
        <v>113</v>
      </c>
      <c r="D60" s="483">
        <v>163434</v>
      </c>
      <c r="E60" s="471" t="str">
        <f>'Types of Development'!E4</f>
        <v>RES-Market-Rental</v>
      </c>
      <c r="F60" s="490"/>
      <c r="G60" s="318"/>
      <c r="H60" s="289"/>
      <c r="I60" s="292"/>
      <c r="J60" s="283"/>
      <c r="K60" s="283"/>
      <c r="L60" s="283"/>
      <c r="M60" s="283"/>
      <c r="N60" s="283"/>
      <c r="O60" s="286"/>
    </row>
    <row r="61" spans="2:15" ht="27" customHeight="1">
      <c r="B61" s="473"/>
      <c r="C61" s="216"/>
      <c r="D61" s="483">
        <v>153417</v>
      </c>
      <c r="E61" s="471" t="str">
        <f>'Types of Development'!E16</f>
        <v>PARKING</v>
      </c>
      <c r="F61" s="490"/>
      <c r="G61" s="318"/>
      <c r="H61" s="289"/>
      <c r="I61" s="292"/>
      <c r="J61" s="283"/>
      <c r="K61" s="283"/>
      <c r="L61" s="283"/>
      <c r="M61" s="283"/>
      <c r="N61" s="283"/>
      <c r="O61" s="286"/>
    </row>
    <row r="62" spans="2:15" ht="27" customHeight="1">
      <c r="B62" s="473" t="s">
        <v>140</v>
      </c>
      <c r="C62" s="216" t="s">
        <v>113</v>
      </c>
      <c r="D62" s="491">
        <v>149084</v>
      </c>
      <c r="E62" s="471" t="str">
        <f>'Types of Development'!E4</f>
        <v>RES-Market-Rental</v>
      </c>
      <c r="F62" s="490"/>
      <c r="G62" s="318"/>
      <c r="H62" s="289"/>
      <c r="I62" s="292"/>
      <c r="J62" s="283"/>
      <c r="K62" s="283"/>
      <c r="L62" s="283"/>
      <c r="M62" s="283"/>
      <c r="N62" s="283"/>
      <c r="O62" s="286"/>
    </row>
    <row r="63" spans="2:15" ht="35.1" customHeight="1">
      <c r="B63" s="473"/>
      <c r="C63" s="216"/>
      <c r="D63" s="483">
        <v>26978</v>
      </c>
      <c r="E63" s="471" t="str">
        <f>'Types of Development'!E12</f>
        <v>OFFICE-MU</v>
      </c>
      <c r="F63" s="490"/>
      <c r="G63" s="318"/>
      <c r="H63" s="289"/>
      <c r="I63" s="292"/>
      <c r="J63" s="283"/>
      <c r="K63" s="283"/>
      <c r="L63" s="283"/>
      <c r="M63" s="283"/>
      <c r="N63" s="283"/>
      <c r="O63" s="286"/>
    </row>
    <row r="64" spans="2:15" ht="35.1" customHeight="1">
      <c r="B64" s="473"/>
      <c r="C64" s="216"/>
      <c r="D64" s="483">
        <v>153417</v>
      </c>
      <c r="E64" s="471" t="str">
        <f>'Types of Development'!E16</f>
        <v>PARKING</v>
      </c>
      <c r="F64" s="492"/>
      <c r="G64" s="319"/>
      <c r="H64" s="290"/>
      <c r="I64" s="293"/>
      <c r="J64" s="284"/>
      <c r="K64" s="284"/>
      <c r="L64" s="284"/>
      <c r="M64" s="284"/>
      <c r="N64" s="284"/>
      <c r="O64" s="287"/>
    </row>
    <row r="65" spans="2:15" ht="35.1" customHeight="1" thickBot="1">
      <c r="B65" s="220" t="s">
        <v>141</v>
      </c>
      <c r="C65" s="221"/>
      <c r="D65" s="222">
        <f>SUM(D7:D64)</f>
        <v>5185163</v>
      </c>
      <c r="E65" s="223"/>
      <c r="F65" s="223"/>
      <c r="G65" s="493">
        <f>G7+G45</f>
        <v>560</v>
      </c>
      <c r="H65" s="493">
        <f>H7+H45</f>
        <v>1628304</v>
      </c>
      <c r="I65" s="494"/>
      <c r="J65" s="495">
        <f>J7+J45</f>
        <v>953705913.59999979</v>
      </c>
      <c r="K65" s="495">
        <f t="shared" ref="K65:O65" si="0">K7+K45</f>
        <v>1059009077.5776001</v>
      </c>
      <c r="L65" s="495">
        <f t="shared" si="0"/>
        <v>423603631.03104007</v>
      </c>
      <c r="M65" s="495">
        <f t="shared" si="0"/>
        <v>635405446.54656005</v>
      </c>
      <c r="N65" s="495">
        <f t="shared" si="0"/>
        <v>-325390000</v>
      </c>
      <c r="O65" s="495"/>
    </row>
    <row r="66" spans="2:15" ht="35.1" customHeight="1">
      <c r="B66" s="116" t="s">
        <v>98</v>
      </c>
      <c r="C66" s="117" t="s">
        <v>142</v>
      </c>
      <c r="D66" s="224" t="s">
        <v>143</v>
      </c>
      <c r="E66" s="117" t="s">
        <v>144</v>
      </c>
      <c r="F66" s="122" t="s">
        <v>145</v>
      </c>
    </row>
    <row r="67" spans="2:15" ht="35.1" customHeight="1">
      <c r="B67" s="225" t="str">
        <f>B45</f>
        <v>Mixed Living I</v>
      </c>
      <c r="C67" s="226" t="s">
        <v>146</v>
      </c>
      <c r="D67" s="227" t="s">
        <v>147</v>
      </c>
      <c r="E67" s="227" t="s">
        <v>148</v>
      </c>
      <c r="F67" s="228" t="s">
        <v>149</v>
      </c>
    </row>
    <row r="68" spans="2:15" ht="23.45" customHeight="1">
      <c r="B68" s="225" t="str">
        <f>B48</f>
        <v>Mixed Living II</v>
      </c>
      <c r="C68" s="226" t="s">
        <v>146</v>
      </c>
      <c r="D68" s="229" t="s">
        <v>147</v>
      </c>
      <c r="E68" s="227" t="s">
        <v>150</v>
      </c>
      <c r="F68" s="228" t="s">
        <v>151</v>
      </c>
    </row>
    <row r="69" spans="2:15" ht="23.25" customHeight="1">
      <c r="B69" s="496" t="str">
        <f>B20</f>
        <v>Community Center</v>
      </c>
      <c r="C69" s="226" t="s">
        <v>146</v>
      </c>
      <c r="D69" s="229" t="s">
        <v>147</v>
      </c>
      <c r="E69" s="227" t="s">
        <v>152</v>
      </c>
      <c r="F69" s="228" t="s">
        <v>153</v>
      </c>
    </row>
    <row r="70" spans="2:15" ht="23.25" customHeight="1">
      <c r="B70" s="225" t="str">
        <f>B51</f>
        <v>Innovation Hub</v>
      </c>
      <c r="C70" s="226" t="s">
        <v>154</v>
      </c>
      <c r="D70" s="229" t="s">
        <v>147</v>
      </c>
      <c r="E70" s="227" t="s">
        <v>155</v>
      </c>
      <c r="F70" s="228" t="s">
        <v>156</v>
      </c>
    </row>
    <row r="71" spans="2:15" ht="23.25" customHeight="1">
      <c r="B71" s="225" t="str">
        <f>B29</f>
        <v>Business Hotel I</v>
      </c>
      <c r="C71" s="226" t="s">
        <v>157</v>
      </c>
      <c r="D71" s="229" t="s">
        <v>147</v>
      </c>
      <c r="E71" s="227" t="s">
        <v>155</v>
      </c>
      <c r="F71" s="228" t="s">
        <v>156</v>
      </c>
    </row>
    <row r="72" spans="2:15" ht="23.25" customHeight="1">
      <c r="B72" s="225" t="str">
        <f>B54</f>
        <v>Tech Groove</v>
      </c>
      <c r="C72" s="226" t="s">
        <v>154</v>
      </c>
      <c r="D72" s="229" t="s">
        <v>147</v>
      </c>
      <c r="E72" s="227" t="s">
        <v>158</v>
      </c>
      <c r="F72" s="228" t="s">
        <v>159</v>
      </c>
    </row>
    <row r="73" spans="2:15" ht="23.25" customHeight="1">
      <c r="B73" s="225" t="str">
        <f>B32</f>
        <v>Business Hotel II</v>
      </c>
      <c r="C73" s="226" t="s">
        <v>160</v>
      </c>
      <c r="D73" s="229" t="s">
        <v>147</v>
      </c>
      <c r="E73" s="227" t="s">
        <v>161</v>
      </c>
      <c r="F73" s="228" t="s">
        <v>162</v>
      </c>
    </row>
    <row r="74" spans="2:15" ht="23.25" customHeight="1">
      <c r="B74" s="225" t="str">
        <f>B36</f>
        <v>Visitor Center</v>
      </c>
      <c r="C74" s="226" t="s">
        <v>154</v>
      </c>
      <c r="D74" s="229" t="s">
        <v>147</v>
      </c>
      <c r="E74" s="227" t="s">
        <v>155</v>
      </c>
      <c r="F74" s="228" t="s">
        <v>163</v>
      </c>
    </row>
    <row r="75" spans="2:15" ht="23.25" customHeight="1">
      <c r="B75" s="225" t="str">
        <f>B57</f>
        <v>Residential I</v>
      </c>
      <c r="C75" s="497"/>
      <c r="D75" s="229" t="s">
        <v>147</v>
      </c>
      <c r="E75" s="498"/>
      <c r="F75" s="499"/>
    </row>
    <row r="76" spans="2:15" ht="23.25" customHeight="1">
      <c r="B76" s="225" t="str">
        <f>B60</f>
        <v>Residential II</v>
      </c>
      <c r="C76" s="480"/>
      <c r="D76" s="229" t="s">
        <v>147</v>
      </c>
      <c r="E76" s="500"/>
      <c r="F76" s="501"/>
    </row>
    <row r="77" spans="2:15" ht="23.25" customHeight="1" thickBot="1">
      <c r="B77" s="502" t="str">
        <f>B62</f>
        <v>Residential III</v>
      </c>
      <c r="C77" s="503"/>
      <c r="D77" s="229" t="s">
        <v>147</v>
      </c>
      <c r="E77" s="504"/>
      <c r="F77" s="505"/>
    </row>
  </sheetData>
  <mergeCells count="27">
    <mergeCell ref="O7:O44"/>
    <mergeCell ref="G46:G64"/>
    <mergeCell ref="B5:N5"/>
    <mergeCell ref="F29:F31"/>
    <mergeCell ref="F57:F64"/>
    <mergeCell ref="F45:F50"/>
    <mergeCell ref="F51:F53"/>
    <mergeCell ref="F54:F56"/>
    <mergeCell ref="F32:F44"/>
    <mergeCell ref="F20:F28"/>
    <mergeCell ref="K7:K44"/>
    <mergeCell ref="L7:L44"/>
    <mergeCell ref="M7:M44"/>
    <mergeCell ref="N7:N44"/>
    <mergeCell ref="F7:F19"/>
    <mergeCell ref="G7:G44"/>
    <mergeCell ref="H7:H44"/>
    <mergeCell ref="I7:I44"/>
    <mergeCell ref="J7:J44"/>
    <mergeCell ref="M46:M64"/>
    <mergeCell ref="N46:N64"/>
    <mergeCell ref="O46:O64"/>
    <mergeCell ref="H46:H64"/>
    <mergeCell ref="I46:I64"/>
    <mergeCell ref="J46:J64"/>
    <mergeCell ref="K46:K64"/>
    <mergeCell ref="L46:L64"/>
  </mergeCells>
  <phoneticPr fontId="168" type="noConversion"/>
  <printOptions horizontalCentered="1" verticalCentered="1"/>
  <pageMargins left="0.7" right="0.7" top="0.75" bottom="0.75" header="0.3" footer="0.3"/>
  <pageSetup scale="54" fitToHeight="0" orientation="landscape" horizontalDpi="4294967292" verticalDpi="4294967292" r:id="rId1"/>
  <headerFooter>
    <oddHeader>&amp;C&amp;"Times New Roman Bold,Bold"&amp;14&amp;K000000INVESTOR SHEET</oddHeader>
    <oddFooter>&amp;CPage &amp;P of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9AE8C2-2257-4B43-A4EE-DA28C5CEE083}">
  <sheetPr>
    <tabColor theme="2" tint="-9.9978637043366805E-2"/>
  </sheetPr>
  <dimension ref="B1:J17"/>
  <sheetViews>
    <sheetView zoomScale="125" zoomScaleNormal="75" workbookViewId="0">
      <selection activeCell="J12" sqref="J12"/>
    </sheetView>
  </sheetViews>
  <sheetFormatPr defaultColWidth="8.85546875" defaultRowHeight="15"/>
  <cols>
    <col min="2" max="4" width="22.85546875" customWidth="1"/>
    <col min="5" max="5" width="22.42578125" customWidth="1"/>
    <col min="6" max="6" width="19.85546875" customWidth="1"/>
    <col min="7" max="7" width="19.42578125" customWidth="1"/>
    <col min="8" max="8" width="13.140625" customWidth="1"/>
  </cols>
  <sheetData>
    <row r="1" spans="2:10" ht="15.95" thickBot="1"/>
    <row r="2" spans="2:10" ht="15.95" thickBot="1">
      <c r="B2" s="325" t="s">
        <v>164</v>
      </c>
      <c r="C2" s="326"/>
      <c r="D2" s="326"/>
      <c r="E2" s="326"/>
      <c r="F2" s="326"/>
      <c r="G2" s="327"/>
      <c r="H2" s="197"/>
    </row>
    <row r="3" spans="2:10" ht="30" customHeight="1">
      <c r="B3" s="198" t="s">
        <v>165</v>
      </c>
      <c r="C3" s="506" t="s">
        <v>166</v>
      </c>
      <c r="D3" s="506" t="s">
        <v>167</v>
      </c>
      <c r="E3" s="506" t="s">
        <v>168</v>
      </c>
      <c r="F3" s="507" t="s">
        <v>169</v>
      </c>
      <c r="G3" s="196" t="s">
        <v>170</v>
      </c>
    </row>
    <row r="4" spans="2:10" ht="30" customHeight="1">
      <c r="B4" s="508" t="s">
        <v>171</v>
      </c>
      <c r="C4" s="509" t="s">
        <v>172</v>
      </c>
      <c r="D4" s="510" t="s">
        <v>173</v>
      </c>
      <c r="E4" s="511" t="s">
        <v>174</v>
      </c>
      <c r="F4" s="512">
        <v>0.3</v>
      </c>
      <c r="G4" s="328" t="s">
        <v>175</v>
      </c>
    </row>
    <row r="5" spans="2:10" ht="30" customHeight="1">
      <c r="B5" s="324"/>
      <c r="C5" s="509" t="s">
        <v>176</v>
      </c>
      <c r="D5" s="513"/>
      <c r="E5" s="514"/>
      <c r="F5" s="515"/>
      <c r="G5" s="329"/>
    </row>
    <row r="6" spans="2:10" ht="30" customHeight="1">
      <c r="B6" s="508" t="s">
        <v>177</v>
      </c>
      <c r="C6" s="509" t="s">
        <v>172</v>
      </c>
      <c r="D6" s="510" t="s">
        <v>173</v>
      </c>
      <c r="E6" s="516" t="s">
        <v>178</v>
      </c>
      <c r="F6" s="512" t="s">
        <v>179</v>
      </c>
      <c r="G6" s="322" t="s">
        <v>180</v>
      </c>
    </row>
    <row r="7" spans="2:10" ht="30" customHeight="1">
      <c r="B7" s="324"/>
      <c r="C7" s="517" t="s">
        <v>176</v>
      </c>
      <c r="D7" s="513"/>
      <c r="E7" s="518"/>
      <c r="F7" s="515"/>
      <c r="G7" s="323"/>
      <c r="J7" t="s">
        <v>181</v>
      </c>
    </row>
    <row r="8" spans="2:10" ht="30" customHeight="1">
      <c r="B8" s="508" t="s">
        <v>182</v>
      </c>
      <c r="C8" s="509" t="s">
        <v>172</v>
      </c>
      <c r="D8" s="510" t="s">
        <v>173</v>
      </c>
      <c r="E8" s="516" t="s">
        <v>183</v>
      </c>
      <c r="F8" s="519">
        <v>0.3</v>
      </c>
      <c r="G8" s="320" t="s">
        <v>175</v>
      </c>
    </row>
    <row r="9" spans="2:10" ht="30" customHeight="1">
      <c r="B9" s="324"/>
      <c r="C9" s="509" t="s">
        <v>176</v>
      </c>
      <c r="D9" s="513"/>
      <c r="E9" s="518"/>
      <c r="F9" s="520"/>
      <c r="G9" s="321"/>
    </row>
    <row r="10" spans="2:10" ht="30" customHeight="1">
      <c r="B10" s="508" t="s">
        <v>184</v>
      </c>
      <c r="C10" s="509" t="s">
        <v>185</v>
      </c>
      <c r="D10" s="510" t="s">
        <v>173</v>
      </c>
      <c r="E10" s="516" t="s">
        <v>117</v>
      </c>
      <c r="F10" s="519">
        <v>0.3</v>
      </c>
      <c r="G10" s="320" t="s">
        <v>175</v>
      </c>
    </row>
    <row r="11" spans="2:10" ht="30" customHeight="1">
      <c r="B11" s="324"/>
      <c r="C11" s="517" t="s">
        <v>186</v>
      </c>
      <c r="D11" s="513"/>
      <c r="E11" s="518"/>
      <c r="F11" s="520"/>
      <c r="G11" s="321"/>
    </row>
    <row r="12" spans="2:10" ht="30" customHeight="1">
      <c r="B12" s="508" t="s">
        <v>187</v>
      </c>
      <c r="C12" s="511" t="s">
        <v>185</v>
      </c>
      <c r="D12" s="510" t="s">
        <v>173</v>
      </c>
      <c r="E12" s="516" t="s">
        <v>116</v>
      </c>
      <c r="F12" s="519">
        <v>0.3</v>
      </c>
      <c r="G12" s="320" t="s">
        <v>175</v>
      </c>
    </row>
    <row r="13" spans="2:10" ht="30" customHeight="1">
      <c r="B13" s="324"/>
      <c r="C13" s="511" t="s">
        <v>176</v>
      </c>
      <c r="D13" s="513"/>
      <c r="E13" s="518" t="s">
        <v>122</v>
      </c>
      <c r="F13" s="520"/>
      <c r="G13" s="321"/>
    </row>
    <row r="14" spans="2:10" ht="30" customHeight="1" thickBot="1">
      <c r="B14" s="521" t="s">
        <v>188</v>
      </c>
      <c r="C14" s="522" t="s">
        <v>189</v>
      </c>
      <c r="D14" s="523" t="s">
        <v>190</v>
      </c>
      <c r="E14" s="524" t="s">
        <v>121</v>
      </c>
      <c r="F14" s="525">
        <v>0.3</v>
      </c>
      <c r="G14" s="526" t="s">
        <v>191</v>
      </c>
    </row>
    <row r="15" spans="2:10" ht="30" customHeight="1" thickBot="1">
      <c r="B15" s="521" t="s">
        <v>192</v>
      </c>
      <c r="C15" s="522" t="s">
        <v>193</v>
      </c>
      <c r="D15" s="523" t="s">
        <v>173</v>
      </c>
      <c r="E15" s="524" t="s">
        <v>114</v>
      </c>
      <c r="F15" s="525">
        <v>0.3</v>
      </c>
      <c r="G15" s="526" t="s">
        <v>175</v>
      </c>
    </row>
    <row r="16" spans="2:10" ht="30" customHeight="1" thickBot="1">
      <c r="B16" s="527" t="s">
        <v>32</v>
      </c>
      <c r="C16" s="522" t="s">
        <v>194</v>
      </c>
      <c r="D16" s="522" t="s">
        <v>18</v>
      </c>
      <c r="E16" s="524" t="s">
        <v>118</v>
      </c>
      <c r="F16" s="525"/>
      <c r="G16" s="526" t="s">
        <v>195</v>
      </c>
    </row>
    <row r="17" ht="39" customHeight="1"/>
  </sheetData>
  <mergeCells count="21">
    <mergeCell ref="B10:B11"/>
    <mergeCell ref="B12:B13"/>
    <mergeCell ref="D10:D11"/>
    <mergeCell ref="D12:D13"/>
    <mergeCell ref="B2:G2"/>
    <mergeCell ref="B4:B5"/>
    <mergeCell ref="B6:B7"/>
    <mergeCell ref="B8:B9"/>
    <mergeCell ref="D4:D5"/>
    <mergeCell ref="D6:D7"/>
    <mergeCell ref="D8:D9"/>
    <mergeCell ref="F4:F5"/>
    <mergeCell ref="F6:F7"/>
    <mergeCell ref="F8:F9"/>
    <mergeCell ref="G8:G9"/>
    <mergeCell ref="G4:G5"/>
    <mergeCell ref="F10:F11"/>
    <mergeCell ref="F12:F13"/>
    <mergeCell ref="G12:G13"/>
    <mergeCell ref="G10:G11"/>
    <mergeCell ref="G6:G7"/>
  </mergeCells>
  <pageMargins left="0.7" right="0.7" top="0.75" bottom="0.75" header="0.3" footer="0.3"/>
  <pageSetup orientation="portrait" horizontalDpi="360" verticalDpi="360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B02287-3E5C-4F33-AA71-912F767EADC7}">
  <sheetPr>
    <tabColor theme="6" tint="-0.249977111117893"/>
    <pageSetUpPr fitToPage="1"/>
  </sheetPr>
  <dimension ref="A1:G101"/>
  <sheetViews>
    <sheetView showGridLines="0" topLeftCell="A78" zoomScale="107" zoomScaleNormal="100" zoomScaleSheetLayoutView="90" workbookViewId="0">
      <selection activeCell="F84" sqref="F84"/>
    </sheetView>
  </sheetViews>
  <sheetFormatPr defaultColWidth="8.85546875" defaultRowHeight="23.25" customHeight="1"/>
  <cols>
    <col min="1" max="1" width="36.7109375" style="153" bestFit="1" customWidth="1"/>
    <col min="2" max="2" width="22.85546875" style="153" bestFit="1" customWidth="1"/>
    <col min="3" max="3" width="22.28515625" style="153" bestFit="1" customWidth="1"/>
    <col min="4" max="4" width="15.140625" style="153" customWidth="1"/>
    <col min="5" max="5" width="18.140625" style="153" bestFit="1" customWidth="1"/>
    <col min="6" max="6" width="26.140625" style="153" customWidth="1"/>
    <col min="7" max="7" width="13.140625" style="153" bestFit="1" customWidth="1"/>
    <col min="8" max="8" width="24.7109375" style="153" customWidth="1"/>
    <col min="9" max="9" width="32.42578125" style="153" customWidth="1"/>
    <col min="10" max="10" width="20.140625" style="153" customWidth="1"/>
    <col min="11" max="16384" width="8.85546875" style="153"/>
  </cols>
  <sheetData>
    <row r="1" spans="1:6" ht="23.25" customHeight="1" thickBot="1">
      <c r="A1" s="149"/>
      <c r="B1" s="150"/>
      <c r="C1" s="151"/>
      <c r="D1" s="152"/>
    </row>
    <row r="2" spans="1:6" ht="23.25" customHeight="1" thickBot="1">
      <c r="A2" s="330" t="s">
        <v>196</v>
      </c>
      <c r="B2" s="331"/>
      <c r="C2" s="331"/>
      <c r="D2" s="528" t="s">
        <v>197</v>
      </c>
      <c r="E2" s="528"/>
    </row>
    <row r="3" spans="1:6" ht="23.25" customHeight="1">
      <c r="A3" s="154"/>
      <c r="B3" s="155"/>
      <c r="C3" s="155"/>
      <c r="D3" s="529">
        <v>0</v>
      </c>
      <c r="E3" s="530" t="s">
        <v>198</v>
      </c>
    </row>
    <row r="4" spans="1:6" ht="27.95">
      <c r="A4" s="156" t="s">
        <v>199</v>
      </c>
      <c r="B4" s="157" t="s">
        <v>200</v>
      </c>
      <c r="C4" s="158" t="s">
        <v>201</v>
      </c>
      <c r="D4" s="157" t="s">
        <v>202</v>
      </c>
      <c r="E4" s="159" t="s">
        <v>203</v>
      </c>
    </row>
    <row r="5" spans="1:6" ht="23.25" customHeight="1">
      <c r="A5" s="531" t="s">
        <v>204</v>
      </c>
      <c r="B5" s="532">
        <v>45</v>
      </c>
      <c r="C5" s="533">
        <f>Assumptions!C7</f>
        <v>525</v>
      </c>
      <c r="D5" s="534">
        <f>Assumptions!C8*(1+D$3)</f>
        <v>2.2400000000000002</v>
      </c>
      <c r="E5" s="535">
        <f>12*B5*C5*D5</f>
        <v>635040.00000000012</v>
      </c>
    </row>
    <row r="6" spans="1:6" ht="23.25" customHeight="1">
      <c r="A6" s="531" t="s">
        <v>205</v>
      </c>
      <c r="B6" s="532">
        <v>45</v>
      </c>
      <c r="C6" s="533">
        <f>Assumptions!C10</f>
        <v>700</v>
      </c>
      <c r="D6" s="534">
        <f>Assumptions!C11*(1+D$3)</f>
        <v>2.44</v>
      </c>
      <c r="E6" s="535">
        <f>12*B6*C6*D6</f>
        <v>922320</v>
      </c>
    </row>
    <row r="7" spans="1:6" ht="12.95">
      <c r="A7" s="536" t="s">
        <v>206</v>
      </c>
      <c r="B7" s="537">
        <v>95</v>
      </c>
      <c r="C7" s="538">
        <f>Assumptions!C13</f>
        <v>1150</v>
      </c>
      <c r="D7" s="534">
        <f>Assumptions!C14*(1+D$3)</f>
        <v>2.1</v>
      </c>
      <c r="E7" s="535">
        <f t="shared" ref="E7" si="0">12*B7*C7*D7</f>
        <v>2753100</v>
      </c>
    </row>
    <row r="8" spans="1:6" ht="12.95">
      <c r="A8" s="536" t="s">
        <v>207</v>
      </c>
      <c r="B8" s="532">
        <v>95</v>
      </c>
      <c r="C8" s="533">
        <f>Assumptions!C16</f>
        <v>1350</v>
      </c>
      <c r="D8" s="534">
        <f>Assumptions!C17*(1+D$3)</f>
        <v>2.0499999999999998</v>
      </c>
      <c r="E8" s="535">
        <f>12*B8*C8*D8</f>
        <v>3154949.9999999995</v>
      </c>
      <c r="F8" s="219">
        <f>SUM(C5:C8)</f>
        <v>3725</v>
      </c>
    </row>
    <row r="9" spans="1:6" ht="12.95">
      <c r="A9" s="536"/>
      <c r="B9" s="533"/>
      <c r="C9" s="533"/>
      <c r="D9" s="539"/>
      <c r="E9" s="535"/>
    </row>
    <row r="10" spans="1:6" ht="14.1" thickBot="1">
      <c r="A10" s="536"/>
      <c r="B10" s="533"/>
      <c r="C10" s="533"/>
      <c r="D10" s="539"/>
      <c r="E10" s="540"/>
    </row>
    <row r="11" spans="1:6" ht="15" thickTop="1" thickBot="1">
      <c r="A11" s="160" t="s">
        <v>208</v>
      </c>
      <c r="B11" s="161">
        <f>SUM(B5:B10)</f>
        <v>280</v>
      </c>
      <c r="C11" s="162">
        <f>B5*C5+B6*C6+B7*C7+B8*C8+B9*C9+B10*C10</f>
        <v>292625</v>
      </c>
      <c r="D11" s="163"/>
      <c r="E11" s="541">
        <f>SUM(E5:E10)</f>
        <v>7465410</v>
      </c>
    </row>
    <row r="12" spans="1:6" ht="15" thickTop="1" thickBot="1">
      <c r="A12" s="233" t="s">
        <v>209</v>
      </c>
      <c r="B12" s="234"/>
      <c r="C12" s="235">
        <f>C11/B11</f>
        <v>1045.0892857142858</v>
      </c>
      <c r="D12" s="236">
        <f>(E11/12)/C11</f>
        <v>2.1259888936351987</v>
      </c>
      <c r="E12" s="542"/>
    </row>
    <row r="13" spans="1:6" ht="12.95">
      <c r="A13" s="168"/>
      <c r="B13" s="232"/>
      <c r="C13" s="169"/>
      <c r="D13" s="170"/>
    </row>
    <row r="14" spans="1:6" ht="12.95">
      <c r="A14" s="156" t="s">
        <v>210</v>
      </c>
      <c r="B14" s="156" t="s">
        <v>211</v>
      </c>
      <c r="C14" s="156" t="s">
        <v>212</v>
      </c>
      <c r="D14" s="156" t="s">
        <v>213</v>
      </c>
      <c r="E14" s="156" t="s">
        <v>203</v>
      </c>
    </row>
    <row r="15" spans="1:6" ht="12.95">
      <c r="A15" s="168" t="s">
        <v>214</v>
      </c>
      <c r="B15" s="232">
        <f>SUMIF('Development Program'!E7:E44,"HOTEL-A",'Development Program'!D7:D44)/350</f>
        <v>1837.6771428571428</v>
      </c>
      <c r="C15" s="169">
        <v>280</v>
      </c>
      <c r="D15" s="170">
        <f>C15*B15*30*0.7</f>
        <v>10805541.6</v>
      </c>
      <c r="E15" s="188">
        <f>D15*12</f>
        <v>129666499.19999999</v>
      </c>
    </row>
    <row r="16" spans="1:6" ht="12.95">
      <c r="A16" s="168" t="s">
        <v>215</v>
      </c>
      <c r="B16" s="232">
        <f>SUMIF('Development Program'!E7:E44,"HOTEL-R",'Development Program'!D7:D44)/500</f>
        <v>1981.088</v>
      </c>
      <c r="C16" s="169">
        <v>350</v>
      </c>
      <c r="D16" s="170">
        <f>C16*B16*30*0.7</f>
        <v>14560996.799999997</v>
      </c>
      <c r="E16" s="188">
        <f>D16*12</f>
        <v>174731961.59999996</v>
      </c>
    </row>
    <row r="17" spans="1:5" ht="12.95">
      <c r="A17" s="156" t="s">
        <v>216</v>
      </c>
      <c r="B17" s="157" t="s">
        <v>217</v>
      </c>
      <c r="C17" s="157" t="s">
        <v>218</v>
      </c>
      <c r="D17" s="157" t="s">
        <v>203</v>
      </c>
    </row>
    <row r="18" spans="1:5" ht="12.95">
      <c r="A18" s="543" t="s">
        <v>30</v>
      </c>
      <c r="B18" s="544">
        <f>SUMIF('Development Program'!E7:E44,"RETAIL-MU",'Development Program'!D7:D44)</f>
        <v>407076</v>
      </c>
      <c r="C18" s="545">
        <f>Assumptions!F11</f>
        <v>32</v>
      </c>
      <c r="D18" s="546">
        <f>B18*C18</f>
        <v>13026432</v>
      </c>
    </row>
    <row r="19" spans="1:5" ht="14.1" thickBot="1">
      <c r="A19" s="547" t="s">
        <v>6</v>
      </c>
      <c r="B19" s="548">
        <f>SUMIF('Development Program'!E7:E44,"RETAIL-MU",'Development Program'!D7:D44)+SUMIF('Development Program'!E7:E44,"ART STUDIO",'Development Program'!D7:D44)</f>
        <v>407076</v>
      </c>
      <c r="C19" s="549">
        <f>Assumptions!F7</f>
        <v>30</v>
      </c>
      <c r="D19" s="550">
        <f>B19*C19</f>
        <v>12212280</v>
      </c>
    </row>
    <row r="20" spans="1:5" ht="15" thickTop="1" thickBot="1">
      <c r="A20" s="164" t="s">
        <v>219</v>
      </c>
      <c r="B20" s="551">
        <f>SUM(B18:B19)</f>
        <v>814152</v>
      </c>
      <c r="C20" s="552">
        <f>IF(B20=0,0,D20/B20)</f>
        <v>31</v>
      </c>
      <c r="D20" s="553">
        <f>SUM(D18:D19)</f>
        <v>25238712</v>
      </c>
      <c r="E20" s="165"/>
    </row>
    <row r="21" spans="1:5" ht="12.95">
      <c r="A21" s="554" t="s">
        <v>118</v>
      </c>
      <c r="B21" s="555" t="str">
        <f>D2</f>
        <v>Phase I</v>
      </c>
    </row>
    <row r="22" spans="1:5" ht="12.95">
      <c r="A22" s="556" t="s">
        <v>220</v>
      </c>
      <c r="B22" s="557">
        <v>308</v>
      </c>
      <c r="C22" s="166"/>
      <c r="D22" s="167"/>
    </row>
    <row r="23" spans="1:5" ht="14.1" thickBot="1">
      <c r="A23" s="558" t="s">
        <v>221</v>
      </c>
      <c r="B23" s="557">
        <v>30</v>
      </c>
      <c r="C23" s="166"/>
      <c r="D23" s="167"/>
    </row>
    <row r="24" spans="1:5" ht="15" thickTop="1" thickBot="1">
      <c r="A24" s="559" t="s">
        <v>222</v>
      </c>
      <c r="B24" s="560">
        <f>SUM(B22:B23)</f>
        <v>338</v>
      </c>
      <c r="C24" s="166"/>
      <c r="D24" s="167"/>
    </row>
    <row r="25" spans="1:5" ht="12.95">
      <c r="A25" s="561" t="s">
        <v>223</v>
      </c>
      <c r="B25" s="562" t="str">
        <f>D2</f>
        <v>Phase I</v>
      </c>
      <c r="C25" s="168"/>
      <c r="D25" s="168"/>
      <c r="E25" s="168"/>
    </row>
    <row r="26" spans="1:5" ht="12.95">
      <c r="A26" s="563" t="s">
        <v>224</v>
      </c>
      <c r="B26" s="564">
        <f>SUM('Development Program'!D7:D44)</f>
        <v>3294014</v>
      </c>
      <c r="C26" s="169"/>
      <c r="D26" s="170"/>
      <c r="E26" s="168"/>
    </row>
    <row r="27" spans="1:5" ht="12.95">
      <c r="A27" s="563" t="s">
        <v>225</v>
      </c>
      <c r="B27" s="564">
        <f>C11+B20</f>
        <v>1106777</v>
      </c>
      <c r="C27" s="169"/>
      <c r="D27" s="170"/>
      <c r="E27" s="168"/>
    </row>
    <row r="28" spans="1:5" ht="12.95">
      <c r="A28" s="565">
        <f>Assumptions!C29</f>
        <v>194</v>
      </c>
      <c r="B28" s="564">
        <f>B24*Assumptions!C29</f>
        <v>65572</v>
      </c>
      <c r="C28" s="169"/>
      <c r="D28" s="170"/>
      <c r="E28" s="168"/>
    </row>
    <row r="29" spans="1:5" ht="12.95">
      <c r="A29" s="566">
        <v>0.2</v>
      </c>
      <c r="B29" s="564">
        <f>(1+A29)*(B27+B28)</f>
        <v>1406818.8</v>
      </c>
      <c r="C29" s="169"/>
      <c r="D29" s="170"/>
      <c r="E29" s="168"/>
    </row>
    <row r="30" spans="1:5" ht="14.1" thickBot="1">
      <c r="A30" s="567">
        <f>6</f>
        <v>6</v>
      </c>
      <c r="B30" s="568">
        <f>B29/A30</f>
        <v>234469.80000000002</v>
      </c>
      <c r="C30" s="169"/>
      <c r="D30" s="170"/>
      <c r="E30" s="168"/>
    </row>
    <row r="31" spans="1:5" ht="15" customHeight="1"/>
    <row r="32" spans="1:5" ht="14.1" thickBot="1"/>
    <row r="33" spans="1:5" ht="14.1" thickBot="1">
      <c r="A33" s="334" t="s">
        <v>226</v>
      </c>
      <c r="B33" s="335"/>
      <c r="C33" s="569" t="str">
        <f>D2</f>
        <v>Phase I</v>
      </c>
      <c r="D33" s="570"/>
      <c r="E33" s="168"/>
    </row>
    <row r="34" spans="1:5" ht="14.1" thickBot="1">
      <c r="A34" s="571" t="s">
        <v>227</v>
      </c>
      <c r="B34" s="572" t="s">
        <v>228</v>
      </c>
      <c r="C34" s="572" t="s">
        <v>229</v>
      </c>
      <c r="D34" s="573" t="s">
        <v>230</v>
      </c>
      <c r="E34" s="168"/>
    </row>
    <row r="35" spans="1:5" ht="12.95">
      <c r="A35" s="574" t="s">
        <v>231</v>
      </c>
      <c r="B35" s="575">
        <f>D35/B11</f>
        <v>26662.178571428572</v>
      </c>
      <c r="C35" s="576">
        <f>D35/C11</f>
        <v>25.511866723622383</v>
      </c>
      <c r="D35" s="577">
        <f>E11</f>
        <v>7465410</v>
      </c>
      <c r="E35" s="168"/>
    </row>
    <row r="36" spans="1:5" ht="12.95">
      <c r="A36" s="578">
        <f>B20</f>
        <v>814152</v>
      </c>
      <c r="B36" s="579" t="s">
        <v>232</v>
      </c>
      <c r="C36" s="580"/>
      <c r="D36" s="581">
        <f>D20</f>
        <v>25238712</v>
      </c>
      <c r="E36" s="168"/>
    </row>
    <row r="37" spans="1:5" ht="12.95">
      <c r="A37" s="582"/>
      <c r="B37" s="583" t="s">
        <v>233</v>
      </c>
      <c r="C37" s="584"/>
      <c r="D37" s="585">
        <f>SUM(D35:D36)</f>
        <v>32704122</v>
      </c>
      <c r="E37" s="168"/>
    </row>
    <row r="38" spans="1:5" ht="12.95">
      <c r="A38" s="586" t="s">
        <v>234</v>
      </c>
      <c r="B38" s="585" t="s">
        <v>235</v>
      </c>
      <c r="C38" s="585" t="s">
        <v>236</v>
      </c>
      <c r="D38" s="585"/>
      <c r="E38" s="168"/>
    </row>
    <row r="39" spans="1:5" ht="12.95">
      <c r="A39" s="582" t="s">
        <v>237</v>
      </c>
      <c r="B39" s="587">
        <f>Assumptions!C32</f>
        <v>80</v>
      </c>
      <c r="C39" s="588">
        <f>D39/C11</f>
        <v>1.0104399829132849</v>
      </c>
      <c r="D39" s="587">
        <f>B39*B22*12</f>
        <v>295680</v>
      </c>
      <c r="E39" s="168"/>
    </row>
    <row r="40" spans="1:5" ht="12.95">
      <c r="A40" s="582" t="s">
        <v>238</v>
      </c>
      <c r="B40" s="587">
        <f>D40/B11</f>
        <v>8176.0304999999998</v>
      </c>
      <c r="C40" s="588">
        <f>D40/C11</f>
        <v>7.8232842033319097</v>
      </c>
      <c r="D40" s="587">
        <f>Assumptions!F14*D37</f>
        <v>2289288.54</v>
      </c>
      <c r="E40" s="168"/>
    </row>
    <row r="41" spans="1:5" ht="14.1" thickBot="1">
      <c r="A41" s="171" t="s">
        <v>239</v>
      </c>
      <c r="B41" s="589"/>
      <c r="C41" s="590"/>
      <c r="D41" s="172">
        <f>SUM(D39:D40)</f>
        <v>2584968.54</v>
      </c>
      <c r="E41" s="168"/>
    </row>
    <row r="42" spans="1:5" ht="15" thickTop="1" thickBot="1">
      <c r="A42" s="173">
        <v>0.05</v>
      </c>
      <c r="B42" s="332"/>
      <c r="C42" s="333"/>
      <c r="D42" s="174">
        <f>-A42*D37</f>
        <v>-1635206.1</v>
      </c>
      <c r="E42" s="168"/>
    </row>
    <row r="43" spans="1:5" ht="15" thickTop="1" thickBot="1">
      <c r="A43" s="591" t="s">
        <v>240</v>
      </c>
      <c r="B43" s="592">
        <f>D43/B11</f>
        <v>120192.44442857143</v>
      </c>
      <c r="C43" s="593">
        <f>D43/C11</f>
        <v>115.00686694574968</v>
      </c>
      <c r="D43" s="594">
        <f>D37+D41+D42</f>
        <v>33653884.439999998</v>
      </c>
      <c r="E43" s="168"/>
    </row>
    <row r="44" spans="1:5" ht="12.95">
      <c r="A44" s="156" t="s">
        <v>241</v>
      </c>
      <c r="B44" s="157" t="s">
        <v>228</v>
      </c>
      <c r="C44" s="157" t="s">
        <v>242</v>
      </c>
      <c r="D44" s="175" t="s">
        <v>230</v>
      </c>
      <c r="E44" s="168"/>
    </row>
    <row r="45" spans="1:5" ht="14.1" thickBot="1">
      <c r="A45" s="595" t="s">
        <v>243</v>
      </c>
      <c r="B45" s="596">
        <f>D45/B11</f>
        <v>-35040.130714285711</v>
      </c>
      <c r="C45" s="596">
        <f>D45/C11</f>
        <v>-33.528360871422471</v>
      </c>
      <c r="D45" s="596">
        <f>-0.3*D37</f>
        <v>-9811236.5999999996</v>
      </c>
      <c r="E45" s="168"/>
    </row>
    <row r="46" spans="1:5" ht="14.1" thickBot="1">
      <c r="A46" s="597" t="s">
        <v>244</v>
      </c>
      <c r="B46" s="598">
        <f>D46/B11</f>
        <v>85152.313714285701</v>
      </c>
      <c r="C46" s="599"/>
      <c r="D46" s="598">
        <f>D43+D45</f>
        <v>23842647.839999996</v>
      </c>
      <c r="E46" s="168"/>
    </row>
    <row r="47" spans="1:5" ht="15" thickBot="1">
      <c r="A47" s="600" t="s">
        <v>245</v>
      </c>
      <c r="B47" s="601" t="s">
        <v>246</v>
      </c>
      <c r="C47" s="602">
        <v>0.05</v>
      </c>
      <c r="D47" s="603">
        <f>D46/C47</f>
        <v>476852956.79999989</v>
      </c>
      <c r="E47" s="168"/>
    </row>
    <row r="48" spans="1:5" ht="14.1" thickBot="1">
      <c r="A48" s="205" t="s">
        <v>247</v>
      </c>
      <c r="B48" s="604"/>
      <c r="C48" s="605" t="str">
        <f>D2</f>
        <v>Phase I</v>
      </c>
      <c r="D48" s="605"/>
    </row>
    <row r="49" spans="1:5" ht="15" thickBot="1">
      <c r="A49" s="561"/>
      <c r="B49" s="158" t="s">
        <v>248</v>
      </c>
      <c r="C49" s="158" t="s">
        <v>249</v>
      </c>
      <c r="D49" s="158" t="s">
        <v>228</v>
      </c>
    </row>
    <row r="50" spans="1:5" ht="14.1">
      <c r="A50" s="606" t="s">
        <v>250</v>
      </c>
      <c r="B50" s="607">
        <f>Assumptions!K7</f>
        <v>315</v>
      </c>
      <c r="C50" s="608">
        <f>B50*(C11+B20)</f>
        <v>348634755</v>
      </c>
      <c r="D50" s="587">
        <f>C50/$B$11</f>
        <v>1245124.125</v>
      </c>
    </row>
    <row r="51" spans="1:5" ht="14.1">
      <c r="A51" s="176" t="s">
        <v>251</v>
      </c>
      <c r="B51" s="609">
        <f>Assumptions!C30</f>
        <v>12500</v>
      </c>
      <c r="C51" s="610">
        <f>B24*B51</f>
        <v>4225000</v>
      </c>
      <c r="D51" s="587">
        <f>C51/$B$11</f>
        <v>15089.285714285714</v>
      </c>
    </row>
    <row r="52" spans="1:5" ht="14.1">
      <c r="A52" s="176" t="s">
        <v>31</v>
      </c>
      <c r="B52" s="611">
        <v>0.05</v>
      </c>
      <c r="C52" s="610">
        <f>B52*C50</f>
        <v>17431737.75</v>
      </c>
      <c r="D52" s="587">
        <f>C52/$B$11</f>
        <v>62256.206250000003</v>
      </c>
    </row>
    <row r="53" spans="1:5" ht="12.95" customHeight="1">
      <c r="A53" s="176" t="s">
        <v>143</v>
      </c>
      <c r="B53" s="611" t="s">
        <v>39</v>
      </c>
      <c r="C53" s="610">
        <v>80000</v>
      </c>
      <c r="D53" s="587">
        <f>C53/$B$11</f>
        <v>285.71428571428572</v>
      </c>
    </row>
    <row r="54" spans="1:5" ht="12.95" customHeight="1">
      <c r="A54" s="176" t="s">
        <v>252</v>
      </c>
      <c r="B54" s="612" t="s">
        <v>253</v>
      </c>
      <c r="C54" s="613">
        <v>37000000</v>
      </c>
      <c r="D54" s="587">
        <f>C54/$B$11</f>
        <v>132142.85714285713</v>
      </c>
      <c r="E54" s="182">
        <f>C54/SUM('Development Program'!D7:D44)</f>
        <v>11.232496279615084</v>
      </c>
    </row>
    <row r="55" spans="1:5" ht="12.95">
      <c r="A55" s="556" t="s">
        <v>36</v>
      </c>
      <c r="B55" s="614" t="s">
        <v>39</v>
      </c>
      <c r="C55" s="615">
        <v>400000</v>
      </c>
      <c r="D55" s="587">
        <f t="shared" ref="D55:D56" si="1">C55/$B$11</f>
        <v>1428.5714285714287</v>
      </c>
    </row>
    <row r="56" spans="1:5" ht="12.95">
      <c r="A56" s="556" t="s">
        <v>38</v>
      </c>
      <c r="B56" s="614" t="s">
        <v>39</v>
      </c>
      <c r="C56" s="615">
        <v>600000</v>
      </c>
      <c r="D56" s="587">
        <f t="shared" si="1"/>
        <v>2142.8571428571427</v>
      </c>
    </row>
    <row r="57" spans="1:5" ht="12.95">
      <c r="A57" s="556" t="s">
        <v>42</v>
      </c>
      <c r="B57" s="616">
        <v>0.04</v>
      </c>
      <c r="C57" s="617">
        <f>B57*(C50+C52)</f>
        <v>14642659.710000001</v>
      </c>
      <c r="D57" s="587">
        <f>C57/$B$11</f>
        <v>52295.213250000001</v>
      </c>
    </row>
    <row r="58" spans="1:5" ht="12.95">
      <c r="A58" s="556" t="s">
        <v>46</v>
      </c>
      <c r="B58" s="618">
        <v>0.03</v>
      </c>
      <c r="C58" s="619">
        <f>B58*SUM(C50:C57)</f>
        <v>12690424.573799999</v>
      </c>
      <c r="D58" s="587">
        <f>C58/$B$11</f>
        <v>45322.944906428573</v>
      </c>
      <c r="E58" s="177"/>
    </row>
    <row r="59" spans="1:5" ht="12.95">
      <c r="A59" s="556" t="s">
        <v>49</v>
      </c>
      <c r="B59" s="616">
        <v>0.02</v>
      </c>
      <c r="C59" s="617">
        <f>B59*(C50+C52)</f>
        <v>7321329.8550000004</v>
      </c>
      <c r="D59" s="587">
        <f>C59/$B$11</f>
        <v>26147.606625</v>
      </c>
    </row>
    <row r="60" spans="1:5" ht="12.95">
      <c r="A60" s="556" t="s">
        <v>254</v>
      </c>
      <c r="B60" s="620" t="s">
        <v>39</v>
      </c>
      <c r="C60" s="615">
        <v>1000000</v>
      </c>
      <c r="D60" s="587">
        <f>C60/$B$11</f>
        <v>3571.4285714285716</v>
      </c>
    </row>
    <row r="61" spans="1:5" ht="12.95">
      <c r="A61" s="556" t="s">
        <v>52</v>
      </c>
      <c r="B61" s="621">
        <v>6000</v>
      </c>
      <c r="C61" s="617">
        <f>B61*B11</f>
        <v>1680000</v>
      </c>
      <c r="D61" s="587">
        <f>C61/$B$11</f>
        <v>6000</v>
      </c>
    </row>
    <row r="62" spans="1:5" ht="15" customHeight="1">
      <c r="A62" s="556" t="s">
        <v>54</v>
      </c>
      <c r="B62" s="614" t="s">
        <v>39</v>
      </c>
      <c r="C62" s="615">
        <v>830000</v>
      </c>
      <c r="D62" s="587">
        <f>C62/$B$11</f>
        <v>2964.2857142857142</v>
      </c>
    </row>
    <row r="63" spans="1:5" ht="12.95">
      <c r="A63" s="556" t="s">
        <v>56</v>
      </c>
      <c r="B63" s="622">
        <v>6</v>
      </c>
      <c r="C63" s="617">
        <f>-B63*(D45/12)</f>
        <v>4905618.3</v>
      </c>
      <c r="D63" s="587">
        <f>C63/$B$11</f>
        <v>17520.065357142856</v>
      </c>
    </row>
    <row r="64" spans="1:5" ht="12.95">
      <c r="A64" s="556" t="s">
        <v>255</v>
      </c>
      <c r="B64" s="178">
        <v>75</v>
      </c>
      <c r="C64" s="617">
        <f>B20*B64</f>
        <v>61061400</v>
      </c>
      <c r="D64" s="587">
        <f>C64/$B$11</f>
        <v>218076.42857142858</v>
      </c>
    </row>
    <row r="65" spans="1:7" ht="12.95">
      <c r="A65" s="556" t="s">
        <v>256</v>
      </c>
      <c r="B65" s="623">
        <v>0.06</v>
      </c>
      <c r="C65" s="619">
        <f>B65*D20*5</f>
        <v>7571613.5999999996</v>
      </c>
      <c r="D65" s="587">
        <f>C65/$B$11</f>
        <v>27041.47714285714</v>
      </c>
    </row>
    <row r="66" spans="1:7" ht="12.95">
      <c r="A66" s="556" t="s">
        <v>64</v>
      </c>
      <c r="B66" s="624">
        <v>1.4999999999999999E-2</v>
      </c>
      <c r="C66" s="619">
        <v>1611000</v>
      </c>
      <c r="D66" s="587">
        <f>C66/$B$11</f>
        <v>5753.5714285714284</v>
      </c>
    </row>
    <row r="67" spans="1:7" ht="12.95">
      <c r="A67" s="625" t="s">
        <v>66</v>
      </c>
      <c r="B67" s="626">
        <v>7.0000000000000007E-2</v>
      </c>
      <c r="C67" s="619">
        <v>7519000</v>
      </c>
      <c r="D67" s="587">
        <f>C67/$B$11</f>
        <v>26853.571428571428</v>
      </c>
    </row>
    <row r="68" spans="1:7" ht="42.95" thickBot="1">
      <c r="A68" s="558" t="s">
        <v>257</v>
      </c>
      <c r="B68" s="627" t="s">
        <v>39</v>
      </c>
      <c r="C68" s="628">
        <v>300000</v>
      </c>
      <c r="D68" s="629">
        <f>C68/$B$11</f>
        <v>1071.4285714285713</v>
      </c>
      <c r="E68" s="206" t="s">
        <v>258</v>
      </c>
      <c r="F68" s="207"/>
      <c r="G68" s="179">
        <f>B66*B79</f>
        <v>4765540.8490992002</v>
      </c>
    </row>
    <row r="69" spans="1:7" ht="44.1" thickTop="1" thickBot="1">
      <c r="A69" s="630" t="s">
        <v>259</v>
      </c>
      <c r="B69" s="631"/>
      <c r="C69" s="632">
        <f>SUM(C50:C68)</f>
        <v>529504538.78880006</v>
      </c>
      <c r="D69" s="632">
        <f>ROUND(C69/$B$11,-3)</f>
        <v>1891000</v>
      </c>
      <c r="E69" s="206" t="s">
        <v>258</v>
      </c>
      <c r="F69" s="207"/>
      <c r="G69" s="180">
        <f>B67*B79</f>
        <v>22239190.629129604</v>
      </c>
    </row>
    <row r="70" spans="1:7" ht="15" customHeight="1">
      <c r="A70" s="633" t="s">
        <v>260</v>
      </c>
      <c r="B70" s="634">
        <f>D46/C69</f>
        <v>4.5028221844024559E-2</v>
      </c>
    </row>
    <row r="71" spans="1:7" ht="12.95">
      <c r="A71" s="635" t="s">
        <v>261</v>
      </c>
      <c r="B71" s="636">
        <f>(D47/C69)-1</f>
        <v>-9.9435563119508852E-2</v>
      </c>
      <c r="C71" s="181"/>
      <c r="D71" s="182"/>
    </row>
    <row r="72" spans="1:7" ht="14.1" thickBot="1">
      <c r="A72" s="637">
        <v>0.3</v>
      </c>
      <c r="B72" s="638">
        <f>(D47/(1+A72))</f>
        <v>366809966.76923066</v>
      </c>
    </row>
    <row r="73" spans="1:7" ht="14.1" thickBot="1">
      <c r="A73" s="639">
        <v>0.3</v>
      </c>
      <c r="B73" s="638">
        <f>ROUND((D47/(1+A73))-C69,-3)</f>
        <v>-162695000</v>
      </c>
      <c r="C73" s="183" t="s">
        <v>262</v>
      </c>
    </row>
    <row r="74" spans="1:7" ht="14.1" thickBot="1">
      <c r="A74" s="184"/>
      <c r="B74" s="185"/>
    </row>
    <row r="75" spans="1:7" ht="14.1" thickBot="1">
      <c r="A75" s="208" t="s">
        <v>263</v>
      </c>
      <c r="B75" s="209"/>
      <c r="C75" s="640" t="str">
        <f>D2</f>
        <v>Phase I</v>
      </c>
    </row>
    <row r="76" spans="1:7" ht="14.1" thickBot="1">
      <c r="A76" s="641"/>
      <c r="B76" s="642" t="s">
        <v>264</v>
      </c>
      <c r="C76" s="643" t="s">
        <v>228</v>
      </c>
    </row>
    <row r="77" spans="1:7" ht="12.95">
      <c r="A77" s="644" t="s">
        <v>265</v>
      </c>
      <c r="B77" s="645">
        <f>IF(B73&lt;0,B73,0)</f>
        <v>-162695000</v>
      </c>
      <c r="C77" s="646">
        <f>B77/B11</f>
        <v>-581053.57142857148</v>
      </c>
    </row>
    <row r="78" spans="1:7" ht="12.95">
      <c r="A78" s="186" t="s">
        <v>266</v>
      </c>
      <c r="B78" s="645">
        <f>C69+B77</f>
        <v>366809538.78880006</v>
      </c>
      <c r="C78" s="646">
        <f>B78/B11</f>
        <v>1310034.0671028574</v>
      </c>
    </row>
    <row r="79" spans="1:7" ht="12.95">
      <c r="A79" s="647">
        <f>Assumptions!H16</f>
        <v>0.6</v>
      </c>
      <c r="B79" s="648">
        <f>A79*C$69</f>
        <v>317702723.27328002</v>
      </c>
      <c r="C79" s="649">
        <f>B79/B11</f>
        <v>1134652.5831188571</v>
      </c>
    </row>
    <row r="80" spans="1:7" ht="14.1" thickBot="1">
      <c r="A80" s="650">
        <f>1-A79</f>
        <v>0.4</v>
      </c>
      <c r="B80" s="648">
        <f>A80*C$69</f>
        <v>211801815.51552004</v>
      </c>
      <c r="C80" s="651">
        <f>B80/B11</f>
        <v>756435.05541257153</v>
      </c>
      <c r="D80" s="182"/>
    </row>
    <row r="81" spans="1:5" ht="14.1" thickTop="1">
      <c r="A81" s="652" t="s">
        <v>267</v>
      </c>
      <c r="B81" s="653">
        <f>B79+B80</f>
        <v>529504538.78880006</v>
      </c>
      <c r="C81" s="654">
        <f>ROUND((C80+C79),-3)</f>
        <v>1891000</v>
      </c>
    </row>
    <row r="82" spans="1:5" ht="14.1" thickBot="1">
      <c r="A82" s="655"/>
      <c r="B82" s="656"/>
      <c r="C82" s="657"/>
    </row>
    <row r="83" spans="1:5" ht="14.1" thickBot="1">
      <c r="A83" s="208" t="s">
        <v>268</v>
      </c>
      <c r="B83" s="209"/>
      <c r="C83" s="640" t="str">
        <f>D2</f>
        <v>Phase I</v>
      </c>
    </row>
    <row r="84" spans="1:5" ht="14.1" thickBot="1">
      <c r="A84" s="187"/>
      <c r="B84" s="658" t="s">
        <v>269</v>
      </c>
      <c r="C84" s="658"/>
    </row>
    <row r="85" spans="1:5" ht="12.95">
      <c r="A85" s="659" t="s">
        <v>270</v>
      </c>
      <c r="B85" s="660">
        <f>D47</f>
        <v>476852956.79999989</v>
      </c>
      <c r="C85" s="661"/>
    </row>
    <row r="86" spans="1:5" ht="14.1" thickBot="1">
      <c r="A86" s="662">
        <v>0.02</v>
      </c>
      <c r="B86" s="663">
        <f>-A86*B85</f>
        <v>-9537059.1359999981</v>
      </c>
      <c r="C86" s="664"/>
    </row>
    <row r="87" spans="1:5" ht="15" thickTop="1" thickBot="1">
      <c r="A87" s="665" t="s">
        <v>271</v>
      </c>
      <c r="B87" s="666">
        <f>B85+B86</f>
        <v>467315897.66399992</v>
      </c>
      <c r="C87" s="667"/>
    </row>
    <row r="88" spans="1:5" ht="12.95">
      <c r="A88" s="659" t="s">
        <v>272</v>
      </c>
      <c r="B88" s="660">
        <f>-B79</f>
        <v>-317702723.27328002</v>
      </c>
      <c r="C88" s="661"/>
    </row>
    <row r="89" spans="1:5" ht="23.25" customHeight="1" thickBot="1">
      <c r="A89" s="668" t="s">
        <v>273</v>
      </c>
      <c r="B89" s="669">
        <f>-B80</f>
        <v>-211801815.51552004</v>
      </c>
      <c r="C89" s="664"/>
      <c r="E89" s="188"/>
    </row>
    <row r="90" spans="1:5" ht="23.25" customHeight="1" thickTop="1" thickBot="1">
      <c r="A90" s="448" t="s">
        <v>274</v>
      </c>
      <c r="B90" s="670">
        <f>ROUND(B87+B88+B89,-2)</f>
        <v>-62188600</v>
      </c>
      <c r="C90" s="671"/>
      <c r="D90" s="189"/>
    </row>
    <row r="91" spans="1:5" ht="23.25" customHeight="1" thickBot="1">
      <c r="A91" s="208" t="s">
        <v>275</v>
      </c>
      <c r="B91" s="209"/>
      <c r="C91" s="210"/>
    </row>
    <row r="92" spans="1:5" ht="23.25" customHeight="1">
      <c r="A92" s="672" t="s">
        <v>276</v>
      </c>
      <c r="B92" s="673">
        <f>ROUND((B85)/B$11,-2)</f>
        <v>1703000</v>
      </c>
      <c r="C92" s="673"/>
    </row>
    <row r="93" spans="1:5" ht="23.25" customHeight="1" thickBot="1">
      <c r="A93" s="674" t="s">
        <v>277</v>
      </c>
      <c r="B93" s="675">
        <f>ROUND((B87)/B$11,-2)</f>
        <v>1669000</v>
      </c>
      <c r="C93" s="675"/>
    </row>
    <row r="94" spans="1:5" ht="23.25" customHeight="1">
      <c r="A94" s="211" t="s">
        <v>278</v>
      </c>
      <c r="B94" s="676"/>
      <c r="C94" s="212"/>
    </row>
    <row r="95" spans="1:5" ht="23.25" customHeight="1" thickBot="1">
      <c r="A95" s="655"/>
      <c r="B95" s="677"/>
      <c r="C95" s="677"/>
    </row>
    <row r="96" spans="1:5" ht="23.25" customHeight="1">
      <c r="A96" s="190"/>
      <c r="B96" s="658" t="s">
        <v>269</v>
      </c>
      <c r="C96" s="658"/>
    </row>
    <row r="97" spans="1:4" ht="23.25" customHeight="1">
      <c r="A97" s="678" t="s">
        <v>279</v>
      </c>
      <c r="B97" s="679">
        <f>(B90+B80)/B80</f>
        <v>0.70638306452362276</v>
      </c>
      <c r="C97" s="679"/>
    </row>
    <row r="98" spans="1:4" ht="23.25" customHeight="1">
      <c r="A98" s="680" t="s">
        <v>280</v>
      </c>
      <c r="B98" s="681">
        <f>'Phase I DRAW'!B36</f>
        <v>0</v>
      </c>
      <c r="C98" s="681"/>
      <c r="D98" s="191"/>
    </row>
    <row r="99" spans="1:4" ht="23.25" customHeight="1">
      <c r="A99" s="680" t="s">
        <v>281</v>
      </c>
      <c r="B99" s="681">
        <f>'Phase I DRAW'!B41</f>
        <v>0.27335223282534904</v>
      </c>
      <c r="C99" s="681"/>
      <c r="D99" s="191"/>
    </row>
    <row r="100" spans="1:4" ht="23.25" customHeight="1">
      <c r="A100" s="678" t="s">
        <v>282</v>
      </c>
      <c r="B100" s="682">
        <f>D46/B79</f>
        <v>7.5047036406707596E-2</v>
      </c>
      <c r="C100" s="682"/>
    </row>
    <row r="101" spans="1:4" ht="23.25" customHeight="1">
      <c r="A101" s="678" t="s">
        <v>283</v>
      </c>
      <c r="B101" s="683">
        <f>C47</f>
        <v>0.05</v>
      </c>
      <c r="C101" s="683"/>
    </row>
  </sheetData>
  <mergeCells count="7">
    <mergeCell ref="D2:E2"/>
    <mergeCell ref="A2:C2"/>
    <mergeCell ref="B37:C37"/>
    <mergeCell ref="B41:C41"/>
    <mergeCell ref="B42:C42"/>
    <mergeCell ref="B36:C36"/>
    <mergeCell ref="A33:B33"/>
  </mergeCells>
  <printOptions horizontalCentered="1" verticalCentered="1"/>
  <pageMargins left="0.7" right="0.7" top="0.75" bottom="0.75" header="0.3" footer="0.3"/>
  <pageSetup fitToHeight="0" orientation="landscape" horizontalDpi="4294967292" verticalDpi="4294967292" r:id="rId1"/>
  <headerFooter>
    <oddHeader>&amp;C&amp;"Times New Roman Bold,Bold"&amp;14&amp;K000000INVESTOR SHEET</oddHeader>
    <oddFooter>&amp;CPage &amp;P of &amp;N</oddFooter>
  </headerFooter>
  <rowBreaks count="2" manualBreakCount="2">
    <brk id="32" max="4" man="1"/>
    <brk id="71" max="4" man="1"/>
  </rowBreaks>
  <ignoredErrors>
    <ignoredError sqref="C20" formula="1"/>
  </ignoredError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70C0"/>
  </sheetPr>
  <dimension ref="A1:BP598"/>
  <sheetViews>
    <sheetView zoomScale="114" zoomScaleNormal="100" zoomScalePageLayoutView="125" workbookViewId="0">
      <pane xSplit="1" ySplit="3" topLeftCell="B4" activePane="bottomRight" state="frozen"/>
      <selection pane="bottomRight" activeCell="B27" sqref="B27"/>
      <selection pane="bottomLeft" activeCell="A4" sqref="A4"/>
      <selection pane="topRight" activeCell="B1" sqref="B1"/>
    </sheetView>
  </sheetViews>
  <sheetFormatPr defaultColWidth="8.85546875" defaultRowHeight="15"/>
  <cols>
    <col min="1" max="1" width="45.7109375" style="2" customWidth="1"/>
    <col min="2" max="2" width="21.42578125" style="2" customWidth="1"/>
    <col min="3" max="3" width="17.140625" style="2" customWidth="1"/>
    <col min="4" max="4" width="15" style="2" customWidth="1"/>
    <col min="5" max="5" width="17.140625" style="2" customWidth="1"/>
    <col min="6" max="6" width="16" style="2" customWidth="1"/>
    <col min="7" max="7" width="14.42578125" style="78" customWidth="1"/>
    <col min="8" max="8" width="19" style="2" customWidth="1"/>
    <col min="9" max="9" width="18.7109375" style="2" customWidth="1"/>
    <col min="10" max="10" width="15.28515625" style="2" customWidth="1"/>
    <col min="11" max="11" width="16" style="2" customWidth="1"/>
    <col min="12" max="13" width="14.42578125" style="2" customWidth="1"/>
    <col min="14" max="33" width="14.42578125" style="2" hidden="1" customWidth="1"/>
    <col min="34" max="34" width="12.7109375" style="2" hidden="1" customWidth="1"/>
    <col min="35" max="35" width="17" style="2" hidden="1" customWidth="1"/>
    <col min="36" max="36" width="16.42578125" style="2" hidden="1" customWidth="1"/>
    <col min="37" max="37" width="13.28515625" style="2" hidden="1" customWidth="1"/>
    <col min="38" max="38" width="15" style="2" hidden="1" customWidth="1"/>
    <col min="39" max="39" width="20.42578125" style="2" customWidth="1"/>
    <col min="40" max="64" width="17" style="2" customWidth="1"/>
    <col min="65" max="65" width="16.7109375" style="2" customWidth="1"/>
    <col min="66" max="66" width="15" customWidth="1"/>
    <col min="67" max="67" width="17.85546875" bestFit="1" customWidth="1"/>
    <col min="68" max="68" width="9.7109375" style="2" bestFit="1" customWidth="1"/>
    <col min="69" max="69" width="11.85546875" style="2" bestFit="1" customWidth="1"/>
    <col min="70" max="71" width="9.7109375" style="2" bestFit="1" customWidth="1"/>
    <col min="72" max="16384" width="8.85546875" style="2"/>
  </cols>
  <sheetData>
    <row r="1" spans="1:68" ht="15.95" thickBot="1">
      <c r="A1" s="336" t="str">
        <f>'Development Program'!B67</f>
        <v>Mixed Living I</v>
      </c>
      <c r="B1" s="124" t="s">
        <v>284</v>
      </c>
      <c r="C1" s="113" t="str">
        <f>'Development Program'!C66</f>
        <v>Pre-Development</v>
      </c>
      <c r="D1" s="113" t="str">
        <f>'Development Program'!D66</f>
        <v>Demolition</v>
      </c>
      <c r="E1" s="192" t="str">
        <f>'Development Program'!E66</f>
        <v>Construction</v>
      </c>
      <c r="F1" s="684"/>
      <c r="G1" s="193" t="str">
        <f>'Development Program'!F66</f>
        <v>Close-out</v>
      </c>
    </row>
    <row r="2" spans="1:68" ht="15.95" thickBot="1">
      <c r="A2" s="337"/>
      <c r="B2" s="685" t="s">
        <v>285</v>
      </c>
      <c r="C2" s="686" t="str">
        <f>'Development Program'!C67</f>
        <v>01/1/24 to 12/31/24</v>
      </c>
      <c r="D2" s="687"/>
      <c r="E2" s="688" t="str">
        <f>'Development Program'!E67</f>
        <v>1/1/25 to 12/31/27</v>
      </c>
      <c r="F2" s="689"/>
      <c r="G2" s="690" t="str">
        <f>'Development Program'!F67</f>
        <v>1/1/28 to 6/30/28</v>
      </c>
      <c r="H2" s="132" t="s">
        <v>286</v>
      </c>
      <c r="I2" s="132" t="s">
        <v>287</v>
      </c>
      <c r="K2" s="132" t="s">
        <v>288</v>
      </c>
      <c r="M2" s="133" t="s">
        <v>289</v>
      </c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M2" s="133" t="s">
        <v>290</v>
      </c>
      <c r="AN2" s="691"/>
      <c r="AO2" s="691"/>
    </row>
    <row r="3" spans="1:68" ht="15.95" thickBot="1">
      <c r="A3" s="692"/>
      <c r="B3" s="81" t="s">
        <v>291</v>
      </c>
      <c r="C3" s="693">
        <v>2024</v>
      </c>
      <c r="D3" s="693">
        <v>2025</v>
      </c>
      <c r="E3" s="693">
        <v>2026</v>
      </c>
      <c r="F3" s="693">
        <v>2027</v>
      </c>
      <c r="G3" s="693">
        <v>2028</v>
      </c>
      <c r="H3" s="693">
        <v>2029</v>
      </c>
      <c r="I3" s="693">
        <v>2030</v>
      </c>
      <c r="J3" s="693">
        <v>2031</v>
      </c>
      <c r="K3" s="693">
        <v>2032</v>
      </c>
      <c r="L3" s="693">
        <v>2033</v>
      </c>
      <c r="M3" s="693">
        <v>2034</v>
      </c>
      <c r="N3" s="694">
        <v>49310</v>
      </c>
      <c r="O3" s="694">
        <v>49675</v>
      </c>
      <c r="P3" s="694">
        <v>50041</v>
      </c>
      <c r="Q3" s="694">
        <v>50406</v>
      </c>
      <c r="R3" s="694">
        <v>50771</v>
      </c>
      <c r="S3" s="694">
        <v>51136</v>
      </c>
      <c r="T3" s="694">
        <v>51502</v>
      </c>
      <c r="U3" s="694">
        <v>51867</v>
      </c>
      <c r="V3" s="694">
        <v>52232</v>
      </c>
      <c r="W3" s="694">
        <v>52597</v>
      </c>
      <c r="X3" s="694">
        <v>52963</v>
      </c>
      <c r="Y3" s="694">
        <v>53328</v>
      </c>
      <c r="Z3" s="694">
        <v>53693</v>
      </c>
      <c r="AA3" s="694">
        <v>54058</v>
      </c>
      <c r="AB3" s="694">
        <v>54424</v>
      </c>
      <c r="AC3" s="694">
        <v>54789</v>
      </c>
      <c r="AD3" s="694">
        <v>55154</v>
      </c>
      <c r="AE3" s="694">
        <v>55519</v>
      </c>
      <c r="AF3" s="694">
        <v>55885</v>
      </c>
      <c r="AG3" s="694">
        <v>56250</v>
      </c>
      <c r="AH3" s="694">
        <v>56615</v>
      </c>
      <c r="AI3" s="694">
        <v>56980</v>
      </c>
      <c r="AJ3" s="694">
        <v>57346</v>
      </c>
      <c r="AK3" s="694">
        <v>57711</v>
      </c>
      <c r="AL3" s="694">
        <v>58076</v>
      </c>
      <c r="AM3" s="694">
        <v>49310</v>
      </c>
      <c r="AN3" s="695" t="s">
        <v>292</v>
      </c>
      <c r="AO3" s="696" t="s">
        <v>293</v>
      </c>
      <c r="AP3" s="695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P3"/>
    </row>
    <row r="4" spans="1:68" ht="15.95" thickBot="1">
      <c r="A4" s="697" t="s">
        <v>294</v>
      </c>
      <c r="B4" s="698">
        <v>1</v>
      </c>
      <c r="C4" s="129">
        <v>0</v>
      </c>
      <c r="D4" s="129">
        <v>0.05</v>
      </c>
      <c r="E4" s="129">
        <v>0.2</v>
      </c>
      <c r="F4" s="129">
        <f t="shared" ref="F4:G4" si="0">E4</f>
        <v>0.2</v>
      </c>
      <c r="G4" s="699">
        <f t="shared" si="0"/>
        <v>0.2</v>
      </c>
      <c r="H4" s="699">
        <v>0</v>
      </c>
      <c r="I4" s="699">
        <v>0.05</v>
      </c>
      <c r="J4" s="699">
        <v>0.12</v>
      </c>
      <c r="K4" s="699">
        <v>0</v>
      </c>
      <c r="L4" s="699">
        <v>0.08</v>
      </c>
      <c r="M4" s="699">
        <v>0</v>
      </c>
      <c r="N4" s="699">
        <v>0</v>
      </c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/>
      <c r="Z4" s="129"/>
      <c r="AA4" s="129"/>
      <c r="AB4" s="129"/>
      <c r="AC4" s="129"/>
      <c r="AD4" s="129"/>
      <c r="AE4" s="129"/>
      <c r="AF4" s="129"/>
      <c r="AG4" s="129"/>
      <c r="AH4" s="129"/>
      <c r="AI4" s="129"/>
      <c r="AJ4" s="129"/>
      <c r="AK4" s="129"/>
      <c r="AL4" s="129"/>
      <c r="AM4" s="129"/>
      <c r="AN4" s="700">
        <f>SUM(C4:AM4)</f>
        <v>0.9</v>
      </c>
      <c r="AO4" s="701"/>
      <c r="AP4" s="702" t="s">
        <v>295</v>
      </c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P4"/>
    </row>
    <row r="5" spans="1:68">
      <c r="A5" s="87" t="str">
        <f>' Phase I Financial'!A50</f>
        <v>Hard Costs for Construction</v>
      </c>
      <c r="B5" s="703">
        <f>' Phase I Financial'!C50</f>
        <v>348634755</v>
      </c>
      <c r="C5" s="704">
        <f>$B$5*C4</f>
        <v>0</v>
      </c>
      <c r="D5" s="704">
        <f t="shared" ref="C5:M5" si="1">$B$5*D4</f>
        <v>17431737.75</v>
      </c>
      <c r="E5" s="704">
        <f t="shared" si="1"/>
        <v>69726951</v>
      </c>
      <c r="F5" s="704">
        <f t="shared" si="1"/>
        <v>69726951</v>
      </c>
      <c r="G5" s="704">
        <f t="shared" si="1"/>
        <v>69726951</v>
      </c>
      <c r="H5" s="704">
        <f t="shared" si="1"/>
        <v>0</v>
      </c>
      <c r="I5" s="704">
        <f t="shared" si="1"/>
        <v>17431737.75</v>
      </c>
      <c r="J5" s="704">
        <f t="shared" si="1"/>
        <v>41836170.600000001</v>
      </c>
      <c r="K5" s="704">
        <f t="shared" si="1"/>
        <v>0</v>
      </c>
      <c r="L5" s="704">
        <f t="shared" si="1"/>
        <v>27890780.400000002</v>
      </c>
      <c r="M5" s="704">
        <f t="shared" si="1"/>
        <v>0</v>
      </c>
      <c r="N5" s="704">
        <f>$B$5*N4</f>
        <v>0</v>
      </c>
      <c r="O5" s="705"/>
      <c r="P5" s="705"/>
      <c r="Q5" s="705"/>
      <c r="R5" s="705"/>
      <c r="S5" s="705"/>
      <c r="T5" s="705"/>
      <c r="U5" s="705"/>
      <c r="V5" s="705"/>
      <c r="W5" s="705"/>
      <c r="X5" s="705"/>
      <c r="Y5" s="705"/>
      <c r="Z5" s="705"/>
      <c r="AA5" s="705"/>
      <c r="AB5" s="705"/>
      <c r="AC5" s="705"/>
      <c r="AD5" s="705"/>
      <c r="AE5" s="705"/>
      <c r="AF5" s="705"/>
      <c r="AG5" s="705"/>
      <c r="AH5" s="705"/>
      <c r="AI5" s="705"/>
      <c r="AJ5" s="705"/>
      <c r="AK5" s="705"/>
      <c r="AL5" s="705"/>
      <c r="AM5" s="705"/>
      <c r="AN5" s="705">
        <f>SUM(C5:AM5)</f>
        <v>313771279.5</v>
      </c>
      <c r="AO5" s="705">
        <f t="shared" ref="AO5:AO23" si="2">B5</f>
        <v>348634755</v>
      </c>
      <c r="AP5" s="705">
        <f>AO5-AN5</f>
        <v>34863475.5</v>
      </c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P5"/>
    </row>
    <row r="6" spans="1:68">
      <c r="A6" s="87" t="str">
        <f>' Phase I Financial'!A51</f>
        <v>Parking stalls</v>
      </c>
      <c r="B6" s="703">
        <f>' Phase I Financial'!C51</f>
        <v>4225000</v>
      </c>
      <c r="C6" s="704">
        <f>$B$6*C4</f>
        <v>0</v>
      </c>
      <c r="D6" s="704">
        <f t="shared" ref="D6:M6" si="3">$B$6*D4</f>
        <v>211250</v>
      </c>
      <c r="E6" s="704">
        <f t="shared" si="3"/>
        <v>845000</v>
      </c>
      <c r="F6" s="704">
        <f t="shared" si="3"/>
        <v>845000</v>
      </c>
      <c r="G6" s="704">
        <f t="shared" si="3"/>
        <v>845000</v>
      </c>
      <c r="H6" s="704">
        <f t="shared" si="3"/>
        <v>0</v>
      </c>
      <c r="I6" s="704">
        <f t="shared" si="3"/>
        <v>211250</v>
      </c>
      <c r="J6" s="704">
        <f t="shared" si="3"/>
        <v>507000</v>
      </c>
      <c r="K6" s="704">
        <f t="shared" si="3"/>
        <v>0</v>
      </c>
      <c r="L6" s="704">
        <f t="shared" si="3"/>
        <v>338000</v>
      </c>
      <c r="M6" s="704">
        <f t="shared" si="3"/>
        <v>0</v>
      </c>
      <c r="N6" s="704">
        <f>$B$6*N4</f>
        <v>0</v>
      </c>
      <c r="O6" s="705"/>
      <c r="P6" s="705"/>
      <c r="Q6" s="705"/>
      <c r="R6" s="705"/>
      <c r="S6" s="705"/>
      <c r="T6" s="705"/>
      <c r="U6" s="705"/>
      <c r="V6" s="705"/>
      <c r="W6" s="705"/>
      <c r="X6" s="705"/>
      <c r="Y6" s="705"/>
      <c r="Z6" s="705"/>
      <c r="AA6" s="705"/>
      <c r="AB6" s="705"/>
      <c r="AC6" s="705"/>
      <c r="AD6" s="705"/>
      <c r="AE6" s="705"/>
      <c r="AF6" s="705"/>
      <c r="AG6" s="705"/>
      <c r="AH6" s="705"/>
      <c r="AI6" s="705"/>
      <c r="AJ6" s="705"/>
      <c r="AK6" s="705"/>
      <c r="AL6" s="705"/>
      <c r="AM6" s="705"/>
      <c r="AN6" s="705">
        <f>SUM(C6:AM6)</f>
        <v>3802500</v>
      </c>
      <c r="AO6" s="705">
        <f t="shared" si="2"/>
        <v>4225000</v>
      </c>
      <c r="AP6" s="705">
        <f t="shared" ref="AP6:AP23" si="4">AO6-AN6</f>
        <v>422500</v>
      </c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P6"/>
    </row>
    <row r="7" spans="1:68">
      <c r="A7" s="87" t="str">
        <f>' Phase I Financial'!A52</f>
        <v>Hard Cost Contingency</v>
      </c>
      <c r="B7" s="703">
        <f>' Phase I Financial'!C52</f>
        <v>17431737.75</v>
      </c>
      <c r="C7" s="704">
        <f t="shared" ref="C7:K7" si="5">$B7*C$4</f>
        <v>0</v>
      </c>
      <c r="D7" s="704">
        <f t="shared" si="5"/>
        <v>871586.88750000007</v>
      </c>
      <c r="E7" s="704">
        <f t="shared" si="5"/>
        <v>3486347.5500000003</v>
      </c>
      <c r="F7" s="704">
        <f t="shared" si="5"/>
        <v>3486347.5500000003</v>
      </c>
      <c r="G7" s="704">
        <f t="shared" si="5"/>
        <v>3486347.5500000003</v>
      </c>
      <c r="H7" s="704">
        <f t="shared" si="5"/>
        <v>0</v>
      </c>
      <c r="I7" s="704">
        <f t="shared" si="5"/>
        <v>871586.88750000007</v>
      </c>
      <c r="J7" s="704">
        <f t="shared" si="5"/>
        <v>2091808.53</v>
      </c>
      <c r="K7" s="704">
        <f t="shared" si="5"/>
        <v>0</v>
      </c>
      <c r="L7" s="704">
        <f t="shared" ref="L7:M7" si="6">$B7*L$4</f>
        <v>1394539.02</v>
      </c>
      <c r="M7" s="704">
        <f t="shared" si="6"/>
        <v>0</v>
      </c>
      <c r="N7" s="704">
        <f>$B7*N$4</f>
        <v>0</v>
      </c>
      <c r="O7" s="705"/>
      <c r="P7" s="705"/>
      <c r="Q7" s="705"/>
      <c r="R7" s="705"/>
      <c r="S7" s="705"/>
      <c r="T7" s="705"/>
      <c r="U7" s="705"/>
      <c r="V7" s="705"/>
      <c r="W7" s="705"/>
      <c r="X7" s="705"/>
      <c r="Y7" s="705"/>
      <c r="Z7" s="705"/>
      <c r="AA7" s="705"/>
      <c r="AB7" s="705"/>
      <c r="AC7" s="705"/>
      <c r="AD7" s="705"/>
      <c r="AE7" s="705"/>
      <c r="AF7" s="705"/>
      <c r="AG7" s="705"/>
      <c r="AH7" s="705"/>
      <c r="AI7" s="705"/>
      <c r="AJ7" s="705"/>
      <c r="AK7" s="705"/>
      <c r="AL7" s="705"/>
      <c r="AM7" s="705"/>
      <c r="AN7" s="705">
        <f>SUM(C7:AM7)</f>
        <v>15688563.975</v>
      </c>
      <c r="AO7" s="705">
        <f t="shared" si="2"/>
        <v>17431737.75</v>
      </c>
      <c r="AP7" s="705">
        <f t="shared" si="4"/>
        <v>1743173.7750000004</v>
      </c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P7"/>
    </row>
    <row r="8" spans="1:68">
      <c r="A8" s="87" t="str">
        <f>' Phase I Financial'!A53</f>
        <v>Demolition</v>
      </c>
      <c r="B8" s="703">
        <f>' Phase I Financial'!C53</f>
        <v>80000</v>
      </c>
      <c r="C8" s="704"/>
      <c r="D8" s="704"/>
      <c r="E8" s="704"/>
      <c r="F8" s="704"/>
      <c r="G8" s="704"/>
      <c r="H8" s="704"/>
      <c r="I8" s="704"/>
      <c r="J8" s="704"/>
      <c r="K8" s="704"/>
      <c r="L8" s="704"/>
      <c r="M8" s="704"/>
      <c r="N8" s="704"/>
      <c r="O8" s="705"/>
      <c r="P8" s="705"/>
      <c r="Q8" s="705"/>
      <c r="R8" s="705"/>
      <c r="S8" s="705"/>
      <c r="T8" s="705"/>
      <c r="U8" s="705"/>
      <c r="V8" s="705"/>
      <c r="W8" s="705"/>
      <c r="X8" s="705"/>
      <c r="Y8" s="705"/>
      <c r="Z8" s="705"/>
      <c r="AA8" s="705"/>
      <c r="AB8" s="705"/>
      <c r="AC8" s="705"/>
      <c r="AD8" s="705"/>
      <c r="AE8" s="705"/>
      <c r="AF8" s="705"/>
      <c r="AG8" s="705"/>
      <c r="AH8" s="705"/>
      <c r="AI8" s="705"/>
      <c r="AJ8" s="705"/>
      <c r="AK8" s="705"/>
      <c r="AL8" s="705"/>
      <c r="AM8" s="705"/>
      <c r="AN8" s="705">
        <f>SUM(C8:AM8)</f>
        <v>0</v>
      </c>
      <c r="AO8" s="705">
        <f t="shared" si="2"/>
        <v>80000</v>
      </c>
      <c r="AP8" s="705">
        <f t="shared" si="4"/>
        <v>80000</v>
      </c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P8"/>
    </row>
    <row r="9" spans="1:68">
      <c r="A9" s="87" t="str">
        <f>' Phase I Financial'!A54</f>
        <v>LAND</v>
      </c>
      <c r="B9" s="703">
        <f>' Phase I Financial'!C54</f>
        <v>37000000</v>
      </c>
      <c r="C9" s="130"/>
      <c r="D9" s="706"/>
      <c r="E9" s="704">
        <v>400000</v>
      </c>
      <c r="F9" s="704"/>
      <c r="G9" s="707"/>
      <c r="H9" s="707"/>
      <c r="I9" s="704">
        <f>$B9-$E9</f>
        <v>36600000</v>
      </c>
      <c r="J9" s="706"/>
      <c r="K9" s="706"/>
      <c r="L9" s="706">
        <v>0</v>
      </c>
      <c r="M9" s="706">
        <v>0</v>
      </c>
      <c r="N9" s="706">
        <v>0</v>
      </c>
      <c r="O9" s="708"/>
      <c r="P9" s="708"/>
      <c r="Q9" s="708"/>
      <c r="R9" s="708"/>
      <c r="S9" s="708"/>
      <c r="T9" s="708"/>
      <c r="U9" s="708"/>
      <c r="V9" s="708"/>
      <c r="W9" s="708"/>
      <c r="X9" s="708"/>
      <c r="Y9" s="708"/>
      <c r="Z9" s="708"/>
      <c r="AA9" s="708"/>
      <c r="AB9" s="708"/>
      <c r="AC9" s="708"/>
      <c r="AD9" s="708"/>
      <c r="AE9" s="708"/>
      <c r="AF9" s="708"/>
      <c r="AG9" s="708"/>
      <c r="AH9" s="708"/>
      <c r="AI9" s="708"/>
      <c r="AJ9" s="708"/>
      <c r="AK9" s="708"/>
      <c r="AL9" s="708"/>
      <c r="AM9" s="708"/>
      <c r="AN9" s="705">
        <f>SUM(D9:AM9)</f>
        <v>37000000</v>
      </c>
      <c r="AO9" s="705">
        <f t="shared" si="2"/>
        <v>37000000</v>
      </c>
      <c r="AP9" s="705">
        <f t="shared" si="4"/>
        <v>0</v>
      </c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P9"/>
    </row>
    <row r="10" spans="1:68">
      <c r="A10" s="87" t="str">
        <f>' Phase I Financial'!A55</f>
        <v>Legal</v>
      </c>
      <c r="B10" s="703">
        <f>' Phase I Financial'!C55</f>
        <v>400000</v>
      </c>
      <c r="C10" s="709"/>
      <c r="D10" s="709"/>
      <c r="E10" s="704">
        <v>100000</v>
      </c>
      <c r="F10" s="704">
        <v>100000</v>
      </c>
      <c r="G10" s="704">
        <v>50000</v>
      </c>
      <c r="H10" s="704">
        <v>50000</v>
      </c>
      <c r="I10" s="704">
        <v>50000</v>
      </c>
      <c r="J10" s="708"/>
      <c r="K10" s="708"/>
      <c r="L10" s="708"/>
      <c r="M10" s="706"/>
      <c r="N10" s="706"/>
      <c r="O10" s="708"/>
      <c r="P10" s="708"/>
      <c r="Q10" s="708"/>
      <c r="R10" s="708"/>
      <c r="S10" s="708"/>
      <c r="T10" s="708"/>
      <c r="U10" s="708"/>
      <c r="V10" s="708"/>
      <c r="W10" s="708"/>
      <c r="X10" s="708"/>
      <c r="Y10" s="708"/>
      <c r="Z10" s="708"/>
      <c r="AA10" s="708"/>
      <c r="AB10" s="708"/>
      <c r="AC10" s="708"/>
      <c r="AD10" s="708"/>
      <c r="AE10" s="708"/>
      <c r="AF10" s="708"/>
      <c r="AG10" s="708"/>
      <c r="AH10" s="708"/>
      <c r="AI10" s="708"/>
      <c r="AJ10" s="708"/>
      <c r="AK10" s="708"/>
      <c r="AL10" s="708"/>
      <c r="AM10" s="708"/>
      <c r="AN10" s="705">
        <f t="shared" ref="AN10:AN23" si="7">SUM(C10:AM10)</f>
        <v>350000</v>
      </c>
      <c r="AO10" s="705">
        <f t="shared" si="2"/>
        <v>400000</v>
      </c>
      <c r="AP10" s="705">
        <f t="shared" si="4"/>
        <v>50000</v>
      </c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P10"/>
    </row>
    <row r="11" spans="1:68">
      <c r="A11" s="87" t="str">
        <f>' Phase I Financial'!A56</f>
        <v>Land Closing Costs/commissions</v>
      </c>
      <c r="B11" s="703">
        <f>' Phase I Financial'!C56</f>
        <v>600000</v>
      </c>
      <c r="C11" s="710"/>
      <c r="D11" s="704"/>
      <c r="E11" s="704"/>
      <c r="F11" s="704"/>
      <c r="G11" s="130"/>
      <c r="H11" s="704">
        <f>B11</f>
        <v>600000</v>
      </c>
      <c r="I11" s="704"/>
      <c r="J11" s="704"/>
      <c r="K11" s="704"/>
      <c r="L11" s="704"/>
      <c r="M11" s="704"/>
      <c r="N11" s="704"/>
      <c r="O11" s="705"/>
      <c r="P11" s="705"/>
      <c r="Q11" s="705"/>
      <c r="R11" s="705"/>
      <c r="S11" s="705"/>
      <c r="T11" s="705"/>
      <c r="U11" s="705"/>
      <c r="V11" s="705"/>
      <c r="W11" s="705"/>
      <c r="X11" s="705"/>
      <c r="Y11" s="705"/>
      <c r="Z11" s="705"/>
      <c r="AA11" s="705"/>
      <c r="AB11" s="705"/>
      <c r="AC11" s="705"/>
      <c r="AD11" s="705"/>
      <c r="AE11" s="705"/>
      <c r="AF11" s="705"/>
      <c r="AG11" s="705"/>
      <c r="AH11" s="705"/>
      <c r="AI11" s="705"/>
      <c r="AJ11" s="705"/>
      <c r="AK11" s="705"/>
      <c r="AL11" s="705"/>
      <c r="AM11" s="705"/>
      <c r="AN11" s="705">
        <f t="shared" si="7"/>
        <v>600000</v>
      </c>
      <c r="AO11" s="705">
        <f t="shared" si="2"/>
        <v>600000</v>
      </c>
      <c r="AP11" s="705">
        <f t="shared" si="4"/>
        <v>0</v>
      </c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P11"/>
    </row>
    <row r="12" spans="1:68">
      <c r="A12" s="87" t="str">
        <f>' Phase I Financial'!A57</f>
        <v xml:space="preserve">Design </v>
      </c>
      <c r="B12" s="703">
        <f>' Phase I Financial'!C57</f>
        <v>14642659.710000001</v>
      </c>
      <c r="C12" s="704"/>
      <c r="D12" s="704"/>
      <c r="E12" s="704">
        <f>0.3*$B12</f>
        <v>4392797.9129999997</v>
      </c>
      <c r="F12" s="704">
        <f>0.3*$B12</f>
        <v>4392797.9129999997</v>
      </c>
      <c r="G12" s="704">
        <f>0.1*$B12</f>
        <v>1464265.9710000001</v>
      </c>
      <c r="H12" s="704">
        <f>0.1*$B12</f>
        <v>1464265.9710000001</v>
      </c>
      <c r="I12" s="704">
        <f>0.05*$B12</f>
        <v>732132.98550000007</v>
      </c>
      <c r="J12" s="704">
        <f t="shared" ref="J12:K12" si="8">0.01*$B12</f>
        <v>146426.59710000001</v>
      </c>
      <c r="K12" s="704">
        <f t="shared" si="8"/>
        <v>146426.59710000001</v>
      </c>
      <c r="L12" s="704"/>
      <c r="M12" s="704"/>
      <c r="N12" s="704"/>
      <c r="O12" s="705"/>
      <c r="P12" s="705"/>
      <c r="Q12" s="705"/>
      <c r="R12" s="705"/>
      <c r="S12" s="705"/>
      <c r="T12" s="705"/>
      <c r="U12" s="705"/>
      <c r="V12" s="705"/>
      <c r="W12" s="705"/>
      <c r="X12" s="705"/>
      <c r="Y12" s="705"/>
      <c r="Z12" s="705"/>
      <c r="AA12" s="705"/>
      <c r="AB12" s="705"/>
      <c r="AC12" s="705"/>
      <c r="AD12" s="705"/>
      <c r="AE12" s="705"/>
      <c r="AF12" s="705"/>
      <c r="AG12" s="705"/>
      <c r="AH12" s="705"/>
      <c r="AI12" s="705"/>
      <c r="AJ12" s="705"/>
      <c r="AK12" s="705"/>
      <c r="AL12" s="705"/>
      <c r="AM12" s="705"/>
      <c r="AN12" s="705">
        <f t="shared" si="7"/>
        <v>12739113.947700003</v>
      </c>
      <c r="AO12" s="705">
        <f t="shared" si="2"/>
        <v>14642659.710000001</v>
      </c>
      <c r="AP12" s="705">
        <f t="shared" si="4"/>
        <v>1903545.7622999977</v>
      </c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P12"/>
    </row>
    <row r="13" spans="1:68">
      <c r="A13" s="87" t="str">
        <f>' Phase I Financial'!A58</f>
        <v>Developer Fee</v>
      </c>
      <c r="B13" s="703">
        <f>' Phase I Financial'!C58</f>
        <v>12690424.573799999</v>
      </c>
      <c r="C13" s="704">
        <f>$B13*C$4</f>
        <v>0</v>
      </c>
      <c r="D13" s="704">
        <f>$B13*D4</f>
        <v>634521.22869000002</v>
      </c>
      <c r="E13" s="704">
        <f>$B13*E4</f>
        <v>2538084.9147600001</v>
      </c>
      <c r="F13" s="704">
        <f>$B13*F4</f>
        <v>2538084.9147600001</v>
      </c>
      <c r="G13" s="704">
        <f>$B13*G4</f>
        <v>2538084.9147600001</v>
      </c>
      <c r="H13" s="704"/>
      <c r="I13" s="704">
        <f>$B13/12</f>
        <v>1057535.38115</v>
      </c>
      <c r="J13" s="704">
        <f t="shared" ref="J13:L14" si="9">$B13/12</f>
        <v>1057535.38115</v>
      </c>
      <c r="K13" s="704"/>
      <c r="L13" s="704">
        <f t="shared" si="9"/>
        <v>1057535.38115</v>
      </c>
      <c r="M13" s="704"/>
      <c r="N13" s="704"/>
      <c r="O13" s="705"/>
      <c r="P13" s="705"/>
      <c r="Q13" s="705"/>
      <c r="R13" s="705"/>
      <c r="S13" s="705"/>
      <c r="T13" s="705"/>
      <c r="U13" s="705"/>
      <c r="V13" s="705"/>
      <c r="W13" s="705"/>
      <c r="X13" s="705"/>
      <c r="Y13" s="705"/>
      <c r="Z13" s="705"/>
      <c r="AA13" s="705"/>
      <c r="AB13" s="705"/>
      <c r="AC13" s="705"/>
      <c r="AD13" s="705"/>
      <c r="AE13" s="705"/>
      <c r="AF13" s="705"/>
      <c r="AG13" s="705"/>
      <c r="AH13" s="705"/>
      <c r="AI13" s="705"/>
      <c r="AJ13" s="705"/>
      <c r="AK13" s="705"/>
      <c r="AL13" s="705"/>
      <c r="AM13" s="705"/>
      <c r="AN13" s="705">
        <f t="shared" si="7"/>
        <v>11421382.116420001</v>
      </c>
      <c r="AO13" s="705">
        <f t="shared" si="2"/>
        <v>12690424.573799999</v>
      </c>
      <c r="AP13" s="705">
        <f t="shared" si="4"/>
        <v>1269042.4573799986</v>
      </c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P13"/>
    </row>
    <row r="14" spans="1:68">
      <c r="A14" s="87" t="str">
        <f>' Phase I Financial'!A59</f>
        <v>Construction Management Fee</v>
      </c>
      <c r="B14" s="703">
        <f>' Phase I Financial'!C59</f>
        <v>7321329.8550000004</v>
      </c>
      <c r="C14" s="704">
        <f>$B14*C$4</f>
        <v>0</v>
      </c>
      <c r="D14" s="704">
        <f t="shared" ref="D14:G14" si="10">$B14*D$4</f>
        <v>366066.49275000003</v>
      </c>
      <c r="E14" s="704">
        <f t="shared" si="10"/>
        <v>1464265.9710000001</v>
      </c>
      <c r="F14" s="704">
        <f t="shared" si="10"/>
        <v>1464265.9710000001</v>
      </c>
      <c r="G14" s="704">
        <f t="shared" si="10"/>
        <v>1464265.9710000001</v>
      </c>
      <c r="H14" s="704"/>
      <c r="I14" s="704">
        <f>$B14/12</f>
        <v>610110.82125000004</v>
      </c>
      <c r="J14" s="704">
        <f t="shared" si="9"/>
        <v>610110.82125000004</v>
      </c>
      <c r="K14" s="704"/>
      <c r="L14" s="704">
        <f t="shared" si="9"/>
        <v>610110.82125000004</v>
      </c>
      <c r="M14" s="704"/>
      <c r="N14" s="704"/>
      <c r="O14" s="705"/>
      <c r="P14" s="705"/>
      <c r="Q14" s="705"/>
      <c r="R14" s="705"/>
      <c r="S14" s="705"/>
      <c r="T14" s="705"/>
      <c r="U14" s="705"/>
      <c r="V14" s="705"/>
      <c r="W14" s="705"/>
      <c r="X14" s="705"/>
      <c r="Y14" s="705"/>
      <c r="Z14" s="705"/>
      <c r="AA14" s="705"/>
      <c r="AB14" s="705"/>
      <c r="AC14" s="705"/>
      <c r="AD14" s="705"/>
      <c r="AE14" s="705"/>
      <c r="AF14" s="705"/>
      <c r="AG14" s="705"/>
      <c r="AH14" s="705"/>
      <c r="AI14" s="705"/>
      <c r="AJ14" s="705"/>
      <c r="AK14" s="705"/>
      <c r="AL14" s="705"/>
      <c r="AM14" s="705"/>
      <c r="AN14" s="705">
        <f t="shared" si="7"/>
        <v>6589196.8695</v>
      </c>
      <c r="AO14" s="705">
        <f t="shared" si="2"/>
        <v>7321329.8550000004</v>
      </c>
      <c r="AP14" s="705">
        <f t="shared" si="4"/>
        <v>732132.98550000042</v>
      </c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P14"/>
    </row>
    <row r="15" spans="1:68">
      <c r="A15" s="87" t="str">
        <f>' Phase I Financial'!A60</f>
        <v>Taxes</v>
      </c>
      <c r="B15" s="703">
        <f>' Phase I Financial'!C60</f>
        <v>1000000</v>
      </c>
      <c r="C15" s="710"/>
      <c r="D15" s="704"/>
      <c r="E15" s="704"/>
      <c r="F15" s="704"/>
      <c r="G15" s="707"/>
      <c r="H15" s="704">
        <f>$B15/10</f>
        <v>100000</v>
      </c>
      <c r="I15" s="704"/>
      <c r="J15" s="704">
        <f>$B15/6</f>
        <v>166666.66666666666</v>
      </c>
      <c r="K15" s="704"/>
      <c r="L15" s="704">
        <v>383333</v>
      </c>
      <c r="M15" s="704"/>
      <c r="N15" s="704"/>
      <c r="O15" s="705"/>
      <c r="P15" s="705"/>
      <c r="Q15" s="705"/>
      <c r="R15" s="705"/>
      <c r="S15" s="705"/>
      <c r="T15" s="705"/>
      <c r="U15" s="705"/>
      <c r="V15" s="705"/>
      <c r="W15" s="705"/>
      <c r="X15" s="705"/>
      <c r="Y15" s="705"/>
      <c r="Z15" s="705"/>
      <c r="AA15" s="705"/>
      <c r="AB15" s="705"/>
      <c r="AC15" s="705"/>
      <c r="AD15" s="705"/>
      <c r="AE15" s="705"/>
      <c r="AF15" s="705"/>
      <c r="AG15" s="705"/>
      <c r="AH15" s="705"/>
      <c r="AI15" s="705"/>
      <c r="AJ15" s="705"/>
      <c r="AL15" s="705"/>
      <c r="AM15" s="705"/>
      <c r="AN15" s="705">
        <f t="shared" si="7"/>
        <v>649999.66666666663</v>
      </c>
      <c r="AO15" s="705">
        <f t="shared" si="2"/>
        <v>1000000</v>
      </c>
      <c r="AP15" s="705">
        <f t="shared" si="4"/>
        <v>350000.33333333337</v>
      </c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P15"/>
    </row>
    <row r="16" spans="1:68">
      <c r="A16" s="87" t="str">
        <f>' Phase I Financial'!A61</f>
        <v>Insurance</v>
      </c>
      <c r="B16" s="703">
        <f>' Phase I Financial'!C61</f>
        <v>1680000</v>
      </c>
      <c r="C16" s="710"/>
      <c r="D16" s="707"/>
      <c r="E16" s="707"/>
      <c r="F16" s="704"/>
      <c r="G16" s="704"/>
      <c r="H16" s="704"/>
      <c r="I16" s="704">
        <v>10000</v>
      </c>
      <c r="J16" s="704"/>
      <c r="K16" s="135"/>
      <c r="L16" s="130"/>
      <c r="M16" s="704"/>
      <c r="N16" s="704">
        <f>$B16-SUM(C16:M16)</f>
        <v>1670000</v>
      </c>
      <c r="O16" s="705"/>
      <c r="P16" s="705"/>
      <c r="Q16" s="705"/>
      <c r="R16" s="705"/>
      <c r="S16" s="705"/>
      <c r="T16" s="705"/>
      <c r="U16" s="705"/>
      <c r="V16" s="705"/>
      <c r="W16" s="705"/>
      <c r="X16" s="705"/>
      <c r="Y16" s="705"/>
      <c r="Z16" s="705"/>
      <c r="AA16" s="705"/>
      <c r="AB16" s="705"/>
      <c r="AC16" s="705"/>
      <c r="AD16" s="705"/>
      <c r="AE16" s="705"/>
      <c r="AF16" s="705"/>
      <c r="AG16" s="705"/>
      <c r="AH16" s="705"/>
      <c r="AI16" s="705"/>
      <c r="AJ16" s="705"/>
      <c r="AK16" s="705"/>
      <c r="AL16" s="705"/>
      <c r="AM16" s="705"/>
      <c r="AN16" s="705">
        <f t="shared" si="7"/>
        <v>1680000</v>
      </c>
      <c r="AO16" s="705">
        <f t="shared" si="2"/>
        <v>1680000</v>
      </c>
      <c r="AP16" s="705">
        <f t="shared" si="4"/>
        <v>0</v>
      </c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P16"/>
    </row>
    <row r="17" spans="1:68">
      <c r="A17" s="87" t="str">
        <f>' Phase I Financial'!A62</f>
        <v>Marketing, FFE and Preleasing</v>
      </c>
      <c r="B17" s="703">
        <f>' Phase I Financial'!C62</f>
        <v>830000</v>
      </c>
      <c r="C17" s="710"/>
      <c r="D17" s="704"/>
      <c r="E17" s="704"/>
      <c r="F17" s="704"/>
      <c r="G17" s="704"/>
      <c r="H17" s="704"/>
      <c r="I17" s="704"/>
      <c r="J17" s="704"/>
      <c r="K17" s="704"/>
      <c r="L17" s="704">
        <f>$B17/2</f>
        <v>415000</v>
      </c>
      <c r="M17" s="704"/>
      <c r="N17" s="704"/>
      <c r="O17" s="705"/>
      <c r="P17" s="705"/>
      <c r="Q17" s="705"/>
      <c r="R17" s="705"/>
      <c r="S17" s="705"/>
      <c r="T17" s="705"/>
      <c r="U17" s="705"/>
      <c r="V17" s="705"/>
      <c r="W17" s="705"/>
      <c r="X17" s="705"/>
      <c r="Y17" s="705"/>
      <c r="Z17" s="705"/>
      <c r="AA17" s="705"/>
      <c r="AB17" s="705"/>
      <c r="AC17" s="705"/>
      <c r="AD17" s="705"/>
      <c r="AE17" s="705"/>
      <c r="AF17" s="705"/>
      <c r="AG17" s="705"/>
      <c r="AH17" s="705"/>
      <c r="AI17" s="705"/>
      <c r="AJ17" s="705"/>
      <c r="AK17" s="429"/>
      <c r="AL17" s="429"/>
      <c r="AM17" s="429"/>
      <c r="AN17" s="705">
        <f t="shared" si="7"/>
        <v>415000</v>
      </c>
      <c r="AO17" s="705">
        <f t="shared" si="2"/>
        <v>830000</v>
      </c>
      <c r="AP17" s="705">
        <f t="shared" si="4"/>
        <v>415000</v>
      </c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P17"/>
    </row>
    <row r="18" spans="1:68">
      <c r="A18" s="87" t="str">
        <f>' Phase I Financial'!A63</f>
        <v>Operating Deficit</v>
      </c>
      <c r="B18" s="703">
        <f>' Phase I Financial'!C63</f>
        <v>4905618.3</v>
      </c>
      <c r="C18" s="710"/>
      <c r="D18" s="704"/>
      <c r="E18" s="704"/>
      <c r="F18" s="704"/>
      <c r="G18" s="704"/>
      <c r="H18" s="704"/>
      <c r="I18" s="704"/>
      <c r="J18" s="704"/>
      <c r="K18" s="704"/>
      <c r="L18" s="704"/>
      <c r="M18" s="711">
        <f>(' Phase I Financial'!$D$46+'Phase I DRAW'!$B30)/4</f>
        <v>1084596.867997882</v>
      </c>
      <c r="N18" s="711">
        <f>((' Phase I Financial'!$D$46+'Phase I DRAW'!$B30)/4)-155451</f>
        <v>929145.86799788196</v>
      </c>
      <c r="O18" s="429"/>
      <c r="P18" s="429"/>
      <c r="Q18" s="429"/>
      <c r="R18" s="429"/>
      <c r="S18" s="429"/>
      <c r="T18" s="429"/>
      <c r="U18" s="429"/>
      <c r="V18" s="429"/>
      <c r="W18" s="429"/>
      <c r="X18" s="429"/>
      <c r="Y18" s="429"/>
      <c r="Z18" s="429"/>
      <c r="AA18" s="429"/>
      <c r="AB18" s="429"/>
      <c r="AC18" s="429"/>
      <c r="AD18" s="429"/>
      <c r="AE18" s="429"/>
      <c r="AF18" s="429"/>
      <c r="AG18" s="429"/>
      <c r="AH18" s="429"/>
      <c r="AI18" s="705"/>
      <c r="AJ18" s="705"/>
      <c r="AK18" s="705"/>
      <c r="AL18" s="705"/>
      <c r="AM18" s="712"/>
      <c r="AN18" s="705">
        <f t="shared" si="7"/>
        <v>2013742.7359957639</v>
      </c>
      <c r="AO18" s="705">
        <f t="shared" si="2"/>
        <v>4905618.3</v>
      </c>
      <c r="AP18" s="705">
        <f t="shared" si="4"/>
        <v>2891875.5640042359</v>
      </c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P18"/>
    </row>
    <row r="19" spans="1:68">
      <c r="A19" s="87" t="str">
        <f>' Phase I Financial'!A64</f>
        <v>Retail Tenant Improvements</v>
      </c>
      <c r="B19" s="703">
        <f>' Phase I Financial'!C64</f>
        <v>61061400</v>
      </c>
      <c r="C19" s="710"/>
      <c r="D19" s="704"/>
      <c r="E19" s="704"/>
      <c r="F19" s="704"/>
      <c r="G19" s="704"/>
      <c r="H19" s="704"/>
      <c r="I19" s="704"/>
      <c r="J19" s="704"/>
      <c r="K19" s="704"/>
      <c r="L19" s="704">
        <f>$B19/2</f>
        <v>30530700</v>
      </c>
      <c r="M19" s="704"/>
      <c r="N19" s="704"/>
      <c r="O19" s="705"/>
      <c r="P19" s="705"/>
      <c r="Q19" s="705"/>
      <c r="R19" s="705"/>
      <c r="S19" s="705"/>
      <c r="T19" s="705"/>
      <c r="U19" s="705"/>
      <c r="V19" s="705"/>
      <c r="W19" s="705"/>
      <c r="X19" s="705"/>
      <c r="Y19" s="705"/>
      <c r="Z19" s="705"/>
      <c r="AA19" s="705"/>
      <c r="AB19" s="705"/>
      <c r="AC19" s="705"/>
      <c r="AD19" s="705"/>
      <c r="AE19" s="705"/>
      <c r="AF19" s="705"/>
      <c r="AG19" s="705"/>
      <c r="AH19" s="705"/>
      <c r="AI19" s="705"/>
      <c r="AJ19" s="705"/>
      <c r="AK19" s="705"/>
      <c r="AL19" s="705"/>
      <c r="AM19" s="705"/>
      <c r="AN19" s="705">
        <f t="shared" si="7"/>
        <v>30530700</v>
      </c>
      <c r="AO19" s="705">
        <f t="shared" si="2"/>
        <v>61061400</v>
      </c>
      <c r="AP19" s="705">
        <f t="shared" si="4"/>
        <v>30530700</v>
      </c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P19"/>
    </row>
    <row r="20" spans="1:68">
      <c r="A20" s="87" t="str">
        <f>' Phase I Financial'!A65</f>
        <v>Retail brokerage</v>
      </c>
      <c r="B20" s="703">
        <f>' Phase I Financial'!C65</f>
        <v>7571613.5999999996</v>
      </c>
      <c r="C20" s="710"/>
      <c r="D20" s="704"/>
      <c r="E20" s="704"/>
      <c r="F20" s="704"/>
      <c r="G20" s="704"/>
      <c r="H20" s="704"/>
      <c r="I20" s="704"/>
      <c r="J20" s="704"/>
      <c r="K20" s="704"/>
      <c r="L20" s="704"/>
      <c r="M20" s="704">
        <f>$B20</f>
        <v>7571613.5999999996</v>
      </c>
      <c r="N20" s="704"/>
      <c r="O20" s="705"/>
      <c r="P20" s="705"/>
      <c r="Q20" s="705"/>
      <c r="R20" s="705"/>
      <c r="S20" s="705"/>
      <c r="T20" s="705"/>
      <c r="U20" s="705"/>
      <c r="V20" s="705"/>
      <c r="W20" s="705"/>
      <c r="X20" s="705"/>
      <c r="Y20" s="705"/>
      <c r="Z20" s="705"/>
      <c r="AA20" s="705"/>
      <c r="AB20" s="705"/>
      <c r="AC20" s="705"/>
      <c r="AD20" s="705"/>
      <c r="AE20" s="705"/>
      <c r="AF20" s="705"/>
      <c r="AG20" s="705"/>
      <c r="AH20" s="705"/>
      <c r="AI20" s="705"/>
      <c r="AJ20" s="705"/>
      <c r="AK20" s="705"/>
      <c r="AL20" s="705"/>
      <c r="AM20" s="705"/>
      <c r="AN20" s="705">
        <f t="shared" si="7"/>
        <v>7571613.5999999996</v>
      </c>
      <c r="AO20" s="705">
        <f t="shared" si="2"/>
        <v>7571613.5999999996</v>
      </c>
      <c r="AP20" s="705">
        <f t="shared" si="4"/>
        <v>0</v>
      </c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P20"/>
    </row>
    <row r="21" spans="1:68">
      <c r="A21" s="87" t="str">
        <f>' Phase I Financial'!A66</f>
        <v>Construction Loan Origination</v>
      </c>
      <c r="B21" s="703">
        <f>' Phase I Financial'!C66</f>
        <v>1611000</v>
      </c>
      <c r="C21" s="704">
        <f>$B$21*C4</f>
        <v>0</v>
      </c>
      <c r="D21" s="704">
        <f>$B$21*D4</f>
        <v>80550</v>
      </c>
      <c r="E21" s="704">
        <v>0</v>
      </c>
      <c r="F21" s="704">
        <v>0</v>
      </c>
      <c r="G21" s="704">
        <v>0</v>
      </c>
      <c r="H21" s="704">
        <v>0</v>
      </c>
      <c r="I21" s="704">
        <f>$B21</f>
        <v>1611000</v>
      </c>
      <c r="J21" s="130"/>
      <c r="K21" s="130"/>
      <c r="L21" s="704"/>
      <c r="M21" s="704"/>
      <c r="N21" s="704"/>
      <c r="O21" s="705"/>
      <c r="P21" s="705"/>
      <c r="Q21" s="705"/>
      <c r="R21" s="705"/>
      <c r="S21" s="705"/>
      <c r="T21" s="705"/>
      <c r="U21" s="705"/>
      <c r="V21" s="705"/>
      <c r="W21" s="705"/>
      <c r="X21" s="705"/>
      <c r="Y21" s="705"/>
      <c r="Z21" s="705"/>
      <c r="AA21" s="705"/>
      <c r="AB21" s="705"/>
      <c r="AC21" s="705"/>
      <c r="AD21" s="705"/>
      <c r="AE21" s="705"/>
      <c r="AF21" s="705"/>
      <c r="AG21" s="705"/>
      <c r="AH21" s="705"/>
      <c r="AK21" s="705"/>
      <c r="AL21" s="705"/>
      <c r="AM21" s="705"/>
      <c r="AN21" s="705">
        <f t="shared" si="7"/>
        <v>1691550</v>
      </c>
      <c r="AO21" s="705">
        <f t="shared" si="2"/>
        <v>1611000</v>
      </c>
      <c r="AP21" s="705">
        <f t="shared" si="4"/>
        <v>-80550</v>
      </c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P21"/>
    </row>
    <row r="22" spans="1:68">
      <c r="A22" s="87" t="str">
        <f>' Phase I Financial'!A67</f>
        <v>Construction Interest</v>
      </c>
      <c r="B22" s="703">
        <f>' Phase I Financial'!C67</f>
        <v>7519000</v>
      </c>
      <c r="C22" s="713"/>
      <c r="D22" s="704"/>
      <c r="E22" s="704"/>
      <c r="F22" s="704"/>
      <c r="G22" s="704"/>
      <c r="H22" s="704"/>
      <c r="I22" s="704"/>
      <c r="J22" s="704">
        <f t="shared" ref="J22" si="11">$B22/20</f>
        <v>375950</v>
      </c>
      <c r="K22" s="704"/>
      <c r="L22" s="704">
        <f>$B22/7</f>
        <v>1074142.857142857</v>
      </c>
      <c r="M22" s="704">
        <f>$B22/6</f>
        <v>1253166.6666666667</v>
      </c>
      <c r="N22" s="704">
        <v>1870799</v>
      </c>
      <c r="O22" s="705"/>
      <c r="P22" s="705"/>
      <c r="Q22" s="705"/>
      <c r="R22" s="705"/>
      <c r="S22" s="705"/>
      <c r="T22" s="705"/>
      <c r="U22" s="705"/>
      <c r="V22" s="705"/>
      <c r="W22" s="705"/>
      <c r="X22" s="705"/>
      <c r="Y22" s="705"/>
      <c r="Z22" s="705"/>
      <c r="AA22" s="705"/>
      <c r="AB22" s="705"/>
      <c r="AC22" s="705"/>
      <c r="AD22" s="705"/>
      <c r="AE22" s="705"/>
      <c r="AF22" s="705"/>
      <c r="AG22" s="705"/>
      <c r="AH22" s="705"/>
      <c r="AI22" s="705"/>
      <c r="AJ22" s="705"/>
      <c r="AK22" s="705"/>
      <c r="AL22" s="705"/>
      <c r="AM22" s="705"/>
      <c r="AN22" s="705">
        <f t="shared" si="7"/>
        <v>4574058.5238095243</v>
      </c>
      <c r="AO22" s="705">
        <f t="shared" si="2"/>
        <v>7519000</v>
      </c>
      <c r="AP22" s="705">
        <f t="shared" si="4"/>
        <v>2944941.4761904757</v>
      </c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P22"/>
    </row>
    <row r="23" spans="1:68" ht="15.95" thickBot="1">
      <c r="A23" s="87" t="str">
        <f>' Phase I Financial'!A68</f>
        <v>Additional Contingency</v>
      </c>
      <c r="B23" s="714">
        <f>' Phase I Financial'!C68</f>
        <v>300000</v>
      </c>
      <c r="C23" s="715">
        <v>0</v>
      </c>
      <c r="D23" s="715">
        <v>0</v>
      </c>
      <c r="E23" s="715">
        <v>0</v>
      </c>
      <c r="F23" s="715"/>
      <c r="G23" s="715">
        <v>0</v>
      </c>
      <c r="H23" s="715">
        <v>0</v>
      </c>
      <c r="I23" s="715">
        <f t="shared" ref="I23:J23" si="12">$B23/12</f>
        <v>25000</v>
      </c>
      <c r="J23" s="715">
        <f t="shared" si="12"/>
        <v>25000</v>
      </c>
      <c r="K23" s="715"/>
      <c r="L23" s="715">
        <f>$B23/12</f>
        <v>25000</v>
      </c>
      <c r="M23" s="715"/>
      <c r="N23" s="715"/>
      <c r="O23" s="716"/>
      <c r="P23" s="716"/>
      <c r="Q23" s="716"/>
      <c r="R23" s="716"/>
      <c r="S23" s="716"/>
      <c r="T23" s="716"/>
      <c r="U23" s="716"/>
      <c r="V23" s="716"/>
      <c r="W23" s="716"/>
      <c r="X23" s="716"/>
      <c r="Y23" s="716"/>
      <c r="Z23" s="716"/>
      <c r="AA23" s="716"/>
      <c r="AB23" s="716"/>
      <c r="AC23" s="716"/>
      <c r="AD23" s="716"/>
      <c r="AE23" s="716"/>
      <c r="AF23" s="716"/>
      <c r="AG23" s="716"/>
      <c r="AH23" s="716"/>
      <c r="AI23" s="716"/>
      <c r="AJ23" s="716"/>
      <c r="AK23" s="716"/>
      <c r="AL23" s="716"/>
      <c r="AM23" s="716"/>
      <c r="AN23" s="716">
        <f t="shared" si="7"/>
        <v>75000</v>
      </c>
      <c r="AO23" s="716">
        <f t="shared" si="2"/>
        <v>300000</v>
      </c>
      <c r="AP23" s="705">
        <f t="shared" si="4"/>
        <v>225000</v>
      </c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P23"/>
    </row>
    <row r="24" spans="1:68" ht="17.100000000000001" thickTop="1" thickBot="1">
      <c r="A24" s="87" t="str">
        <f>' Phase I Financial'!A69</f>
        <v>Total Project Cost</v>
      </c>
      <c r="B24" s="82">
        <f>SUM(B5:B23)</f>
        <v>529504538.78880006</v>
      </c>
      <c r="C24" s="717">
        <f>SUM(C5:C23)</f>
        <v>0</v>
      </c>
      <c r="D24" s="717">
        <f>SUM(D5:D23)</f>
        <v>19595712.358939998</v>
      </c>
      <c r="E24" s="717">
        <f>SUM(E5:E23)</f>
        <v>82953447.348759994</v>
      </c>
      <c r="F24" s="717">
        <f>SUM(F5:F23)</f>
        <v>82553447.348759994</v>
      </c>
      <c r="G24" s="717">
        <f>SUM(G5:G23)</f>
        <v>79574915.406759992</v>
      </c>
      <c r="H24" s="717">
        <f>SUM(H5:H23)</f>
        <v>2214265.9709999999</v>
      </c>
      <c r="I24" s="717">
        <f>SUM(I5:I23)</f>
        <v>59210353.825400002</v>
      </c>
      <c r="J24" s="717">
        <f>SUM(J5:J23)</f>
        <v>46816668.596166663</v>
      </c>
      <c r="K24" s="717"/>
      <c r="L24" s="717">
        <f>SUM(L5:L23)</f>
        <v>63719141.479542859</v>
      </c>
      <c r="M24" s="717">
        <f>SUM(M5:M23)</f>
        <v>9909377.1346645486</v>
      </c>
      <c r="N24" s="717">
        <f>SUM(N5:N23)</f>
        <v>4469944.867997882</v>
      </c>
      <c r="O24" s="717">
        <f>SUM(O5:O23)</f>
        <v>0</v>
      </c>
      <c r="P24" s="717">
        <f>SUM(P5:P23)</f>
        <v>0</v>
      </c>
      <c r="Q24" s="717">
        <f>SUM(Q5:Q23)</f>
        <v>0</v>
      </c>
      <c r="R24" s="717">
        <f>SUM(R5:R23)</f>
        <v>0</v>
      </c>
      <c r="S24" s="717">
        <f>SUM(S5:S23)</f>
        <v>0</v>
      </c>
      <c r="T24" s="717">
        <f>SUM(T5:T23)</f>
        <v>0</v>
      </c>
      <c r="U24" s="717">
        <f>SUM(U5:U23)</f>
        <v>0</v>
      </c>
      <c r="V24" s="717">
        <f>SUM(V5:V23)</f>
        <v>0</v>
      </c>
      <c r="W24" s="717">
        <f>SUM(W5:W23)</f>
        <v>0</v>
      </c>
      <c r="X24" s="717">
        <f>SUM(X5:X23)</f>
        <v>0</v>
      </c>
      <c r="Y24" s="717">
        <f>SUM(Y5:Y23)</f>
        <v>0</v>
      </c>
      <c r="Z24" s="717">
        <f>SUM(Z5:Z23)</f>
        <v>0</v>
      </c>
      <c r="AA24" s="717">
        <f>SUM(AA5:AA23)</f>
        <v>0</v>
      </c>
      <c r="AB24" s="717">
        <f>SUM(AB5:AB23)</f>
        <v>0</v>
      </c>
      <c r="AC24" s="717">
        <f>SUM(AC5:AC23)</f>
        <v>0</v>
      </c>
      <c r="AD24" s="717">
        <f>SUM(AD5:AD23)</f>
        <v>0</v>
      </c>
      <c r="AE24" s="717">
        <f>SUM(AE5:AE23)</f>
        <v>0</v>
      </c>
      <c r="AF24" s="717">
        <f>SUM(AF5:AF23)</f>
        <v>0</v>
      </c>
      <c r="AG24" s="717">
        <f>SUM(AG5:AG23)</f>
        <v>0</v>
      </c>
      <c r="AH24" s="717">
        <f>SUM(AH5:AH23)</f>
        <v>0</v>
      </c>
      <c r="AI24" s="717">
        <f>SUM(AI5:AI23)</f>
        <v>0</v>
      </c>
      <c r="AJ24" s="717">
        <f>SUM(AJ5:AJ23)</f>
        <v>0</v>
      </c>
      <c r="AK24" s="717">
        <f>SUM(AK5:AK23)</f>
        <v>0</v>
      </c>
      <c r="AL24" s="717">
        <f>SUM(AL5:AL23)</f>
        <v>0</v>
      </c>
      <c r="AM24" s="717">
        <f>SUM(AM5:AM23)</f>
        <v>0</v>
      </c>
      <c r="AN24" s="84">
        <f>SUM(AN5:AN23)</f>
        <v>451163700.93509209</v>
      </c>
      <c r="AO24" s="83">
        <f>SUM(AO5:AO23)</f>
        <v>529504538.78880006</v>
      </c>
      <c r="AP24" s="83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P24"/>
    </row>
    <row r="25" spans="1:68" ht="15.95" thickTop="1">
      <c r="A25" s="85" t="s">
        <v>296</v>
      </c>
      <c r="B25" s="86">
        <f>' Phase I Financial'!B77</f>
        <v>-162695000</v>
      </c>
      <c r="C25" s="717"/>
      <c r="D25" s="717"/>
      <c r="E25" s="717"/>
      <c r="F25" s="717"/>
      <c r="G25" s="717"/>
      <c r="H25" s="717"/>
      <c r="I25" s="717"/>
      <c r="J25" s="717"/>
      <c r="K25" s="717"/>
      <c r="L25" s="717"/>
      <c r="M25" s="717"/>
      <c r="N25" s="717"/>
      <c r="O25" s="717"/>
      <c r="P25" s="717"/>
      <c r="Q25" s="717"/>
      <c r="R25" s="717"/>
      <c r="S25" s="717"/>
      <c r="T25" s="717"/>
      <c r="U25" s="717"/>
      <c r="V25" s="717"/>
      <c r="W25" s="717"/>
      <c r="X25" s="717"/>
      <c r="Y25" s="717"/>
      <c r="Z25" s="717"/>
      <c r="AA25" s="717"/>
      <c r="AB25" s="717"/>
      <c r="AC25" s="717"/>
      <c r="AD25" s="717"/>
      <c r="AE25" s="717"/>
      <c r="AF25" s="717"/>
      <c r="AG25" s="717"/>
      <c r="AH25" s="717"/>
      <c r="AI25" s="717"/>
      <c r="AJ25" s="717"/>
      <c r="AK25" s="717"/>
      <c r="AL25" s="717"/>
      <c r="AM25" s="717"/>
      <c r="AN25" s="84"/>
      <c r="AO25" s="83"/>
      <c r="AP25" s="83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P25"/>
    </row>
    <row r="26" spans="1:68" ht="15.95" thickBot="1">
      <c r="A26" s="718" t="s">
        <v>297</v>
      </c>
      <c r="B26" s="719">
        <f>B24+B25</f>
        <v>366809538.78880006</v>
      </c>
      <c r="C26" s="720"/>
      <c r="D26" s="720"/>
      <c r="E26" s="720"/>
      <c r="F26" s="720"/>
      <c r="G26" s="720"/>
      <c r="H26" s="720"/>
      <c r="I26" s="720"/>
      <c r="J26" s="720"/>
      <c r="K26" s="720"/>
      <c r="L26" s="720"/>
      <c r="M26" s="720"/>
      <c r="N26" s="720"/>
      <c r="O26" s="720"/>
      <c r="P26" s="720"/>
      <c r="Q26" s="720"/>
      <c r="R26" s="720"/>
      <c r="S26" s="720"/>
      <c r="T26" s="720"/>
      <c r="U26" s="720"/>
      <c r="V26" s="720"/>
      <c r="W26" s="720"/>
      <c r="X26" s="720"/>
      <c r="Y26" s="720"/>
      <c r="Z26" s="720"/>
      <c r="AA26" s="720"/>
      <c r="AB26" s="720"/>
      <c r="AC26" s="720"/>
      <c r="AD26" s="720"/>
      <c r="AE26" s="720"/>
      <c r="AF26" s="720"/>
      <c r="AG26" s="720"/>
      <c r="AH26" s="720"/>
      <c r="AI26" s="720"/>
      <c r="AJ26" s="720"/>
      <c r="AK26" s="720"/>
      <c r="AL26" s="720"/>
      <c r="AM26" s="429"/>
      <c r="AN26" s="721"/>
      <c r="AO26" s="721"/>
      <c r="AP26" s="721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P26"/>
    </row>
    <row r="27" spans="1:68">
      <c r="A27" s="722" t="s">
        <v>298</v>
      </c>
      <c r="B27" s="723">
        <f>SUM(C27:AM27)</f>
        <v>211801815.51552004</v>
      </c>
      <c r="C27" s="705">
        <f>C24</f>
        <v>0</v>
      </c>
      <c r="D27" s="705">
        <f t="shared" ref="D27:F27" si="13">IF(C28+D24&lt;=$B$28,D24,($B$28-C28))</f>
        <v>19595712.358939998</v>
      </c>
      <c r="E27" s="705">
        <f t="shared" si="13"/>
        <v>82953447.348759994</v>
      </c>
      <c r="F27" s="705">
        <f t="shared" si="13"/>
        <v>82553447.348759994</v>
      </c>
      <c r="G27" s="705">
        <f t="shared" ref="G27" si="14">IF(F28+G24&lt;=$B$28,G24,($B$28-F28))</f>
        <v>26699208.459060073</v>
      </c>
      <c r="H27" s="705">
        <f t="shared" ref="H27" si="15">IF(G28+H24&lt;=$B$28,H24,($B$28-G28))</f>
        <v>0</v>
      </c>
      <c r="I27" s="705">
        <f t="shared" ref="I27" si="16">IF(H28+I24&lt;=$B$28,I24,($B$28-H28))</f>
        <v>0</v>
      </c>
      <c r="J27" s="705">
        <f t="shared" ref="J27" si="17">IF(I28+J24&lt;=$B$28,J24,($B$28-I28))</f>
        <v>0</v>
      </c>
      <c r="K27" s="705"/>
      <c r="L27" s="705">
        <f>IF(J28+L24&lt;=$B$28,L24,($B$28-J28))</f>
        <v>0</v>
      </c>
      <c r="M27" s="705">
        <f t="shared" ref="M27" si="18">IF(L28+M24&lt;=$B$28,M24,($B$28-L28))</f>
        <v>0</v>
      </c>
      <c r="N27" s="705">
        <f t="shared" ref="N27:AM27" si="19">IF(M28+N24&lt;=$B$28,N24,($B$28-M28))</f>
        <v>0</v>
      </c>
      <c r="O27" s="705">
        <f t="shared" si="19"/>
        <v>0</v>
      </c>
      <c r="P27" s="705">
        <f t="shared" si="19"/>
        <v>0</v>
      </c>
      <c r="Q27" s="705">
        <f t="shared" si="19"/>
        <v>0</v>
      </c>
      <c r="R27" s="705">
        <f t="shared" si="19"/>
        <v>0</v>
      </c>
      <c r="S27" s="705">
        <f t="shared" si="19"/>
        <v>0</v>
      </c>
      <c r="T27" s="705">
        <f t="shared" si="19"/>
        <v>0</v>
      </c>
      <c r="U27" s="705">
        <f t="shared" si="19"/>
        <v>0</v>
      </c>
      <c r="V27" s="705">
        <f t="shared" si="19"/>
        <v>0</v>
      </c>
      <c r="W27" s="705">
        <f t="shared" si="19"/>
        <v>0</v>
      </c>
      <c r="X27" s="705">
        <f t="shared" si="19"/>
        <v>0</v>
      </c>
      <c r="Y27" s="705">
        <f t="shared" si="19"/>
        <v>0</v>
      </c>
      <c r="Z27" s="705">
        <f t="shared" si="19"/>
        <v>0</v>
      </c>
      <c r="AA27" s="705">
        <f t="shared" si="19"/>
        <v>0</v>
      </c>
      <c r="AB27" s="705">
        <f t="shared" si="19"/>
        <v>0</v>
      </c>
      <c r="AC27" s="705">
        <f t="shared" si="19"/>
        <v>0</v>
      </c>
      <c r="AD27" s="705">
        <f t="shared" si="19"/>
        <v>0</v>
      </c>
      <c r="AE27" s="705">
        <f t="shared" si="19"/>
        <v>0</v>
      </c>
      <c r="AF27" s="705">
        <f t="shared" si="19"/>
        <v>0</v>
      </c>
      <c r="AG27" s="705">
        <f t="shared" si="19"/>
        <v>0</v>
      </c>
      <c r="AH27" s="705">
        <f t="shared" si="19"/>
        <v>0</v>
      </c>
      <c r="AI27" s="705">
        <f t="shared" si="19"/>
        <v>0</v>
      </c>
      <c r="AJ27" s="705">
        <f t="shared" si="19"/>
        <v>0</v>
      </c>
      <c r="AK27" s="705">
        <f t="shared" si="19"/>
        <v>0</v>
      </c>
      <c r="AL27" s="705">
        <f t="shared" si="19"/>
        <v>0</v>
      </c>
      <c r="AM27" s="705">
        <f t="shared" si="19"/>
        <v>0</v>
      </c>
      <c r="AN27" s="724"/>
      <c r="AO27" s="724"/>
      <c r="AP27" s="724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P27"/>
    </row>
    <row r="28" spans="1:68" ht="15.95" thickBot="1">
      <c r="A28" s="87" t="s">
        <v>299</v>
      </c>
      <c r="B28" s="88">
        <f>' Phase I Financial'!B80</f>
        <v>211801815.51552004</v>
      </c>
      <c r="C28" s="705">
        <f>C27</f>
        <v>0</v>
      </c>
      <c r="D28" s="705">
        <f>IF(SUM($C$27:D$27)&lt;=$B28,SUM($C$27:D$27),0)</f>
        <v>19595712.358939998</v>
      </c>
      <c r="E28" s="705">
        <f>IF(SUM($C$27:E$27)&lt;=$B28,SUM($C$27:E$27),0)</f>
        <v>102549159.70769998</v>
      </c>
      <c r="F28" s="705">
        <f>IF(SUM($C$27:F$27)&lt;=$B28,SUM($C$27:F$27),0)</f>
        <v>185102607.05645996</v>
      </c>
      <c r="G28" s="705">
        <f>IF(SUM($C$27:G$27)&lt;=$B28,SUM($C$27:G$27),0)</f>
        <v>211801815.51552004</v>
      </c>
      <c r="H28" s="705">
        <f>IF(SUM($C$27:H$27)&lt;=$B28,SUM($C$27:H$27),0)</f>
        <v>211801815.51552004</v>
      </c>
      <c r="I28" s="705">
        <f>IF(SUM($C$27:I$27)&lt;=$B28,SUM($C$27:I$27),0)</f>
        <v>211801815.51552004</v>
      </c>
      <c r="J28" s="705">
        <f>IF(SUM($C$27:J$27)&lt;=$B28,SUM($C$27:J$27),0)</f>
        <v>211801815.51552004</v>
      </c>
      <c r="K28" s="705"/>
      <c r="L28" s="705">
        <f>IF(SUM($C$27:L$27)&lt;=$B28,SUM($C$27:L$27),0)</f>
        <v>211801815.51552004</v>
      </c>
      <c r="M28" s="705">
        <f>IF(SUM($C$27:M$27)&lt;=$B28,SUM($C$27:M$27),0)</f>
        <v>211801815.51552004</v>
      </c>
      <c r="N28" s="705">
        <f>IF(SUM($C$27:N$27)&lt;=$B28,SUM($C$27:N$27),0)</f>
        <v>211801815.51552004</v>
      </c>
      <c r="O28" s="705">
        <f>IF(SUM($C$27:O$27)&lt;=$B28,SUM($C$27:O$27),0)</f>
        <v>211801815.51552004</v>
      </c>
      <c r="P28" s="705">
        <f>IF(SUM($C$27:P$27)&lt;=$B28,SUM($C$27:P$27),0)</f>
        <v>211801815.51552004</v>
      </c>
      <c r="Q28" s="705">
        <f>IF(SUM($C$27:Q$27)&lt;=$B28,SUM($C$27:Q$27),0)</f>
        <v>211801815.51552004</v>
      </c>
      <c r="R28" s="705">
        <f>IF(SUM($C$27:R$27)&lt;=$B28,SUM($C$27:R$27),0)</f>
        <v>211801815.51552004</v>
      </c>
      <c r="S28" s="705">
        <f>IF(SUM($C$27:S$27)&lt;=$B28,SUM($C$27:S$27),0)</f>
        <v>211801815.51552004</v>
      </c>
      <c r="T28" s="705">
        <f>IF(SUM($C$27:T$27)&lt;=$B28,SUM($C$27:T$27),0)</f>
        <v>211801815.51552004</v>
      </c>
      <c r="U28" s="705">
        <f>IF(SUM($C$27:U$27)&lt;=$B28,SUM($C$27:U$27),0)</f>
        <v>211801815.51552004</v>
      </c>
      <c r="V28" s="705">
        <f>IF(SUM($C$27:V$27)&lt;=$B28,SUM($C$27:V$27),0)</f>
        <v>211801815.51552004</v>
      </c>
      <c r="W28" s="705">
        <f>IF(SUM($C$27:W$27)&lt;=$B28,SUM($C$27:W$27),0)</f>
        <v>211801815.51552004</v>
      </c>
      <c r="X28" s="705">
        <f>IF(SUM($C$27:X$27)&lt;=$B28,SUM($C$27:X$27),0)</f>
        <v>211801815.51552004</v>
      </c>
      <c r="Y28" s="705">
        <f>IF(SUM($C$27:Y$27)&lt;=$B28,SUM($C$27:Y$27),0)</f>
        <v>211801815.51552004</v>
      </c>
      <c r="Z28" s="705">
        <f>IF(SUM($C$27:Z$27)&lt;=$B28,SUM($C$27:Z$27),0)</f>
        <v>211801815.51552004</v>
      </c>
      <c r="AA28" s="705">
        <f>IF(SUM($C$27:AA$27)&lt;=$B28,SUM($C$27:AA$27),0)</f>
        <v>211801815.51552004</v>
      </c>
      <c r="AB28" s="705">
        <f>IF(SUM($C$27:AB$27)&lt;=$B28,SUM($C$27:AB$27),0)</f>
        <v>211801815.51552004</v>
      </c>
      <c r="AC28" s="705">
        <f>IF(SUM($C$27:AC$27)&lt;=$B28,SUM($C$27:AC$27),0)</f>
        <v>211801815.51552004</v>
      </c>
      <c r="AD28" s="705">
        <f>IF(SUM($C$27:AD$27)&lt;=$B28,SUM($C$27:AD$27),0)</f>
        <v>211801815.51552004</v>
      </c>
      <c r="AE28" s="705">
        <f>IF(SUM($C$27:AE$27)&lt;=$B28,SUM($C$27:AE$27),0)</f>
        <v>211801815.51552004</v>
      </c>
      <c r="AF28" s="705">
        <f>IF(SUM($C$27:AF$27)&lt;=$B28,SUM($C$27:AF$27),0)</f>
        <v>211801815.51552004</v>
      </c>
      <c r="AG28" s="705">
        <f>IF(SUM($C$27:AG$27)&lt;=$B28,SUM($C$27:AG$27),0)</f>
        <v>211801815.51552004</v>
      </c>
      <c r="AH28" s="705">
        <f>IF(SUM($C$27:AH$27)&lt;=$B28,SUM($C$27:AH$27),0)</f>
        <v>211801815.51552004</v>
      </c>
      <c r="AI28" s="705">
        <f>IF(SUM($C$27:AI$27)&lt;=$B28,SUM($C$27:AI$27),0)</f>
        <v>211801815.51552004</v>
      </c>
      <c r="AJ28" s="705">
        <f>IF(SUM($C$27:AJ$27)&lt;=$B28,SUM($C$27:AJ$27),0)</f>
        <v>211801815.51552004</v>
      </c>
      <c r="AK28" s="705">
        <f>IF(SUM($C$27:AK$27)&lt;=$B28,SUM($C$27:AK$27),0)</f>
        <v>211801815.51552004</v>
      </c>
      <c r="AL28" s="705">
        <f>IF(SUM($C$27:AL$27)&lt;=$B28,SUM($C$27:AL$27),0)</f>
        <v>211801815.51552004</v>
      </c>
      <c r="AM28" s="705"/>
      <c r="AN28" s="724"/>
      <c r="AO28" s="724"/>
      <c r="AP28" s="724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P28"/>
    </row>
    <row r="29" spans="1:68">
      <c r="A29" s="89" t="s">
        <v>300</v>
      </c>
      <c r="B29" s="90">
        <f>' Phase I Financial'!B79</f>
        <v>317702723.27328002</v>
      </c>
      <c r="C29" s="725"/>
      <c r="D29" s="726"/>
      <c r="E29" s="726"/>
      <c r="F29" s="726"/>
      <c r="G29" s="726"/>
      <c r="H29" s="726"/>
      <c r="I29" s="726"/>
      <c r="J29" s="726"/>
      <c r="K29" s="72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726"/>
      <c r="Y29" s="726"/>
      <c r="Z29" s="726"/>
      <c r="AA29" s="726"/>
      <c r="AB29" s="726"/>
      <c r="AC29" s="726"/>
      <c r="AD29" s="726"/>
      <c r="AE29" s="726"/>
      <c r="AF29" s="726"/>
      <c r="AG29" s="726"/>
      <c r="AH29" s="726"/>
      <c r="AI29" s="726"/>
      <c r="AJ29" s="726"/>
      <c r="AK29" s="726"/>
      <c r="AL29" s="726"/>
      <c r="AM29" s="726"/>
      <c r="AN29" s="725"/>
      <c r="AO29" s="725"/>
      <c r="AP29" s="724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P29"/>
    </row>
    <row r="30" spans="1:68" ht="15.95" thickBot="1">
      <c r="A30" s="727" t="s">
        <v>301</v>
      </c>
      <c r="B30" s="728">
        <f>PMT(0.045,30,(B29))</f>
        <v>-19504260.368008468</v>
      </c>
      <c r="C30" s="725"/>
      <c r="D30" s="726"/>
      <c r="E30" s="726"/>
      <c r="F30" s="726"/>
      <c r="G30" s="726"/>
      <c r="H30" s="726"/>
      <c r="I30" s="726"/>
      <c r="J30" s="726"/>
      <c r="K30" s="72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6"/>
      <c r="W30" s="726"/>
      <c r="X30" s="726"/>
      <c r="Y30" s="726"/>
      <c r="Z30" s="726"/>
      <c r="AA30" s="726"/>
      <c r="AB30" s="726"/>
      <c r="AC30" s="726"/>
      <c r="AD30" s="726"/>
      <c r="AE30" s="726"/>
      <c r="AF30" s="726"/>
      <c r="AG30" s="726"/>
      <c r="AH30" s="726"/>
      <c r="AI30" s="726"/>
      <c r="AJ30" s="726"/>
      <c r="AK30" s="726"/>
      <c r="AL30" s="726"/>
      <c r="AM30" s="726"/>
      <c r="AN30" s="725"/>
      <c r="AO30" s="725"/>
      <c r="AP30" s="724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P30"/>
    </row>
    <row r="31" spans="1:68">
      <c r="A31" s="91" t="s">
        <v>302</v>
      </c>
      <c r="B31" s="92">
        <f>SUM(C31:AN31)</f>
        <v>0</v>
      </c>
      <c r="C31" s="705"/>
      <c r="D31" s="705"/>
      <c r="E31" s="705"/>
      <c r="F31" s="705"/>
      <c r="G31" s="705"/>
      <c r="H31" s="705"/>
      <c r="I31" s="705"/>
      <c r="J31" s="705"/>
      <c r="K31" s="705"/>
      <c r="L31" s="705"/>
      <c r="M31" s="705"/>
      <c r="N31" s="705"/>
      <c r="O31" s="705"/>
      <c r="P31" s="705"/>
      <c r="Q31" s="705"/>
      <c r="R31" s="705"/>
      <c r="S31" s="705"/>
      <c r="T31" s="705"/>
      <c r="U31" s="705"/>
      <c r="V31" s="705"/>
      <c r="W31" s="705"/>
      <c r="X31" s="705"/>
      <c r="Y31" s="705"/>
      <c r="Z31" s="705"/>
      <c r="AA31" s="705"/>
      <c r="AB31" s="705"/>
      <c r="AC31" s="705"/>
      <c r="AD31" s="705"/>
      <c r="AE31" s="705"/>
      <c r="AF31" s="705"/>
      <c r="AG31" s="705"/>
      <c r="AH31" s="705"/>
      <c r="AI31" s="705"/>
      <c r="AJ31" s="705"/>
      <c r="AK31" s="705"/>
      <c r="AL31" s="705"/>
      <c r="AM31" s="705"/>
      <c r="AN31" s="429"/>
      <c r="AO31" s="726"/>
      <c r="AP31" s="724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P31"/>
    </row>
    <row r="32" spans="1:68">
      <c r="A32" s="729" t="s">
        <v>303</v>
      </c>
      <c r="B32" s="730"/>
      <c r="C32" s="726"/>
      <c r="D32" s="726"/>
      <c r="E32" s="726"/>
      <c r="F32" s="726"/>
      <c r="G32" s="726"/>
      <c r="H32" s="726"/>
      <c r="I32" s="726"/>
      <c r="J32" s="726"/>
      <c r="K32" s="726"/>
      <c r="L32" s="726"/>
      <c r="M32" s="726"/>
      <c r="N32" s="726"/>
      <c r="O32" s="726"/>
      <c r="P32" s="726"/>
      <c r="Q32" s="726"/>
      <c r="R32" s="726"/>
      <c r="S32" s="726"/>
      <c r="T32" s="726"/>
      <c r="U32" s="726"/>
      <c r="V32" s="726"/>
      <c r="W32" s="726"/>
      <c r="X32" s="726"/>
      <c r="Y32" s="726"/>
      <c r="Z32" s="726"/>
      <c r="AA32" s="726"/>
      <c r="AB32" s="726"/>
      <c r="AC32" s="726"/>
      <c r="AD32" s="726"/>
      <c r="AE32" s="726"/>
      <c r="AF32" s="726"/>
      <c r="AG32" s="726"/>
      <c r="AH32" s="726"/>
      <c r="AI32" s="726"/>
      <c r="AJ32" s="726"/>
      <c r="AK32" s="726"/>
      <c r="AL32" s="726"/>
      <c r="AM32" s="726"/>
      <c r="AN32" s="731"/>
      <c r="AO32" s="726"/>
      <c r="AP32" s="724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P32"/>
    </row>
    <row r="33" spans="1:68">
      <c r="A33" s="722" t="s">
        <v>304</v>
      </c>
      <c r="B33" s="723">
        <f>' Phase I Financial'!B87-' Phase I Financial'!B79</f>
        <v>149613174.39071989</v>
      </c>
      <c r="C33" s="731"/>
      <c r="D33" s="732"/>
      <c r="E33" s="732"/>
      <c r="F33" s="732"/>
      <c r="G33" s="732"/>
      <c r="H33" s="732"/>
      <c r="I33" s="732"/>
      <c r="J33" s="732"/>
      <c r="K33" s="732"/>
      <c r="L33" s="732"/>
      <c r="M33" s="732"/>
      <c r="N33" s="732"/>
      <c r="O33" s="732"/>
      <c r="P33" s="732"/>
      <c r="Q33" s="732"/>
      <c r="R33" s="732"/>
      <c r="S33" s="732"/>
      <c r="T33" s="732"/>
      <c r="U33" s="732"/>
      <c r="V33" s="732"/>
      <c r="W33" s="732"/>
      <c r="X33" s="732"/>
      <c r="Y33" s="732"/>
      <c r="Z33" s="732"/>
      <c r="AA33" s="732"/>
      <c r="AB33" s="732"/>
      <c r="AC33" s="732"/>
      <c r="AD33" s="732"/>
      <c r="AE33" s="732"/>
      <c r="AF33" s="732"/>
      <c r="AG33" s="732"/>
      <c r="AH33" s="732"/>
      <c r="AI33" s="732"/>
      <c r="AJ33" s="732"/>
      <c r="AK33" s="732"/>
      <c r="AL33" s="732"/>
      <c r="AM33" s="732"/>
      <c r="AN33" s="733"/>
      <c r="AO33" s="734"/>
      <c r="AP33" s="735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P33"/>
    </row>
    <row r="34" spans="1:68">
      <c r="A34" s="722" t="s">
        <v>305</v>
      </c>
      <c r="B34" s="736">
        <f>SUM(C34:AM34)</f>
        <v>-62188641.124800146</v>
      </c>
      <c r="C34" s="737">
        <f>-C27</f>
        <v>0</v>
      </c>
      <c r="D34" s="737">
        <f t="shared" ref="C34:M34" si="20">-D27</f>
        <v>-19595712.358939998</v>
      </c>
      <c r="E34" s="737">
        <f t="shared" si="20"/>
        <v>-82953447.348759994</v>
      </c>
      <c r="F34" s="737">
        <f t="shared" si="20"/>
        <v>-82553447.348759994</v>
      </c>
      <c r="G34" s="737">
        <f t="shared" si="20"/>
        <v>-26699208.459060073</v>
      </c>
      <c r="H34" s="737">
        <f t="shared" si="20"/>
        <v>0</v>
      </c>
      <c r="I34" s="737">
        <f t="shared" si="20"/>
        <v>0</v>
      </c>
      <c r="J34" s="737">
        <f t="shared" si="20"/>
        <v>0</v>
      </c>
      <c r="K34" s="737"/>
      <c r="L34" s="737">
        <f t="shared" si="20"/>
        <v>0</v>
      </c>
      <c r="M34" s="737">
        <f t="shared" si="20"/>
        <v>0</v>
      </c>
      <c r="N34" s="738">
        <f>B33</f>
        <v>149613174.39071989</v>
      </c>
      <c r="O34" s="737"/>
      <c r="P34" s="737"/>
      <c r="Q34" s="737"/>
      <c r="R34" s="737"/>
      <c r="S34" s="737"/>
      <c r="T34" s="737"/>
      <c r="U34" s="737"/>
      <c r="V34" s="737"/>
      <c r="W34" s="737"/>
      <c r="X34" s="737"/>
      <c r="Y34" s="737"/>
      <c r="Z34" s="737"/>
      <c r="AA34" s="737"/>
      <c r="AB34" s="737"/>
      <c r="AC34" s="737"/>
      <c r="AD34" s="737"/>
      <c r="AE34" s="737"/>
      <c r="AF34" s="737"/>
      <c r="AG34" s="737"/>
      <c r="AH34" s="737"/>
      <c r="AI34" s="737"/>
      <c r="AJ34" s="737"/>
      <c r="AK34" s="737"/>
      <c r="AL34" s="737"/>
      <c r="AM34" s="737"/>
      <c r="AN34" s="739"/>
      <c r="AO34" s="705"/>
      <c r="AP34" s="705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P34"/>
    </row>
    <row r="35" spans="1:68">
      <c r="A35" s="722" t="s">
        <v>306</v>
      </c>
      <c r="B35" s="740">
        <f>IF(B34&lt;0,0,IRR(C34:AJM34))</f>
        <v>0</v>
      </c>
      <c r="C35" s="741"/>
      <c r="D35" s="741"/>
      <c r="E35" s="741"/>
      <c r="F35" s="741"/>
      <c r="G35" s="741"/>
      <c r="H35" s="741"/>
      <c r="I35" s="741"/>
      <c r="J35" s="741"/>
      <c r="K35" s="741"/>
      <c r="L35" s="741"/>
      <c r="M35" s="741"/>
      <c r="N35" s="741"/>
      <c r="O35" s="741"/>
      <c r="P35" s="741"/>
      <c r="Q35" s="741"/>
      <c r="R35" s="741"/>
      <c r="S35" s="741"/>
      <c r="T35" s="741"/>
      <c r="U35" s="741"/>
      <c r="V35" s="741"/>
      <c r="W35" s="741"/>
      <c r="X35" s="741"/>
      <c r="Y35" s="741"/>
      <c r="Z35" s="741"/>
      <c r="AA35" s="741"/>
      <c r="AB35" s="741"/>
      <c r="AC35" s="741"/>
      <c r="AD35" s="741"/>
      <c r="AE35" s="741"/>
      <c r="AF35" s="741"/>
      <c r="AG35" s="741"/>
      <c r="AH35" s="741"/>
      <c r="AI35" s="741"/>
      <c r="AJ35" s="741"/>
      <c r="AK35" s="741"/>
      <c r="AL35" s="741"/>
      <c r="AM35" s="741"/>
      <c r="AN35" s="733"/>
      <c r="AO35" s="741"/>
      <c r="AP35" s="742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P35"/>
    </row>
    <row r="36" spans="1:68">
      <c r="A36" s="720" t="s">
        <v>307</v>
      </c>
      <c r="B36" s="743">
        <f>POWER((1+B35),4)-1</f>
        <v>0</v>
      </c>
      <c r="C36" s="733"/>
      <c r="D36" s="733"/>
      <c r="E36" s="744"/>
      <c r="F36" s="744"/>
      <c r="G36" s="744"/>
      <c r="H36" s="744"/>
      <c r="I36" s="744"/>
      <c r="J36" s="745"/>
      <c r="K36" s="745"/>
      <c r="L36" s="744"/>
      <c r="M36" s="744"/>
      <c r="N36" s="745"/>
      <c r="O36" s="744"/>
      <c r="P36" s="744"/>
      <c r="Q36" s="744"/>
      <c r="R36" s="744"/>
      <c r="S36" s="744"/>
      <c r="T36" s="744"/>
      <c r="U36" s="744"/>
      <c r="V36" s="744"/>
      <c r="W36" s="744"/>
      <c r="X36" s="744"/>
      <c r="Y36" s="744"/>
      <c r="Z36" s="744"/>
      <c r="AA36" s="744"/>
      <c r="AB36" s="744"/>
      <c r="AC36" s="744"/>
      <c r="AD36" s="744"/>
      <c r="AE36" s="744"/>
      <c r="AF36" s="744"/>
      <c r="AG36" s="744"/>
      <c r="AH36" s="744"/>
      <c r="AI36" s="744"/>
      <c r="AJ36" s="744"/>
      <c r="AK36" s="744"/>
      <c r="AL36" s="744"/>
      <c r="AM36" s="744"/>
      <c r="AN36" s="744"/>
      <c r="AO36" s="744"/>
      <c r="AP36" s="746"/>
      <c r="AQ36" s="94"/>
      <c r="AR36" s="94"/>
      <c r="AS36" s="94"/>
      <c r="AT36" s="94"/>
      <c r="AU36" s="94"/>
      <c r="AV36" s="94"/>
      <c r="AW36" s="94"/>
      <c r="AX36" s="94"/>
      <c r="AY36" s="94"/>
      <c r="AZ36" s="94"/>
      <c r="BA36" s="94"/>
      <c r="BB36" s="94"/>
      <c r="BC36" s="94"/>
      <c r="BD36" s="94"/>
      <c r="BE36" s="94"/>
      <c r="BF36" s="94"/>
      <c r="BG36" s="94"/>
      <c r="BH36" s="94"/>
      <c r="BI36" s="94"/>
      <c r="BJ36" s="94"/>
      <c r="BK36" s="94"/>
      <c r="BL36" s="94"/>
      <c r="BM36" s="94"/>
      <c r="BN36" s="2"/>
      <c r="BP36"/>
    </row>
    <row r="37" spans="1:68">
      <c r="A37" s="339" t="s">
        <v>308</v>
      </c>
      <c r="B37" s="747"/>
      <c r="C37" s="733"/>
      <c r="D37" s="733"/>
      <c r="E37" s="744"/>
      <c r="F37" s="744"/>
      <c r="G37" s="744"/>
      <c r="H37" s="744"/>
      <c r="I37" s="744"/>
      <c r="J37" s="745"/>
      <c r="K37" s="745"/>
      <c r="L37" s="744"/>
      <c r="M37" s="744"/>
      <c r="N37" s="745"/>
      <c r="O37" s="744"/>
      <c r="P37" s="744"/>
      <c r="Q37" s="744"/>
      <c r="R37" s="744"/>
      <c r="S37" s="744"/>
      <c r="T37" s="744"/>
      <c r="U37" s="744"/>
      <c r="V37" s="744"/>
      <c r="W37" s="744"/>
      <c r="X37" s="744"/>
      <c r="Y37" s="744"/>
      <c r="Z37" s="744"/>
      <c r="AA37" s="744"/>
      <c r="AB37" s="744"/>
      <c r="AC37" s="744"/>
      <c r="AD37" s="744"/>
      <c r="AE37" s="744"/>
      <c r="AF37" s="744"/>
      <c r="AG37" s="744"/>
      <c r="AH37" s="744"/>
      <c r="AI37" s="744"/>
      <c r="AJ37" s="744"/>
      <c r="AK37" s="744"/>
      <c r="AL37" s="744"/>
      <c r="AM37" s="744"/>
      <c r="AN37" s="744"/>
      <c r="AO37" s="744"/>
      <c r="AP37" s="746"/>
      <c r="AQ37" s="94"/>
      <c r="AR37" s="94"/>
      <c r="AS37" s="94"/>
      <c r="AT37" s="94"/>
      <c r="AU37" s="94"/>
      <c r="AV37" s="94"/>
      <c r="AW37" s="94"/>
      <c r="AX37" s="94"/>
      <c r="AY37" s="94"/>
      <c r="AZ37" s="94"/>
      <c r="BA37" s="94"/>
      <c r="BB37" s="94"/>
      <c r="BC37" s="94"/>
      <c r="BD37" s="94"/>
      <c r="BE37" s="94"/>
      <c r="BF37" s="94"/>
      <c r="BG37" s="94"/>
      <c r="BH37" s="94"/>
      <c r="BI37" s="94"/>
      <c r="BJ37" s="94"/>
      <c r="BK37" s="94"/>
      <c r="BL37" s="94"/>
      <c r="BM37" s="94"/>
      <c r="BN37" s="2"/>
      <c r="BP37"/>
    </row>
    <row r="38" spans="1:68">
      <c r="A38" s="722" t="s">
        <v>309</v>
      </c>
      <c r="B38" s="30">
        <f>' Phase I Financial'!B87-B25</f>
        <v>630010897.66399992</v>
      </c>
      <c r="C38" s="733"/>
      <c r="D38" s="733"/>
      <c r="E38" s="744"/>
      <c r="F38" s="744"/>
      <c r="G38" s="744"/>
      <c r="H38" s="744"/>
      <c r="I38" s="744"/>
      <c r="J38" s="745"/>
      <c r="K38" s="745"/>
      <c r="L38" s="744"/>
      <c r="M38" s="744"/>
      <c r="N38" s="745"/>
      <c r="O38" s="744"/>
      <c r="P38" s="744"/>
      <c r="Q38" s="744"/>
      <c r="R38" s="744"/>
      <c r="S38" s="744"/>
      <c r="T38" s="744"/>
      <c r="U38" s="744"/>
      <c r="V38" s="744"/>
      <c r="W38" s="744"/>
      <c r="X38" s="744"/>
      <c r="Y38" s="744"/>
      <c r="Z38" s="744"/>
      <c r="AA38" s="744"/>
      <c r="AB38" s="744"/>
      <c r="AC38" s="744"/>
      <c r="AD38" s="744"/>
      <c r="AE38" s="744"/>
      <c r="AF38" s="744"/>
      <c r="AG38" s="744"/>
      <c r="AH38" s="744"/>
      <c r="AI38" s="744"/>
      <c r="AJ38" s="744"/>
      <c r="AK38" s="744"/>
      <c r="AL38" s="744"/>
      <c r="AM38" s="744"/>
      <c r="AN38" s="744"/>
      <c r="AO38" s="744"/>
      <c r="AP38" s="746"/>
      <c r="AQ38" s="94"/>
      <c r="AR38" s="94"/>
      <c r="AS38" s="94"/>
      <c r="AT38" s="94"/>
      <c r="AU38" s="94"/>
      <c r="AV38" s="94"/>
      <c r="AW38" s="94"/>
      <c r="AX38" s="94"/>
      <c r="AY38" s="94"/>
      <c r="AZ38" s="94"/>
      <c r="BA38" s="94"/>
      <c r="BB38" s="94"/>
      <c r="BC38" s="94"/>
      <c r="BD38" s="94"/>
      <c r="BE38" s="94"/>
      <c r="BF38" s="94"/>
      <c r="BG38" s="94"/>
      <c r="BH38" s="94"/>
      <c r="BI38" s="94"/>
      <c r="BJ38" s="94"/>
      <c r="BK38" s="94"/>
      <c r="BL38" s="94"/>
      <c r="BM38" s="94"/>
      <c r="BN38" s="2"/>
      <c r="BP38"/>
    </row>
    <row r="39" spans="1:68">
      <c r="A39" s="722" t="s">
        <v>310</v>
      </c>
      <c r="B39" s="736">
        <f>SUM(C39:AM39)</f>
        <v>178993623.32600802</v>
      </c>
      <c r="C39" s="705">
        <f>-C24</f>
        <v>0</v>
      </c>
      <c r="D39" s="705">
        <f>-D24</f>
        <v>-19595712.358939998</v>
      </c>
      <c r="E39" s="705">
        <f>-E24</f>
        <v>-82953447.348759994</v>
      </c>
      <c r="F39" s="705">
        <f t="shared" ref="F39:M39" si="21">-F24</f>
        <v>-82553447.348759994</v>
      </c>
      <c r="G39" s="705">
        <f t="shared" si="21"/>
        <v>-79574915.406759992</v>
      </c>
      <c r="H39" s="705">
        <f t="shared" si="21"/>
        <v>-2214265.9709999999</v>
      </c>
      <c r="I39" s="705">
        <f t="shared" si="21"/>
        <v>-59210353.825400002</v>
      </c>
      <c r="J39" s="705">
        <f t="shared" si="21"/>
        <v>-46816668.596166663</v>
      </c>
      <c r="K39" s="705"/>
      <c r="L39" s="705">
        <f t="shared" si="21"/>
        <v>-63719141.479542859</v>
      </c>
      <c r="M39" s="705">
        <f t="shared" si="21"/>
        <v>-9909377.1346645486</v>
      </c>
      <c r="N39" s="742">
        <f>-N24+B38</f>
        <v>625540952.79600203</v>
      </c>
      <c r="O39" s="705"/>
      <c r="P39" s="705"/>
      <c r="Q39" s="705"/>
      <c r="R39" s="705"/>
      <c r="S39" s="705"/>
      <c r="T39" s="705"/>
      <c r="U39" s="705"/>
      <c r="V39" s="705"/>
      <c r="W39" s="705"/>
      <c r="X39" s="705"/>
      <c r="Y39" s="705"/>
      <c r="Z39" s="705"/>
      <c r="AA39" s="705"/>
      <c r="AB39" s="705"/>
      <c r="AC39" s="705"/>
      <c r="AD39" s="705"/>
      <c r="AE39" s="705"/>
      <c r="AF39" s="705"/>
      <c r="AG39" s="705"/>
      <c r="AH39" s="705"/>
      <c r="AI39" s="705"/>
      <c r="AJ39" s="705"/>
      <c r="AK39" s="705"/>
      <c r="AL39" s="705"/>
      <c r="AM39" s="705"/>
      <c r="AN39" s="742"/>
      <c r="AO39" s="720"/>
      <c r="AP39" s="720"/>
      <c r="BN39" s="2"/>
      <c r="BP39"/>
    </row>
    <row r="40" spans="1:68">
      <c r="A40" s="722" t="s">
        <v>311</v>
      </c>
      <c r="B40" s="740">
        <f>IF(B39&lt;0,0,IRR(C39:AM39))</f>
        <v>6.2275434904040416E-2</v>
      </c>
      <c r="C40" s="733"/>
      <c r="D40" s="733"/>
      <c r="E40" s="733"/>
      <c r="F40" s="733"/>
      <c r="G40" s="733"/>
      <c r="H40" s="733"/>
      <c r="I40" s="733"/>
      <c r="J40" s="733"/>
      <c r="K40" s="733"/>
      <c r="L40" s="733"/>
      <c r="M40" s="733"/>
      <c r="N40" s="733"/>
      <c r="O40" s="733"/>
      <c r="P40" s="733"/>
      <c r="Q40" s="733"/>
      <c r="R40" s="733"/>
      <c r="S40" s="733"/>
      <c r="T40" s="733"/>
      <c r="U40" s="733"/>
      <c r="V40" s="733"/>
      <c r="W40" s="733"/>
      <c r="X40" s="733"/>
      <c r="Y40" s="733"/>
      <c r="Z40" s="733"/>
      <c r="AA40" s="733"/>
      <c r="AB40" s="733"/>
      <c r="AC40" s="733"/>
      <c r="AD40" s="733"/>
      <c r="AE40" s="733"/>
      <c r="AF40" s="733"/>
      <c r="AG40" s="733"/>
      <c r="AH40" s="733"/>
      <c r="AI40" s="733"/>
      <c r="AJ40" s="733"/>
      <c r="AK40" s="733"/>
      <c r="AL40" s="733"/>
      <c r="AM40" s="733"/>
      <c r="AN40" s="733"/>
      <c r="AO40" s="733"/>
      <c r="AP40" s="720"/>
      <c r="BN40" s="2"/>
      <c r="BP40"/>
    </row>
    <row r="41" spans="1:68">
      <c r="A41" s="720" t="s">
        <v>312</v>
      </c>
      <c r="B41" s="743">
        <f>POWER((1+B40),4)-1</f>
        <v>0.27335223282534904</v>
      </c>
      <c r="C41" s="733"/>
      <c r="D41" s="733"/>
      <c r="E41" s="733"/>
      <c r="F41" s="733"/>
      <c r="G41" s="733"/>
      <c r="H41" s="733"/>
      <c r="I41" s="733"/>
      <c r="J41" s="733"/>
      <c r="K41" s="733"/>
      <c r="L41" s="733"/>
      <c r="M41" s="733"/>
      <c r="N41" s="733"/>
      <c r="O41" s="733"/>
      <c r="P41" s="733"/>
      <c r="Q41" s="733"/>
      <c r="R41" s="733"/>
      <c r="S41" s="733"/>
      <c r="T41" s="733"/>
      <c r="U41" s="733"/>
      <c r="V41" s="733"/>
      <c r="W41" s="733"/>
      <c r="X41" s="733"/>
      <c r="Y41" s="733"/>
      <c r="Z41" s="733"/>
      <c r="AA41" s="733"/>
      <c r="AB41" s="733"/>
      <c r="AC41" s="733"/>
      <c r="AD41" s="733"/>
      <c r="AE41" s="733"/>
      <c r="AF41" s="733"/>
      <c r="AG41" s="733"/>
      <c r="AH41" s="733"/>
      <c r="AI41" s="733"/>
      <c r="AJ41" s="733"/>
      <c r="AK41" s="733"/>
      <c r="AL41" s="733"/>
      <c r="AM41" s="733"/>
      <c r="AN41" s="733"/>
      <c r="AO41" s="720"/>
      <c r="AP41" s="720"/>
      <c r="BN41" s="2"/>
      <c r="BP41"/>
    </row>
    <row r="42" spans="1:68">
      <c r="G42" s="2"/>
      <c r="BN42" s="2"/>
      <c r="BP42"/>
    </row>
    <row r="43" spans="1:68">
      <c r="G43" s="2"/>
      <c r="BN43" s="2"/>
      <c r="BP43"/>
    </row>
    <row r="44" spans="1:68">
      <c r="G44" s="2"/>
      <c r="BN44" s="2"/>
      <c r="BP44"/>
    </row>
    <row r="45" spans="1:68">
      <c r="G45" s="2"/>
      <c r="BN45" s="2"/>
      <c r="BP45"/>
    </row>
    <row r="46" spans="1:68">
      <c r="G46" s="2"/>
    </row>
    <row r="47" spans="1:68">
      <c r="G47" s="2"/>
    </row>
    <row r="48" spans="1:68">
      <c r="G48" s="2"/>
    </row>
    <row r="49" spans="7:7">
      <c r="G49" s="2"/>
    </row>
    <row r="50" spans="7:7">
      <c r="G50" s="2"/>
    </row>
    <row r="51" spans="7:7">
      <c r="G51" s="2"/>
    </row>
    <row r="52" spans="7:7">
      <c r="G52" s="2"/>
    </row>
    <row r="53" spans="7:7">
      <c r="G53" s="2"/>
    </row>
    <row r="54" spans="7:7">
      <c r="G54" s="2"/>
    </row>
    <row r="55" spans="7:7">
      <c r="G55" s="2"/>
    </row>
    <row r="56" spans="7:7">
      <c r="G56" s="2"/>
    </row>
    <row r="57" spans="7:7">
      <c r="G57" s="2"/>
    </row>
    <row r="58" spans="7:7">
      <c r="G58" s="2"/>
    </row>
    <row r="59" spans="7:7">
      <c r="G59" s="2"/>
    </row>
    <row r="60" spans="7:7">
      <c r="G60" s="2"/>
    </row>
    <row r="61" spans="7:7">
      <c r="G61" s="2"/>
    </row>
    <row r="62" spans="7:7">
      <c r="G62" s="2"/>
    </row>
    <row r="63" spans="7:7">
      <c r="G63" s="2"/>
    </row>
    <row r="64" spans="7:7">
      <c r="G64" s="2"/>
    </row>
    <row r="65" spans="7:7">
      <c r="G65" s="2"/>
    </row>
    <row r="66" spans="7:7">
      <c r="G66" s="2"/>
    </row>
    <row r="67" spans="7:7">
      <c r="G67" s="2"/>
    </row>
    <row r="68" spans="7:7">
      <c r="G68" s="2"/>
    </row>
    <row r="69" spans="7:7">
      <c r="G69" s="2"/>
    </row>
    <row r="70" spans="7:7">
      <c r="G70" s="2"/>
    </row>
    <row r="71" spans="7:7">
      <c r="G71" s="2"/>
    </row>
    <row r="72" spans="7:7">
      <c r="G72" s="2"/>
    </row>
    <row r="73" spans="7:7">
      <c r="G73" s="2"/>
    </row>
    <row r="74" spans="7:7">
      <c r="G74" s="2"/>
    </row>
    <row r="75" spans="7:7">
      <c r="G75" s="2"/>
    </row>
    <row r="76" spans="7:7">
      <c r="G76" s="2"/>
    </row>
    <row r="77" spans="7:7">
      <c r="G77" s="2"/>
    </row>
    <row r="78" spans="7:7">
      <c r="G78" s="2"/>
    </row>
    <row r="79" spans="7:7">
      <c r="G79" s="2"/>
    </row>
    <row r="80" spans="7:7">
      <c r="G80" s="2"/>
    </row>
    <row r="81" spans="7:7">
      <c r="G81" s="2"/>
    </row>
    <row r="82" spans="7:7">
      <c r="G82" s="2"/>
    </row>
    <row r="83" spans="7:7">
      <c r="G83" s="2"/>
    </row>
    <row r="84" spans="7:7">
      <c r="G84" s="2"/>
    </row>
    <row r="85" spans="7:7">
      <c r="G85" s="2"/>
    </row>
    <row r="86" spans="7:7">
      <c r="G86" s="2"/>
    </row>
    <row r="87" spans="7:7">
      <c r="G87" s="2"/>
    </row>
    <row r="88" spans="7:7">
      <c r="G88" s="2"/>
    </row>
    <row r="89" spans="7:7">
      <c r="G89" s="2"/>
    </row>
    <row r="90" spans="7:7">
      <c r="G90" s="2"/>
    </row>
    <row r="91" spans="7:7">
      <c r="G91" s="2"/>
    </row>
    <row r="92" spans="7:7">
      <c r="G92" s="2"/>
    </row>
    <row r="93" spans="7:7">
      <c r="G93" s="2"/>
    </row>
    <row r="94" spans="7:7">
      <c r="G94" s="2"/>
    </row>
    <row r="95" spans="7:7">
      <c r="G95" s="2"/>
    </row>
    <row r="96" spans="7:7">
      <c r="G96" s="2"/>
    </row>
    <row r="97" spans="7:7">
      <c r="G97" s="2"/>
    </row>
    <row r="98" spans="7:7">
      <c r="G98" s="2"/>
    </row>
    <row r="99" spans="7:7">
      <c r="G99" s="2"/>
    </row>
    <row r="100" spans="7:7">
      <c r="G100" s="2"/>
    </row>
    <row r="101" spans="7:7">
      <c r="G101" s="2"/>
    </row>
    <row r="102" spans="7:7">
      <c r="G102" s="2"/>
    </row>
    <row r="103" spans="7:7">
      <c r="G103" s="2"/>
    </row>
    <row r="104" spans="7:7">
      <c r="G104" s="2"/>
    </row>
    <row r="105" spans="7:7">
      <c r="G105" s="2"/>
    </row>
    <row r="106" spans="7:7">
      <c r="G106" s="2"/>
    </row>
    <row r="107" spans="7:7">
      <c r="G107" s="2"/>
    </row>
    <row r="108" spans="7:7">
      <c r="G108" s="2"/>
    </row>
    <row r="109" spans="7:7">
      <c r="G109" s="2"/>
    </row>
    <row r="110" spans="7:7">
      <c r="G110" s="2"/>
    </row>
    <row r="111" spans="7:7">
      <c r="G111" s="2"/>
    </row>
    <row r="112" spans="7:7">
      <c r="G112" s="2"/>
    </row>
    <row r="113" spans="7:7">
      <c r="G113" s="2"/>
    </row>
    <row r="114" spans="7:7">
      <c r="G114" s="2"/>
    </row>
    <row r="115" spans="7:7">
      <c r="G115" s="2"/>
    </row>
    <row r="116" spans="7:7">
      <c r="G116" s="2"/>
    </row>
    <row r="117" spans="7:7">
      <c r="G117" s="2"/>
    </row>
    <row r="118" spans="7:7">
      <c r="G118" s="2"/>
    </row>
    <row r="119" spans="7:7">
      <c r="G119" s="2"/>
    </row>
    <row r="120" spans="7:7">
      <c r="G120" s="2"/>
    </row>
    <row r="121" spans="7:7">
      <c r="G121" s="2"/>
    </row>
    <row r="122" spans="7:7">
      <c r="G122" s="2"/>
    </row>
    <row r="123" spans="7:7">
      <c r="G123" s="2"/>
    </row>
    <row r="124" spans="7:7">
      <c r="G124" s="2"/>
    </row>
    <row r="125" spans="7:7">
      <c r="G125" s="2"/>
    </row>
    <row r="126" spans="7:7">
      <c r="G126" s="2"/>
    </row>
    <row r="127" spans="7:7">
      <c r="G127" s="2"/>
    </row>
    <row r="128" spans="7:7">
      <c r="G128" s="2"/>
    </row>
    <row r="129" spans="7:7">
      <c r="G129" s="2"/>
    </row>
    <row r="130" spans="7:7">
      <c r="G130" s="2"/>
    </row>
    <row r="131" spans="7:7">
      <c r="G131" s="2"/>
    </row>
    <row r="132" spans="7:7">
      <c r="G132" s="2"/>
    </row>
    <row r="133" spans="7:7">
      <c r="G133" s="2"/>
    </row>
    <row r="134" spans="7:7">
      <c r="G134" s="2"/>
    </row>
    <row r="135" spans="7:7">
      <c r="G135" s="2"/>
    </row>
    <row r="136" spans="7:7">
      <c r="G136" s="2"/>
    </row>
    <row r="137" spans="7:7">
      <c r="G137" s="2"/>
    </row>
    <row r="138" spans="7:7">
      <c r="G138" s="2"/>
    </row>
    <row r="139" spans="7:7">
      <c r="G139" s="2"/>
    </row>
    <row r="140" spans="7:7">
      <c r="G140" s="2"/>
    </row>
    <row r="141" spans="7:7">
      <c r="G141" s="2"/>
    </row>
    <row r="142" spans="7:7">
      <c r="G142" s="2"/>
    </row>
    <row r="143" spans="7:7">
      <c r="G143" s="2"/>
    </row>
    <row r="144" spans="7:7">
      <c r="G144" s="2"/>
    </row>
    <row r="145" spans="7:7">
      <c r="G145" s="2"/>
    </row>
    <row r="146" spans="7:7">
      <c r="G146" s="2"/>
    </row>
    <row r="147" spans="7:7">
      <c r="G147" s="2"/>
    </row>
    <row r="148" spans="7:7">
      <c r="G148" s="2"/>
    </row>
    <row r="149" spans="7:7">
      <c r="G149" s="2"/>
    </row>
    <row r="150" spans="7:7">
      <c r="G150" s="2"/>
    </row>
    <row r="151" spans="7:7">
      <c r="G151" s="2"/>
    </row>
    <row r="152" spans="7:7">
      <c r="G152" s="2"/>
    </row>
    <row r="153" spans="7:7">
      <c r="G153" s="2"/>
    </row>
    <row r="154" spans="7:7">
      <c r="G154" s="2"/>
    </row>
    <row r="155" spans="7:7">
      <c r="G155" s="2"/>
    </row>
    <row r="156" spans="7:7">
      <c r="G156" s="2"/>
    </row>
    <row r="157" spans="7:7">
      <c r="G157" s="2"/>
    </row>
    <row r="158" spans="7:7">
      <c r="G158" s="2"/>
    </row>
    <row r="159" spans="7:7">
      <c r="G159" s="2"/>
    </row>
    <row r="160" spans="7:7">
      <c r="G160" s="2"/>
    </row>
    <row r="161" spans="7:7">
      <c r="G161" s="2"/>
    </row>
    <row r="162" spans="7:7">
      <c r="G162" s="2"/>
    </row>
    <row r="163" spans="7:7">
      <c r="G163" s="2"/>
    </row>
    <row r="164" spans="7:7">
      <c r="G164" s="2"/>
    </row>
    <row r="165" spans="7:7">
      <c r="G165" s="2"/>
    </row>
    <row r="166" spans="7:7">
      <c r="G166" s="2"/>
    </row>
    <row r="167" spans="7:7">
      <c r="G167" s="2"/>
    </row>
    <row r="168" spans="7:7">
      <c r="G168" s="2"/>
    </row>
    <row r="169" spans="7:7">
      <c r="G169" s="2"/>
    </row>
    <row r="170" spans="7:7">
      <c r="G170" s="2"/>
    </row>
    <row r="171" spans="7:7">
      <c r="G171" s="2"/>
    </row>
    <row r="172" spans="7:7">
      <c r="G172" s="2"/>
    </row>
    <row r="173" spans="7:7">
      <c r="G173" s="2"/>
    </row>
    <row r="174" spans="7:7">
      <c r="G174" s="2"/>
    </row>
    <row r="175" spans="7:7">
      <c r="G175" s="2"/>
    </row>
    <row r="176" spans="7:7">
      <c r="G176" s="2"/>
    </row>
    <row r="177" spans="7:7">
      <c r="G177" s="2"/>
    </row>
    <row r="178" spans="7:7">
      <c r="G178" s="2"/>
    </row>
    <row r="179" spans="7:7">
      <c r="G179" s="2"/>
    </row>
    <row r="180" spans="7:7">
      <c r="G180" s="2"/>
    </row>
    <row r="181" spans="7:7">
      <c r="G181" s="2"/>
    </row>
    <row r="182" spans="7:7">
      <c r="G182" s="2"/>
    </row>
    <row r="183" spans="7:7">
      <c r="G183" s="2"/>
    </row>
    <row r="184" spans="7:7">
      <c r="G184" s="2"/>
    </row>
    <row r="185" spans="7:7">
      <c r="G185" s="2"/>
    </row>
    <row r="186" spans="7:7">
      <c r="G186" s="2"/>
    </row>
    <row r="187" spans="7:7">
      <c r="G187" s="2"/>
    </row>
    <row r="188" spans="7:7">
      <c r="G188" s="2"/>
    </row>
    <row r="189" spans="7:7">
      <c r="G189" s="2"/>
    </row>
    <row r="190" spans="7:7">
      <c r="G190" s="2"/>
    </row>
    <row r="191" spans="7:7">
      <c r="G191" s="2"/>
    </row>
    <row r="192" spans="7:7">
      <c r="G192" s="2"/>
    </row>
    <row r="193" spans="7:7">
      <c r="G193" s="2"/>
    </row>
    <row r="194" spans="7:7">
      <c r="G194" s="2"/>
    </row>
    <row r="195" spans="7:7">
      <c r="G195" s="2"/>
    </row>
    <row r="196" spans="7:7">
      <c r="G196" s="2"/>
    </row>
    <row r="197" spans="7:7">
      <c r="G197" s="2"/>
    </row>
    <row r="198" spans="7:7">
      <c r="G198" s="2"/>
    </row>
    <row r="199" spans="7:7">
      <c r="G199" s="2"/>
    </row>
    <row r="200" spans="7:7">
      <c r="G200" s="2"/>
    </row>
    <row r="201" spans="7:7">
      <c r="G201" s="2"/>
    </row>
    <row r="202" spans="7:7">
      <c r="G202" s="2"/>
    </row>
    <row r="203" spans="7:7">
      <c r="G203" s="2"/>
    </row>
    <row r="204" spans="7:7">
      <c r="G204" s="2"/>
    </row>
    <row r="205" spans="7:7">
      <c r="G205" s="2"/>
    </row>
    <row r="206" spans="7:7">
      <c r="G206" s="2"/>
    </row>
    <row r="207" spans="7:7">
      <c r="G207" s="2"/>
    </row>
    <row r="208" spans="7:7">
      <c r="G208" s="2"/>
    </row>
    <row r="209" spans="7:7">
      <c r="G209" s="2"/>
    </row>
    <row r="210" spans="7:7">
      <c r="G210" s="2"/>
    </row>
    <row r="211" spans="7:7">
      <c r="G211" s="2"/>
    </row>
    <row r="212" spans="7:7">
      <c r="G212" s="2"/>
    </row>
    <row r="213" spans="7:7">
      <c r="G213" s="2"/>
    </row>
    <row r="214" spans="7:7">
      <c r="G214" s="2"/>
    </row>
    <row r="215" spans="7:7">
      <c r="G215" s="2"/>
    </row>
    <row r="216" spans="7:7">
      <c r="G216" s="2"/>
    </row>
    <row r="217" spans="7:7">
      <c r="G217" s="2"/>
    </row>
    <row r="218" spans="7:7">
      <c r="G218" s="2"/>
    </row>
    <row r="219" spans="7:7">
      <c r="G219" s="2"/>
    </row>
    <row r="220" spans="7:7">
      <c r="G220" s="2"/>
    </row>
    <row r="221" spans="7:7">
      <c r="G221" s="2"/>
    </row>
    <row r="222" spans="7:7">
      <c r="G222" s="2"/>
    </row>
    <row r="223" spans="7:7">
      <c r="G223" s="2"/>
    </row>
    <row r="224" spans="7:7">
      <c r="G224" s="2"/>
    </row>
    <row r="225" spans="7:7">
      <c r="G225" s="2"/>
    </row>
    <row r="226" spans="7:7">
      <c r="G226" s="2"/>
    </row>
    <row r="227" spans="7:7">
      <c r="G227" s="2"/>
    </row>
    <row r="228" spans="7:7">
      <c r="G228" s="2"/>
    </row>
    <row r="229" spans="7:7">
      <c r="G229" s="2"/>
    </row>
    <row r="230" spans="7:7">
      <c r="G230" s="2"/>
    </row>
    <row r="231" spans="7:7">
      <c r="G231" s="2"/>
    </row>
    <row r="232" spans="7:7">
      <c r="G232" s="2"/>
    </row>
    <row r="233" spans="7:7">
      <c r="G233" s="2"/>
    </row>
    <row r="234" spans="7:7">
      <c r="G234" s="2"/>
    </row>
    <row r="235" spans="7:7">
      <c r="G235" s="2"/>
    </row>
    <row r="236" spans="7:7">
      <c r="G236" s="2"/>
    </row>
    <row r="237" spans="7:7">
      <c r="G237" s="2"/>
    </row>
    <row r="238" spans="7:7">
      <c r="G238" s="2"/>
    </row>
    <row r="239" spans="7:7">
      <c r="G239" s="2"/>
    </row>
    <row r="240" spans="7:7">
      <c r="G240" s="2"/>
    </row>
    <row r="241" spans="7:7">
      <c r="G241" s="2"/>
    </row>
    <row r="242" spans="7:7">
      <c r="G242" s="2"/>
    </row>
    <row r="243" spans="7:7">
      <c r="G243" s="2"/>
    </row>
    <row r="244" spans="7:7">
      <c r="G244" s="2"/>
    </row>
    <row r="245" spans="7:7">
      <c r="G245" s="2"/>
    </row>
    <row r="246" spans="7:7">
      <c r="G246" s="2"/>
    </row>
    <row r="247" spans="7:7">
      <c r="G247" s="2"/>
    </row>
    <row r="248" spans="7:7">
      <c r="G248" s="2"/>
    </row>
    <row r="249" spans="7:7">
      <c r="G249" s="2"/>
    </row>
    <row r="250" spans="7:7">
      <c r="G250" s="2"/>
    </row>
    <row r="251" spans="7:7">
      <c r="G251" s="2"/>
    </row>
    <row r="252" spans="7:7">
      <c r="G252" s="2"/>
    </row>
    <row r="253" spans="7:7">
      <c r="G253" s="2"/>
    </row>
    <row r="254" spans="7:7">
      <c r="G254" s="2"/>
    </row>
    <row r="255" spans="7:7">
      <c r="G255" s="2"/>
    </row>
    <row r="256" spans="7:7">
      <c r="G256" s="2"/>
    </row>
    <row r="257" spans="7:7">
      <c r="G257" s="2"/>
    </row>
    <row r="258" spans="7:7">
      <c r="G258" s="2"/>
    </row>
    <row r="259" spans="7:7">
      <c r="G259" s="2"/>
    </row>
    <row r="260" spans="7:7">
      <c r="G260" s="2"/>
    </row>
    <row r="261" spans="7:7">
      <c r="G261" s="2"/>
    </row>
    <row r="262" spans="7:7">
      <c r="G262" s="2"/>
    </row>
    <row r="263" spans="7:7">
      <c r="G263" s="2"/>
    </row>
    <row r="264" spans="7:7">
      <c r="G264" s="2"/>
    </row>
    <row r="265" spans="7:7">
      <c r="G265" s="2"/>
    </row>
    <row r="266" spans="7:7">
      <c r="G266" s="2"/>
    </row>
    <row r="267" spans="7:7">
      <c r="G267" s="2"/>
    </row>
    <row r="268" spans="7:7">
      <c r="G268" s="2"/>
    </row>
    <row r="269" spans="7:7">
      <c r="G269" s="2"/>
    </row>
    <row r="270" spans="7:7">
      <c r="G270" s="2"/>
    </row>
    <row r="271" spans="7:7">
      <c r="G271" s="2"/>
    </row>
    <row r="272" spans="7:7">
      <c r="G272" s="2"/>
    </row>
    <row r="273" spans="7:7">
      <c r="G273" s="2"/>
    </row>
    <row r="274" spans="7:7">
      <c r="G274" s="2"/>
    </row>
    <row r="275" spans="7:7">
      <c r="G275" s="2"/>
    </row>
    <row r="276" spans="7:7">
      <c r="G276" s="2"/>
    </row>
    <row r="277" spans="7:7">
      <c r="G277" s="2"/>
    </row>
    <row r="278" spans="7:7">
      <c r="G278" s="2"/>
    </row>
    <row r="279" spans="7:7">
      <c r="G279" s="2"/>
    </row>
    <row r="280" spans="7:7">
      <c r="G280" s="2"/>
    </row>
    <row r="281" spans="7:7">
      <c r="G281" s="2"/>
    </row>
    <row r="282" spans="7:7">
      <c r="G282" s="2"/>
    </row>
    <row r="283" spans="7:7">
      <c r="G283" s="2"/>
    </row>
    <row r="284" spans="7:7">
      <c r="G284" s="2"/>
    </row>
    <row r="285" spans="7:7">
      <c r="G285" s="2"/>
    </row>
    <row r="286" spans="7:7">
      <c r="G286" s="2"/>
    </row>
    <row r="287" spans="7:7">
      <c r="G287" s="2"/>
    </row>
    <row r="288" spans="7:7">
      <c r="G288" s="2"/>
    </row>
    <row r="289" spans="7:7">
      <c r="G289" s="2"/>
    </row>
    <row r="290" spans="7:7">
      <c r="G290" s="2"/>
    </row>
    <row r="291" spans="7:7">
      <c r="G291" s="2"/>
    </row>
    <row r="292" spans="7:7">
      <c r="G292" s="2"/>
    </row>
    <row r="293" spans="7:7">
      <c r="G293" s="2"/>
    </row>
    <row r="294" spans="7:7">
      <c r="G294" s="2"/>
    </row>
    <row r="295" spans="7:7">
      <c r="G295" s="2"/>
    </row>
    <row r="296" spans="7:7">
      <c r="G296" s="2"/>
    </row>
    <row r="297" spans="7:7">
      <c r="G297" s="2"/>
    </row>
    <row r="298" spans="7:7">
      <c r="G298" s="2"/>
    </row>
    <row r="299" spans="7:7">
      <c r="G299" s="2"/>
    </row>
    <row r="300" spans="7:7">
      <c r="G300" s="2"/>
    </row>
    <row r="301" spans="7:7">
      <c r="G301" s="2"/>
    </row>
    <row r="302" spans="7:7">
      <c r="G302" s="2"/>
    </row>
    <row r="303" spans="7:7">
      <c r="G303" s="2"/>
    </row>
    <row r="304" spans="7:7">
      <c r="G304" s="2"/>
    </row>
    <row r="305" spans="7:7">
      <c r="G305" s="2"/>
    </row>
    <row r="306" spans="7:7">
      <c r="G306" s="2"/>
    </row>
    <row r="307" spans="7:7">
      <c r="G307" s="2"/>
    </row>
    <row r="308" spans="7:7">
      <c r="G308" s="2"/>
    </row>
    <row r="309" spans="7:7">
      <c r="G309" s="2"/>
    </row>
    <row r="310" spans="7:7">
      <c r="G310" s="2"/>
    </row>
    <row r="311" spans="7:7">
      <c r="G311" s="2"/>
    </row>
    <row r="312" spans="7:7">
      <c r="G312" s="2"/>
    </row>
    <row r="313" spans="7:7">
      <c r="G313" s="2"/>
    </row>
    <row r="314" spans="7:7">
      <c r="G314" s="2"/>
    </row>
    <row r="315" spans="7:7">
      <c r="G315" s="2"/>
    </row>
    <row r="316" spans="7:7">
      <c r="G316" s="2"/>
    </row>
    <row r="317" spans="7:7">
      <c r="G317" s="2"/>
    </row>
    <row r="318" spans="7:7">
      <c r="G318" s="2"/>
    </row>
    <row r="319" spans="7:7">
      <c r="G319" s="2"/>
    </row>
    <row r="320" spans="7:7">
      <c r="G320" s="2"/>
    </row>
    <row r="321" spans="7:7">
      <c r="G321" s="2"/>
    </row>
    <row r="322" spans="7:7">
      <c r="G322" s="2"/>
    </row>
    <row r="323" spans="7:7">
      <c r="G323" s="2"/>
    </row>
    <row r="324" spans="7:7">
      <c r="G324" s="2"/>
    </row>
    <row r="325" spans="7:7">
      <c r="G325" s="2"/>
    </row>
    <row r="326" spans="7:7">
      <c r="G326" s="2"/>
    </row>
    <row r="327" spans="7:7">
      <c r="G327" s="2"/>
    </row>
    <row r="328" spans="7:7">
      <c r="G328" s="2"/>
    </row>
    <row r="329" spans="7:7">
      <c r="G329" s="2"/>
    </row>
    <row r="330" spans="7:7">
      <c r="G330" s="2"/>
    </row>
    <row r="331" spans="7:7">
      <c r="G331" s="2"/>
    </row>
    <row r="332" spans="7:7">
      <c r="G332" s="2"/>
    </row>
    <row r="333" spans="7:7">
      <c r="G333" s="2"/>
    </row>
    <row r="334" spans="7:7">
      <c r="G334" s="2"/>
    </row>
    <row r="335" spans="7:7">
      <c r="G335" s="2"/>
    </row>
    <row r="336" spans="7:7">
      <c r="G336" s="2"/>
    </row>
    <row r="337" spans="7:7">
      <c r="G337" s="2"/>
    </row>
    <row r="338" spans="7:7">
      <c r="G338" s="2"/>
    </row>
    <row r="339" spans="7:7">
      <c r="G339" s="2"/>
    </row>
    <row r="340" spans="7:7">
      <c r="G340" s="2"/>
    </row>
    <row r="341" spans="7:7">
      <c r="G341" s="2"/>
    </row>
    <row r="342" spans="7:7">
      <c r="G342" s="2"/>
    </row>
    <row r="343" spans="7:7">
      <c r="G343" s="2"/>
    </row>
    <row r="344" spans="7:7">
      <c r="G344" s="2"/>
    </row>
    <row r="345" spans="7:7">
      <c r="G345" s="2"/>
    </row>
    <row r="346" spans="7:7">
      <c r="G346" s="2"/>
    </row>
    <row r="347" spans="7:7">
      <c r="G347" s="2"/>
    </row>
    <row r="348" spans="7:7">
      <c r="G348" s="2"/>
    </row>
    <row r="349" spans="7:7">
      <c r="G349" s="2"/>
    </row>
    <row r="350" spans="7:7">
      <c r="G350" s="2"/>
    </row>
    <row r="351" spans="7:7">
      <c r="G351" s="2"/>
    </row>
    <row r="352" spans="7:7">
      <c r="G352" s="2"/>
    </row>
    <row r="353" spans="7:7">
      <c r="G353" s="2"/>
    </row>
    <row r="354" spans="7:7">
      <c r="G354" s="2"/>
    </row>
    <row r="355" spans="7:7">
      <c r="G355" s="2"/>
    </row>
    <row r="356" spans="7:7">
      <c r="G356" s="2"/>
    </row>
    <row r="357" spans="7:7">
      <c r="G357" s="2"/>
    </row>
    <row r="358" spans="7:7">
      <c r="G358" s="2"/>
    </row>
    <row r="359" spans="7:7">
      <c r="G359" s="2"/>
    </row>
    <row r="360" spans="7:7">
      <c r="G360" s="2"/>
    </row>
    <row r="361" spans="7:7">
      <c r="G361" s="2"/>
    </row>
    <row r="362" spans="7:7">
      <c r="G362" s="2"/>
    </row>
    <row r="363" spans="7:7">
      <c r="G363" s="2"/>
    </row>
    <row r="364" spans="7:7">
      <c r="G364" s="2"/>
    </row>
    <row r="365" spans="7:7">
      <c r="G365" s="2"/>
    </row>
    <row r="366" spans="7:7">
      <c r="G366" s="2"/>
    </row>
    <row r="367" spans="7:7">
      <c r="G367" s="2"/>
    </row>
    <row r="368" spans="7:7">
      <c r="G368" s="2"/>
    </row>
    <row r="369" spans="7:7">
      <c r="G369" s="2"/>
    </row>
    <row r="370" spans="7:7">
      <c r="G370" s="2"/>
    </row>
    <row r="371" spans="7:7">
      <c r="G371" s="2"/>
    </row>
    <row r="372" spans="7:7">
      <c r="G372" s="2"/>
    </row>
    <row r="373" spans="7:7">
      <c r="G373" s="2"/>
    </row>
    <row r="374" spans="7:7">
      <c r="G374" s="2"/>
    </row>
    <row r="375" spans="7:7">
      <c r="G375" s="2"/>
    </row>
    <row r="376" spans="7:7">
      <c r="G376" s="2"/>
    </row>
    <row r="377" spans="7:7">
      <c r="G377" s="2"/>
    </row>
    <row r="378" spans="7:7">
      <c r="G378" s="2"/>
    </row>
    <row r="379" spans="7:7">
      <c r="G379" s="2"/>
    </row>
    <row r="380" spans="7:7">
      <c r="G380" s="2"/>
    </row>
    <row r="381" spans="7:7">
      <c r="G381" s="2"/>
    </row>
    <row r="382" spans="7:7">
      <c r="G382" s="2"/>
    </row>
    <row r="383" spans="7:7">
      <c r="G383" s="2"/>
    </row>
    <row r="384" spans="7:7">
      <c r="G384" s="2"/>
    </row>
    <row r="385" spans="7:7">
      <c r="G385" s="2"/>
    </row>
    <row r="386" spans="7:7">
      <c r="G386" s="2"/>
    </row>
    <row r="387" spans="7:7">
      <c r="G387" s="2"/>
    </row>
    <row r="388" spans="7:7">
      <c r="G388" s="2"/>
    </row>
    <row r="389" spans="7:7">
      <c r="G389" s="2"/>
    </row>
    <row r="390" spans="7:7">
      <c r="G390" s="2"/>
    </row>
    <row r="391" spans="7:7">
      <c r="G391" s="2"/>
    </row>
    <row r="392" spans="7:7">
      <c r="G392" s="2"/>
    </row>
    <row r="393" spans="7:7">
      <c r="G393" s="2"/>
    </row>
    <row r="394" spans="7:7">
      <c r="G394" s="2"/>
    </row>
    <row r="395" spans="7:7">
      <c r="G395" s="2"/>
    </row>
    <row r="396" spans="7:7">
      <c r="G396" s="2"/>
    </row>
    <row r="397" spans="7:7">
      <c r="G397" s="2"/>
    </row>
    <row r="398" spans="7:7">
      <c r="G398" s="2"/>
    </row>
    <row r="399" spans="7:7">
      <c r="G399" s="2"/>
    </row>
    <row r="400" spans="7:7">
      <c r="G400" s="2"/>
    </row>
    <row r="401" spans="7:7">
      <c r="G401" s="2"/>
    </row>
    <row r="402" spans="7:7">
      <c r="G402" s="2"/>
    </row>
    <row r="403" spans="7:7">
      <c r="G403" s="2"/>
    </row>
    <row r="404" spans="7:7">
      <c r="G404" s="2"/>
    </row>
    <row r="405" spans="7:7">
      <c r="G405" s="2"/>
    </row>
    <row r="406" spans="7:7">
      <c r="G406" s="2"/>
    </row>
    <row r="407" spans="7:7">
      <c r="G407" s="2"/>
    </row>
    <row r="408" spans="7:7">
      <c r="G408" s="2"/>
    </row>
    <row r="409" spans="7:7">
      <c r="G409" s="2"/>
    </row>
    <row r="410" spans="7:7">
      <c r="G410" s="2"/>
    </row>
    <row r="411" spans="7:7">
      <c r="G411" s="2"/>
    </row>
    <row r="412" spans="7:7">
      <c r="G412" s="2"/>
    </row>
    <row r="413" spans="7:7">
      <c r="G413" s="2"/>
    </row>
    <row r="414" spans="7:7">
      <c r="G414" s="2"/>
    </row>
    <row r="415" spans="7:7">
      <c r="G415" s="2"/>
    </row>
    <row r="416" spans="7:7">
      <c r="G416" s="2"/>
    </row>
    <row r="417" spans="7:7">
      <c r="G417" s="2"/>
    </row>
    <row r="418" spans="7:7">
      <c r="G418" s="2"/>
    </row>
    <row r="419" spans="7:7">
      <c r="G419" s="2"/>
    </row>
    <row r="420" spans="7:7">
      <c r="G420" s="2"/>
    </row>
    <row r="421" spans="7:7">
      <c r="G421" s="2"/>
    </row>
    <row r="422" spans="7:7">
      <c r="G422" s="2"/>
    </row>
    <row r="423" spans="7:7">
      <c r="G423" s="2"/>
    </row>
    <row r="424" spans="7:7">
      <c r="G424" s="2"/>
    </row>
    <row r="425" spans="7:7">
      <c r="G425" s="2"/>
    </row>
    <row r="426" spans="7:7">
      <c r="G426" s="2"/>
    </row>
    <row r="427" spans="7:7">
      <c r="G427" s="2"/>
    </row>
    <row r="428" spans="7:7">
      <c r="G428" s="2"/>
    </row>
    <row r="429" spans="7:7">
      <c r="G429" s="2"/>
    </row>
    <row r="430" spans="7:7">
      <c r="G430" s="2"/>
    </row>
    <row r="431" spans="7:7">
      <c r="G431" s="2"/>
    </row>
    <row r="432" spans="7:7">
      <c r="G432" s="2"/>
    </row>
    <row r="433" spans="7:7">
      <c r="G433" s="2"/>
    </row>
    <row r="434" spans="7:7">
      <c r="G434" s="2"/>
    </row>
    <row r="435" spans="7:7">
      <c r="G435" s="2"/>
    </row>
    <row r="436" spans="7:7">
      <c r="G436" s="2"/>
    </row>
    <row r="437" spans="7:7">
      <c r="G437" s="2"/>
    </row>
    <row r="438" spans="7:7">
      <c r="G438" s="2"/>
    </row>
    <row r="439" spans="7:7">
      <c r="G439" s="2"/>
    </row>
    <row r="440" spans="7:7">
      <c r="G440" s="2"/>
    </row>
    <row r="441" spans="7:7">
      <c r="G441" s="2"/>
    </row>
    <row r="442" spans="7:7">
      <c r="G442" s="2"/>
    </row>
    <row r="443" spans="7:7">
      <c r="G443" s="2"/>
    </row>
    <row r="444" spans="7:7">
      <c r="G444" s="2"/>
    </row>
    <row r="445" spans="7:7">
      <c r="G445" s="2"/>
    </row>
    <row r="446" spans="7:7">
      <c r="G446" s="2"/>
    </row>
    <row r="447" spans="7:7">
      <c r="G447" s="2"/>
    </row>
    <row r="448" spans="7:7">
      <c r="G448" s="2"/>
    </row>
    <row r="449" spans="7:7">
      <c r="G449" s="2"/>
    </row>
    <row r="450" spans="7:7">
      <c r="G450" s="2"/>
    </row>
    <row r="451" spans="7:7">
      <c r="G451" s="2"/>
    </row>
    <row r="452" spans="7:7">
      <c r="G452" s="2"/>
    </row>
    <row r="453" spans="7:7">
      <c r="G453" s="2"/>
    </row>
    <row r="454" spans="7:7">
      <c r="G454" s="2"/>
    </row>
    <row r="455" spans="7:7">
      <c r="G455" s="2"/>
    </row>
    <row r="456" spans="7:7">
      <c r="G456" s="2"/>
    </row>
    <row r="457" spans="7:7">
      <c r="G457" s="2"/>
    </row>
    <row r="458" spans="7:7">
      <c r="G458" s="2"/>
    </row>
    <row r="459" spans="7:7">
      <c r="G459" s="2"/>
    </row>
    <row r="460" spans="7:7">
      <c r="G460" s="2"/>
    </row>
    <row r="461" spans="7:7">
      <c r="G461" s="2"/>
    </row>
    <row r="462" spans="7:7">
      <c r="G462" s="2"/>
    </row>
    <row r="463" spans="7:7">
      <c r="G463" s="2"/>
    </row>
    <row r="464" spans="7:7">
      <c r="G464" s="2"/>
    </row>
    <row r="465" spans="7:7">
      <c r="G465" s="2"/>
    </row>
    <row r="466" spans="7:7">
      <c r="G466" s="2"/>
    </row>
    <row r="467" spans="7:7">
      <c r="G467" s="2"/>
    </row>
    <row r="468" spans="7:7">
      <c r="G468" s="2"/>
    </row>
    <row r="469" spans="7:7">
      <c r="G469" s="2"/>
    </row>
    <row r="470" spans="7:7">
      <c r="G470" s="2"/>
    </row>
    <row r="471" spans="7:7">
      <c r="G471" s="2"/>
    </row>
    <row r="472" spans="7:7">
      <c r="G472" s="2"/>
    </row>
    <row r="473" spans="7:7">
      <c r="G473" s="2"/>
    </row>
    <row r="474" spans="7:7">
      <c r="G474" s="2"/>
    </row>
    <row r="475" spans="7:7">
      <c r="G475" s="2"/>
    </row>
    <row r="476" spans="7:7">
      <c r="G476" s="2"/>
    </row>
    <row r="477" spans="7:7">
      <c r="G477" s="2"/>
    </row>
    <row r="478" spans="7:7">
      <c r="G478" s="2"/>
    </row>
    <row r="479" spans="7:7">
      <c r="G479" s="2"/>
    </row>
    <row r="480" spans="7:7">
      <c r="G480" s="2"/>
    </row>
    <row r="481" spans="7:7">
      <c r="G481" s="2"/>
    </row>
    <row r="482" spans="7:7">
      <c r="G482" s="2"/>
    </row>
    <row r="483" spans="7:7">
      <c r="G483" s="2"/>
    </row>
    <row r="484" spans="7:7">
      <c r="G484" s="2"/>
    </row>
    <row r="485" spans="7:7">
      <c r="G485" s="2"/>
    </row>
    <row r="486" spans="7:7">
      <c r="G486" s="2"/>
    </row>
    <row r="487" spans="7:7">
      <c r="G487" s="2"/>
    </row>
    <row r="488" spans="7:7">
      <c r="G488" s="2"/>
    </row>
    <row r="489" spans="7:7">
      <c r="G489" s="2"/>
    </row>
    <row r="490" spans="7:7">
      <c r="G490" s="2"/>
    </row>
    <row r="491" spans="7:7">
      <c r="G491" s="2"/>
    </row>
    <row r="492" spans="7:7">
      <c r="G492" s="2"/>
    </row>
    <row r="493" spans="7:7">
      <c r="G493" s="2"/>
    </row>
    <row r="494" spans="7:7">
      <c r="G494" s="2"/>
    </row>
    <row r="495" spans="7:7">
      <c r="G495" s="2"/>
    </row>
    <row r="496" spans="7:7">
      <c r="G496" s="2"/>
    </row>
    <row r="497" spans="7:7">
      <c r="G497" s="2"/>
    </row>
    <row r="498" spans="7:7">
      <c r="G498" s="2"/>
    </row>
    <row r="499" spans="7:7">
      <c r="G499" s="2"/>
    </row>
    <row r="500" spans="7:7">
      <c r="G500" s="2"/>
    </row>
    <row r="501" spans="7:7">
      <c r="G501" s="2"/>
    </row>
    <row r="502" spans="7:7">
      <c r="G502" s="2"/>
    </row>
    <row r="503" spans="7:7">
      <c r="G503" s="2"/>
    </row>
    <row r="504" spans="7:7">
      <c r="G504" s="2"/>
    </row>
    <row r="505" spans="7:7">
      <c r="G505" s="2"/>
    </row>
    <row r="506" spans="7:7">
      <c r="G506" s="2"/>
    </row>
    <row r="507" spans="7:7">
      <c r="G507" s="2"/>
    </row>
    <row r="508" spans="7:7">
      <c r="G508" s="2"/>
    </row>
    <row r="509" spans="7:7">
      <c r="G509" s="2"/>
    </row>
    <row r="510" spans="7:7">
      <c r="G510" s="2"/>
    </row>
    <row r="511" spans="7:7">
      <c r="G511" s="2"/>
    </row>
    <row r="512" spans="7:7">
      <c r="G512" s="2"/>
    </row>
    <row r="513" spans="7:7">
      <c r="G513" s="2"/>
    </row>
    <row r="514" spans="7:7">
      <c r="G514" s="2"/>
    </row>
    <row r="515" spans="7:7">
      <c r="G515" s="2"/>
    </row>
    <row r="516" spans="7:7">
      <c r="G516" s="2"/>
    </row>
    <row r="517" spans="7:7">
      <c r="G517" s="2"/>
    </row>
    <row r="518" spans="7:7">
      <c r="G518" s="2"/>
    </row>
    <row r="519" spans="7:7">
      <c r="G519" s="2"/>
    </row>
    <row r="520" spans="7:7">
      <c r="G520" s="2"/>
    </row>
    <row r="521" spans="7:7">
      <c r="G521" s="2"/>
    </row>
    <row r="522" spans="7:7">
      <c r="G522" s="2"/>
    </row>
    <row r="523" spans="7:7">
      <c r="G523" s="2"/>
    </row>
    <row r="524" spans="7:7">
      <c r="G524" s="2"/>
    </row>
    <row r="525" spans="7:7">
      <c r="G525" s="2"/>
    </row>
    <row r="526" spans="7:7">
      <c r="G526" s="2"/>
    </row>
    <row r="527" spans="7:7">
      <c r="G527" s="2"/>
    </row>
    <row r="528" spans="7:7">
      <c r="G528" s="2"/>
    </row>
    <row r="529" spans="7:7">
      <c r="G529" s="2"/>
    </row>
    <row r="530" spans="7:7">
      <c r="G530" s="2"/>
    </row>
    <row r="531" spans="7:7">
      <c r="G531" s="2"/>
    </row>
    <row r="532" spans="7:7">
      <c r="G532" s="2"/>
    </row>
    <row r="533" spans="7:7">
      <c r="G533" s="2"/>
    </row>
    <row r="534" spans="7:7">
      <c r="G534" s="2"/>
    </row>
    <row r="535" spans="7:7">
      <c r="G535" s="2"/>
    </row>
    <row r="536" spans="7:7">
      <c r="G536" s="2"/>
    </row>
    <row r="537" spans="7:7">
      <c r="G537" s="2"/>
    </row>
    <row r="538" spans="7:7">
      <c r="G538" s="2"/>
    </row>
    <row r="539" spans="7:7">
      <c r="G539" s="2"/>
    </row>
    <row r="540" spans="7:7">
      <c r="G540" s="2"/>
    </row>
    <row r="541" spans="7:7">
      <c r="G541" s="2"/>
    </row>
    <row r="542" spans="7:7">
      <c r="G542" s="2"/>
    </row>
    <row r="543" spans="7:7">
      <c r="G543" s="2"/>
    </row>
    <row r="544" spans="7:7">
      <c r="G544" s="2"/>
    </row>
    <row r="545" spans="7:7">
      <c r="G545" s="2"/>
    </row>
    <row r="546" spans="7:7">
      <c r="G546" s="2"/>
    </row>
    <row r="547" spans="7:7">
      <c r="G547" s="2"/>
    </row>
    <row r="548" spans="7:7">
      <c r="G548" s="2"/>
    </row>
    <row r="549" spans="7:7">
      <c r="G549" s="2"/>
    </row>
    <row r="550" spans="7:7">
      <c r="G550" s="2"/>
    </row>
    <row r="551" spans="7:7">
      <c r="G551" s="2"/>
    </row>
    <row r="552" spans="7:7">
      <c r="G552" s="2"/>
    </row>
    <row r="553" spans="7:7">
      <c r="G553" s="2"/>
    </row>
    <row r="554" spans="7:7">
      <c r="G554" s="2"/>
    </row>
    <row r="555" spans="7:7">
      <c r="G555" s="2"/>
    </row>
    <row r="556" spans="7:7">
      <c r="G556" s="2"/>
    </row>
    <row r="557" spans="7:7">
      <c r="G557" s="2"/>
    </row>
    <row r="558" spans="7:7">
      <c r="G558" s="2"/>
    </row>
    <row r="559" spans="7:7">
      <c r="G559" s="2"/>
    </row>
    <row r="560" spans="7:7">
      <c r="G560" s="2"/>
    </row>
    <row r="561" spans="7:7">
      <c r="G561" s="2"/>
    </row>
    <row r="562" spans="7:7">
      <c r="G562" s="2"/>
    </row>
    <row r="563" spans="7:7">
      <c r="G563" s="2"/>
    </row>
    <row r="564" spans="7:7">
      <c r="G564" s="2"/>
    </row>
    <row r="565" spans="7:7">
      <c r="G565" s="2"/>
    </row>
    <row r="566" spans="7:7">
      <c r="G566" s="2"/>
    </row>
    <row r="567" spans="7:7">
      <c r="G567" s="2"/>
    </row>
    <row r="568" spans="7:7">
      <c r="G568" s="2"/>
    </row>
    <row r="569" spans="7:7">
      <c r="G569" s="2"/>
    </row>
    <row r="570" spans="7:7">
      <c r="G570" s="2"/>
    </row>
    <row r="571" spans="7:7">
      <c r="G571" s="2"/>
    </row>
    <row r="572" spans="7:7">
      <c r="G572" s="2"/>
    </row>
    <row r="573" spans="7:7">
      <c r="G573" s="2"/>
    </row>
    <row r="574" spans="7:7">
      <c r="G574" s="2"/>
    </row>
    <row r="575" spans="7:7">
      <c r="G575" s="2"/>
    </row>
    <row r="576" spans="7:7">
      <c r="G576" s="2"/>
    </row>
    <row r="577" spans="7:7">
      <c r="G577" s="2"/>
    </row>
    <row r="578" spans="7:7">
      <c r="G578" s="2"/>
    </row>
    <row r="579" spans="7:7">
      <c r="G579" s="2"/>
    </row>
    <row r="580" spans="7:7">
      <c r="G580" s="2"/>
    </row>
    <row r="581" spans="7:7">
      <c r="G581" s="2"/>
    </row>
    <row r="582" spans="7:7">
      <c r="G582" s="2"/>
    </row>
    <row r="583" spans="7:7">
      <c r="G583" s="2"/>
    </row>
    <row r="584" spans="7:7">
      <c r="G584" s="2"/>
    </row>
    <row r="585" spans="7:7">
      <c r="G585" s="2"/>
    </row>
    <row r="586" spans="7:7">
      <c r="G586" s="2"/>
    </row>
    <row r="587" spans="7:7">
      <c r="G587" s="2"/>
    </row>
    <row r="588" spans="7:7">
      <c r="G588" s="2"/>
    </row>
    <row r="589" spans="7:7">
      <c r="G589" s="2"/>
    </row>
    <row r="590" spans="7:7">
      <c r="G590" s="2"/>
    </row>
    <row r="591" spans="7:7">
      <c r="G591" s="2"/>
    </row>
    <row r="592" spans="7:7">
      <c r="G592" s="2"/>
    </row>
    <row r="593" spans="7:7">
      <c r="G593" s="2"/>
    </row>
    <row r="594" spans="7:7">
      <c r="G594" s="2"/>
    </row>
    <row r="595" spans="7:7">
      <c r="G595" s="2"/>
    </row>
    <row r="596" spans="7:7">
      <c r="G596" s="2"/>
    </row>
    <row r="597" spans="7:7">
      <c r="G597" s="2"/>
    </row>
    <row r="598" spans="7:7">
      <c r="G598" s="2"/>
    </row>
  </sheetData>
  <mergeCells count="3">
    <mergeCell ref="A1:A3"/>
    <mergeCell ref="A37:B37"/>
    <mergeCell ref="A32:B32"/>
  </mergeCells>
  <phoneticPr fontId="168" type="noConversion"/>
  <conditionalFormatting sqref="AN3:AP3">
    <cfRule type="cellIs" dxfId="23" priority="13" operator="equal">
      <formula>#REF!</formula>
    </cfRule>
    <cfRule type="cellIs" dxfId="22" priority="14" operator="equal">
      <formula>#REF!</formula>
    </cfRule>
  </conditionalFormatting>
  <conditionalFormatting sqref="AN3:AP3">
    <cfRule type="cellIs" dxfId="21" priority="15" operator="equal">
      <formula>#REF!</formula>
    </cfRule>
    <cfRule type="cellIs" dxfId="20" priority="16" operator="equal">
      <formula>#REF!</formula>
    </cfRule>
  </conditionalFormatting>
  <conditionalFormatting sqref="AL4:AM4">
    <cfRule type="cellIs" dxfId="19" priority="9" operator="equal">
      <formula>#REF!</formula>
    </cfRule>
    <cfRule type="cellIs" dxfId="18" priority="10" operator="equal">
      <formula>#REF!</formula>
    </cfRule>
  </conditionalFormatting>
  <conditionalFormatting sqref="AL4:AM4">
    <cfRule type="cellIs" dxfId="17" priority="11" operator="equal">
      <formula>#REF!</formula>
    </cfRule>
    <cfRule type="cellIs" dxfId="16" priority="12" operator="equal">
      <formula>#REF!</formula>
    </cfRule>
  </conditionalFormatting>
  <conditionalFormatting sqref="AL4:AM4">
    <cfRule type="cellIs" dxfId="15" priority="5" operator="equal">
      <formula>#REF!</formula>
    </cfRule>
    <cfRule type="cellIs" dxfId="14" priority="6" operator="equal">
      <formula>#REF!</formula>
    </cfRule>
  </conditionalFormatting>
  <conditionalFormatting sqref="AL4:AM4">
    <cfRule type="cellIs" dxfId="13" priority="7" operator="equal">
      <formula>#REF!</formula>
    </cfRule>
    <cfRule type="cellIs" dxfId="12" priority="8" operator="equal">
      <formula>#REF!</formula>
    </cfRule>
  </conditionalFormatting>
  <pageMargins left="0.7" right="0.7" top="0.75" bottom="0.75" header="0.3" footer="0.3"/>
  <pageSetup paperSize="3" orientation="landscape" horizontalDpi="1200" verticalDpi="1200" r:id="rId1"/>
  <headerFooter>
    <oddHeader>&amp;C&amp;"Calibri,Regular"&amp;K000000OVERALL DRAW</oddHeader>
    <oddFooter>&amp;C&amp;"Calibri,Regular"&amp;K000000PAGE &amp;P OF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6CE2B2-F63D-4E20-9F69-425BD4EB3890}">
  <sheetPr>
    <tabColor theme="6" tint="-0.249977111117893"/>
    <pageSetUpPr fitToPage="1"/>
  </sheetPr>
  <dimension ref="A1:G100"/>
  <sheetViews>
    <sheetView showGridLines="0" zoomScaleNormal="100" zoomScaleSheetLayoutView="90" workbookViewId="0">
      <selection activeCell="E41" sqref="E41"/>
    </sheetView>
  </sheetViews>
  <sheetFormatPr defaultColWidth="8.85546875" defaultRowHeight="23.25" customHeight="1"/>
  <cols>
    <col min="1" max="1" width="33.85546875" style="2" bestFit="1" customWidth="1"/>
    <col min="2" max="2" width="21.42578125" style="2" bestFit="1" customWidth="1"/>
    <col min="3" max="3" width="22.28515625" style="2" bestFit="1" customWidth="1"/>
    <col min="4" max="4" width="11.7109375" style="2" bestFit="1" customWidth="1"/>
    <col min="5" max="5" width="18.140625" style="2" bestFit="1" customWidth="1"/>
    <col min="6" max="6" width="3.85546875" style="2" bestFit="1" customWidth="1"/>
    <col min="7" max="7" width="11.42578125" style="2" bestFit="1" customWidth="1"/>
    <col min="8" max="8" width="24.7109375" style="2" customWidth="1"/>
    <col min="9" max="9" width="32.42578125" style="2" customWidth="1"/>
    <col min="10" max="10" width="20.140625" style="2" customWidth="1"/>
    <col min="11" max="16384" width="8.85546875" style="2"/>
  </cols>
  <sheetData>
    <row r="1" spans="1:6" ht="17.100000000000001" thickBot="1">
      <c r="A1" s="349" t="s">
        <v>196</v>
      </c>
      <c r="B1" s="350"/>
      <c r="C1" s="350"/>
      <c r="D1" s="748" t="s">
        <v>313</v>
      </c>
      <c r="E1" s="748"/>
    </row>
    <row r="2" spans="1:6" ht="12.95">
      <c r="A2" s="3"/>
      <c r="B2" s="4"/>
      <c r="C2" s="4"/>
      <c r="D2" s="749">
        <v>0</v>
      </c>
      <c r="E2" s="750" t="s">
        <v>198</v>
      </c>
    </row>
    <row r="3" spans="1:6" ht="12.95">
      <c r="A3" s="5" t="s">
        <v>314</v>
      </c>
      <c r="B3" s="6" t="s">
        <v>200</v>
      </c>
      <c r="C3" s="6" t="s">
        <v>315</v>
      </c>
      <c r="D3" s="6" t="s">
        <v>316</v>
      </c>
      <c r="E3" s="7" t="s">
        <v>317</v>
      </c>
    </row>
    <row r="4" spans="1:6" ht="12.95">
      <c r="A4" s="751" t="s">
        <v>318</v>
      </c>
      <c r="B4" s="752">
        <v>23</v>
      </c>
      <c r="C4" s="752">
        <v>1100</v>
      </c>
      <c r="D4" s="753">
        <f>Assumptions!D14</f>
        <v>480</v>
      </c>
      <c r="E4" s="754">
        <f>B4*C4*D4</f>
        <v>12144000</v>
      </c>
    </row>
    <row r="5" spans="1:6" ht="14.1" thickBot="1">
      <c r="A5" s="751" t="s">
        <v>319</v>
      </c>
      <c r="B5" s="752">
        <v>28</v>
      </c>
      <c r="C5" s="752">
        <v>1500</v>
      </c>
      <c r="D5" s="753">
        <f>Assumptions!D17</f>
        <v>620</v>
      </c>
      <c r="E5" s="754">
        <f>B5*C5*D5</f>
        <v>26040000</v>
      </c>
    </row>
    <row r="6" spans="1:6" ht="12.95" hidden="1">
      <c r="A6" s="755"/>
      <c r="B6" s="756"/>
      <c r="C6" s="756"/>
      <c r="D6" s="757"/>
      <c r="E6" s="754"/>
    </row>
    <row r="7" spans="1:6" ht="12.95" hidden="1">
      <c r="A7" s="755"/>
      <c r="B7" s="758"/>
      <c r="C7" s="758"/>
      <c r="D7" s="757"/>
      <c r="E7" s="754"/>
    </row>
    <row r="8" spans="1:6" ht="12.95" hidden="1">
      <c r="A8" s="755"/>
      <c r="B8" s="759"/>
      <c r="C8" s="759"/>
      <c r="D8" s="760"/>
      <c r="E8" s="754"/>
      <c r="F8" s="2">
        <f>50000/500</f>
        <v>100</v>
      </c>
    </row>
    <row r="9" spans="1:6" ht="14.1" hidden="1" thickBot="1">
      <c r="A9" s="755"/>
      <c r="B9" s="759"/>
      <c r="C9" s="759"/>
      <c r="D9" s="760"/>
      <c r="E9" s="761"/>
    </row>
    <row r="10" spans="1:6" ht="15" thickTop="1" thickBot="1">
      <c r="A10" s="8" t="s">
        <v>208</v>
      </c>
      <c r="B10" s="9">
        <f>SUM(B4:B9)</f>
        <v>51</v>
      </c>
      <c r="C10" s="10">
        <f>B4*C4+B5*C5+B6*C6+B7*C7+B8*C8+B9*C9</f>
        <v>67300</v>
      </c>
      <c r="D10" s="11"/>
      <c r="E10" s="762">
        <f>SUM(E4:E9)</f>
        <v>38184000</v>
      </c>
    </row>
    <row r="11" spans="1:6" ht="15" thickTop="1" thickBot="1">
      <c r="A11" s="12" t="s">
        <v>209</v>
      </c>
      <c r="B11" s="13"/>
      <c r="C11" s="14">
        <f>C10/B10</f>
        <v>1319.6078431372548</v>
      </c>
      <c r="D11" s="15">
        <f>(E10/12)/C10</f>
        <v>47.280832095096585</v>
      </c>
      <c r="E11" s="763"/>
    </row>
    <row r="12" spans="1:6" ht="12.95">
      <c r="A12" s="16"/>
      <c r="B12" s="764"/>
      <c r="C12" s="765"/>
      <c r="D12" s="766"/>
    </row>
    <row r="13" spans="1:6" ht="12.95">
      <c r="A13" s="5" t="s">
        <v>216</v>
      </c>
      <c r="B13" s="6" t="s">
        <v>217</v>
      </c>
      <c r="C13" s="6" t="s">
        <v>218</v>
      </c>
      <c r="D13" s="6" t="s">
        <v>203</v>
      </c>
    </row>
    <row r="14" spans="1:6" ht="21" customHeight="1">
      <c r="A14" s="767" t="s">
        <v>30</v>
      </c>
      <c r="B14" s="768">
        <f>SUMIF('Development Program'!E45:E64,"RETAIL-MU",'Development Program'!D45:D64)</f>
        <v>111019</v>
      </c>
      <c r="C14" s="240">
        <f>Assumptions!F11</f>
        <v>32</v>
      </c>
      <c r="D14" s="769">
        <f>B14*C15</f>
        <v>3885665</v>
      </c>
    </row>
    <row r="15" spans="1:6" ht="14.1" thickBot="1">
      <c r="A15" s="770" t="s">
        <v>6</v>
      </c>
      <c r="B15" s="771">
        <f>SUMIF('Development Program'!E45:E64,"OFFICE-MU",'Development Program'!D45:D64)</f>
        <v>399111</v>
      </c>
      <c r="C15" s="772">
        <f>Assumptions!F6</f>
        <v>35</v>
      </c>
      <c r="D15" s="773">
        <f>B15*C15</f>
        <v>13968885</v>
      </c>
    </row>
    <row r="16" spans="1:6" ht="14.1" thickTop="1">
      <c r="A16" s="17" t="s">
        <v>219</v>
      </c>
      <c r="B16" s="774">
        <f>SUM(B14:B15)</f>
        <v>510130</v>
      </c>
      <c r="C16" s="775">
        <f>IF(B16=0,0,D16/B16)</f>
        <v>35</v>
      </c>
      <c r="D16" s="776">
        <f>SUM(D14:D15)</f>
        <v>17854550</v>
      </c>
      <c r="E16" s="18"/>
    </row>
    <row r="17" spans="1:7" ht="12.95">
      <c r="A17" s="241"/>
      <c r="B17" s="242"/>
      <c r="C17" s="19"/>
      <c r="D17" s="20"/>
      <c r="E17" s="18"/>
    </row>
    <row r="18" spans="1:7" ht="12.95">
      <c r="A18" s="241"/>
      <c r="B18" s="242"/>
      <c r="C18" s="19"/>
      <c r="D18" s="20"/>
      <c r="E18" s="18"/>
    </row>
    <row r="19" spans="1:7" ht="14.1" thickBot="1">
      <c r="A19" s="241"/>
      <c r="B19" s="242"/>
      <c r="C19" s="19"/>
      <c r="D19" s="20"/>
      <c r="E19" s="18"/>
    </row>
    <row r="20" spans="1:7" ht="12.95">
      <c r="A20" s="777" t="s">
        <v>118</v>
      </c>
      <c r="B20" s="778"/>
    </row>
    <row r="21" spans="1:7" ht="12.95">
      <c r="A21" s="389" t="s">
        <v>320</v>
      </c>
      <c r="B21" s="779">
        <v>160</v>
      </c>
      <c r="C21" s="19"/>
      <c r="D21" s="20"/>
    </row>
    <row r="22" spans="1:7" ht="14.1" thickBot="1">
      <c r="A22" s="433" t="s">
        <v>321</v>
      </c>
      <c r="B22" s="779">
        <v>30</v>
      </c>
      <c r="C22" s="19"/>
      <c r="D22" s="20"/>
    </row>
    <row r="23" spans="1:7" ht="15" thickTop="1" thickBot="1">
      <c r="A23" s="780" t="s">
        <v>222</v>
      </c>
      <c r="B23" s="781">
        <f>SUM(B21:B22)</f>
        <v>190</v>
      </c>
      <c r="C23" s="19"/>
      <c r="D23" s="20"/>
    </row>
    <row r="24" spans="1:7" ht="12.95">
      <c r="A24" s="777" t="s">
        <v>223</v>
      </c>
      <c r="B24" s="782" t="str">
        <f>'Development Program'!B69</f>
        <v>Community Center</v>
      </c>
      <c r="C24" s="21"/>
      <c r="D24" s="21"/>
      <c r="E24" s="21"/>
      <c r="G24" s="2">
        <f>SUMIF('Development Program'!E45:E64,"RETAIL-MU",'Development Program'!D45:D64)</f>
        <v>111019</v>
      </c>
    </row>
    <row r="25" spans="1:7" ht="12.95">
      <c r="A25" s="783" t="s">
        <v>224</v>
      </c>
      <c r="B25" s="784">
        <f>'Development Program'!D26</f>
        <v>49003</v>
      </c>
      <c r="C25" s="22"/>
      <c r="D25" s="23"/>
      <c r="E25" s="21"/>
    </row>
    <row r="26" spans="1:7" ht="12.95">
      <c r="A26" s="783" t="s">
        <v>322</v>
      </c>
      <c r="B26" s="784">
        <f>C10</f>
        <v>67300</v>
      </c>
      <c r="C26" s="22"/>
      <c r="D26" s="23"/>
      <c r="E26" s="21"/>
    </row>
    <row r="27" spans="1:7" ht="12.95">
      <c r="A27" s="785">
        <v>400</v>
      </c>
      <c r="B27" s="784">
        <f>B22*A27</f>
        <v>12000</v>
      </c>
      <c r="C27" s="22"/>
      <c r="D27" s="23"/>
      <c r="E27" s="21"/>
    </row>
    <row r="28" spans="1:7" ht="12.95">
      <c r="A28" s="786">
        <v>0.05</v>
      </c>
      <c r="B28" s="784">
        <f>(1+A28)*(B26+B27)</f>
        <v>83265</v>
      </c>
      <c r="C28" s="22"/>
      <c r="D28" s="23"/>
      <c r="E28" s="21"/>
    </row>
    <row r="29" spans="1:7" ht="14.1" thickBot="1">
      <c r="A29" s="787">
        <v>3</v>
      </c>
      <c r="B29" s="788">
        <f>B28/A29</f>
        <v>27755</v>
      </c>
      <c r="C29" s="22"/>
      <c r="D29" s="23"/>
      <c r="E29" s="21"/>
    </row>
    <row r="30" spans="1:7" ht="14.1" thickBot="1">
      <c r="A30" s="789" t="s">
        <v>323</v>
      </c>
      <c r="B30" s="790"/>
      <c r="C30" s="790"/>
      <c r="D30" s="791"/>
      <c r="E30" s="21"/>
    </row>
    <row r="31" spans="1:7" ht="30.6" customHeight="1" thickBot="1">
      <c r="A31" s="792" t="s">
        <v>227</v>
      </c>
      <c r="B31" s="793" t="s">
        <v>228</v>
      </c>
      <c r="C31" s="793" t="s">
        <v>229</v>
      </c>
      <c r="D31" s="794" t="s">
        <v>324</v>
      </c>
      <c r="E31" s="21"/>
    </row>
    <row r="32" spans="1:7" ht="31.35" customHeight="1">
      <c r="A32" s="795" t="s">
        <v>270</v>
      </c>
      <c r="B32" s="796">
        <f>D32/B10</f>
        <v>748705.8823529412</v>
      </c>
      <c r="C32" s="797">
        <f>D32/C10</f>
        <v>567.36998514115896</v>
      </c>
      <c r="D32" s="798">
        <f>E10</f>
        <v>38184000</v>
      </c>
      <c r="E32" s="21"/>
    </row>
    <row r="33" spans="1:5" ht="14.1" thickBot="1">
      <c r="A33" s="799">
        <v>0.04</v>
      </c>
      <c r="B33" s="342"/>
      <c r="C33" s="343"/>
      <c r="D33" s="800">
        <f>-0.04*D32</f>
        <v>-1527360</v>
      </c>
      <c r="E33" s="21"/>
    </row>
    <row r="34" spans="1:5" ht="15" thickTop="1" thickBot="1">
      <c r="A34" s="801" t="s">
        <v>271</v>
      </c>
      <c r="B34" s="345"/>
      <c r="C34" s="346"/>
      <c r="D34" s="802">
        <f>D32+D33</f>
        <v>36656640</v>
      </c>
      <c r="E34" s="21"/>
    </row>
    <row r="35" spans="1:5" ht="14.1" thickBot="1">
      <c r="A35" s="351" t="s">
        <v>247</v>
      </c>
      <c r="B35" s="803"/>
      <c r="C35" s="804" t="str">
        <f>D1</f>
        <v>Phase II</v>
      </c>
      <c r="D35" s="805"/>
    </row>
    <row r="36" spans="1:5" ht="15" thickBot="1">
      <c r="A36" s="777"/>
      <c r="B36" s="24" t="s">
        <v>248</v>
      </c>
      <c r="C36" s="24" t="s">
        <v>249</v>
      </c>
      <c r="D36" s="24" t="s">
        <v>228</v>
      </c>
    </row>
    <row r="37" spans="1:5" ht="14.1">
      <c r="A37" s="125" t="s">
        <v>250</v>
      </c>
      <c r="B37" s="806">
        <f>Assumptions!K6</f>
        <v>325</v>
      </c>
      <c r="C37" s="807">
        <f>B37*(C10+B16)</f>
        <v>187664750</v>
      </c>
      <c r="D37" s="808">
        <f>C37/B$10</f>
        <v>3679700.9803921566</v>
      </c>
    </row>
    <row r="38" spans="1:5" ht="14.1">
      <c r="A38" s="25" t="s">
        <v>321</v>
      </c>
      <c r="B38" s="809">
        <f>Assumptions!C27</f>
        <v>0</v>
      </c>
      <c r="C38" s="810">
        <f>B22*B38</f>
        <v>0</v>
      </c>
      <c r="D38" s="808">
        <f t="shared" ref="D38:D55" si="0">C38/B$10</f>
        <v>0</v>
      </c>
    </row>
    <row r="39" spans="1:5" ht="14.1">
      <c r="A39" s="25" t="s">
        <v>31</v>
      </c>
      <c r="B39" s="811">
        <v>0.1</v>
      </c>
      <c r="C39" s="810">
        <f>B39*C37</f>
        <v>18766475</v>
      </c>
      <c r="D39" s="808">
        <f t="shared" si="0"/>
        <v>367970.09803921566</v>
      </c>
    </row>
    <row r="40" spans="1:5" ht="14.1">
      <c r="A40" s="25" t="s">
        <v>143</v>
      </c>
      <c r="B40" s="812" t="s">
        <v>39</v>
      </c>
      <c r="C40" s="810">
        <v>0</v>
      </c>
      <c r="D40" s="808"/>
    </row>
    <row r="41" spans="1:5" ht="14.1">
      <c r="A41" s="25" t="s">
        <v>252</v>
      </c>
      <c r="B41" s="813" t="s">
        <v>325</v>
      </c>
      <c r="C41" s="814">
        <v>2500000</v>
      </c>
      <c r="D41" s="808">
        <f t="shared" si="0"/>
        <v>49019.607843137252</v>
      </c>
      <c r="E41" s="31">
        <f>C41/SUM('Development Program'!D45:D64)</f>
        <v>1.3219476625057043</v>
      </c>
    </row>
    <row r="42" spans="1:5" ht="12.95">
      <c r="A42" s="389" t="s">
        <v>36</v>
      </c>
      <c r="B42" s="815" t="s">
        <v>39</v>
      </c>
      <c r="C42" s="816">
        <v>400000</v>
      </c>
      <c r="D42" s="808">
        <f t="shared" si="0"/>
        <v>7843.1372549019607</v>
      </c>
    </row>
    <row r="43" spans="1:5" ht="23.25" customHeight="1">
      <c r="A43" s="389" t="s">
        <v>38</v>
      </c>
      <c r="B43" s="815" t="s">
        <v>39</v>
      </c>
      <c r="C43" s="816">
        <v>300000</v>
      </c>
      <c r="D43" s="808">
        <f t="shared" si="0"/>
        <v>5882.3529411764703</v>
      </c>
    </row>
    <row r="44" spans="1:5" ht="12.95">
      <c r="A44" s="389" t="s">
        <v>42</v>
      </c>
      <c r="B44" s="817">
        <v>0.04</v>
      </c>
      <c r="C44" s="818">
        <f>B44*(C37+C39)</f>
        <v>8257249</v>
      </c>
      <c r="D44" s="808">
        <f t="shared" si="0"/>
        <v>161906.84313725491</v>
      </c>
    </row>
    <row r="45" spans="1:5" ht="12.95">
      <c r="A45" s="389" t="s">
        <v>46</v>
      </c>
      <c r="B45" s="819">
        <v>0.03</v>
      </c>
      <c r="C45" s="820">
        <f>B45*SUM(C37:C44)</f>
        <v>6536654.2199999997</v>
      </c>
      <c r="D45" s="808">
        <f t="shared" si="0"/>
        <v>128169.69058823529</v>
      </c>
      <c r="E45" s="26"/>
    </row>
    <row r="46" spans="1:5" ht="49.5" customHeight="1">
      <c r="A46" s="389" t="s">
        <v>49</v>
      </c>
      <c r="B46" s="817">
        <v>0.02</v>
      </c>
      <c r="C46" s="818">
        <f>B46*(C37+C39)</f>
        <v>4128624.5</v>
      </c>
      <c r="D46" s="808">
        <f t="shared" si="0"/>
        <v>80953.421568627455</v>
      </c>
    </row>
    <row r="47" spans="1:5" ht="22.5" customHeight="1">
      <c r="A47" s="389" t="s">
        <v>254</v>
      </c>
      <c r="B47" s="821" t="s">
        <v>39</v>
      </c>
      <c r="C47" s="816">
        <v>500000</v>
      </c>
      <c r="D47" s="808">
        <f t="shared" si="0"/>
        <v>9803.9215686274511</v>
      </c>
    </row>
    <row r="48" spans="1:5" ht="12.95">
      <c r="A48" s="389" t="s">
        <v>52</v>
      </c>
      <c r="B48" s="822">
        <v>6000</v>
      </c>
      <c r="C48" s="818">
        <f>B48*B10</f>
        <v>306000</v>
      </c>
      <c r="D48" s="808">
        <f t="shared" si="0"/>
        <v>6000</v>
      </c>
    </row>
    <row r="49" spans="1:7" ht="26.25" customHeight="1">
      <c r="A49" s="389" t="s">
        <v>54</v>
      </c>
      <c r="B49" s="815" t="s">
        <v>39</v>
      </c>
      <c r="C49" s="816">
        <v>400000</v>
      </c>
      <c r="D49" s="808">
        <f t="shared" si="0"/>
        <v>7843.1372549019607</v>
      </c>
    </row>
    <row r="50" spans="1:7" ht="12.95">
      <c r="A50" s="389" t="s">
        <v>326</v>
      </c>
      <c r="B50" s="823" t="s">
        <v>39</v>
      </c>
      <c r="C50" s="816">
        <v>0</v>
      </c>
      <c r="D50" s="808">
        <f t="shared" si="0"/>
        <v>0</v>
      </c>
    </row>
    <row r="51" spans="1:7" ht="12.95">
      <c r="A51" s="389" t="s">
        <v>255</v>
      </c>
      <c r="B51" s="27"/>
      <c r="C51" s="818"/>
      <c r="D51" s="808">
        <f t="shared" si="0"/>
        <v>0</v>
      </c>
    </row>
    <row r="52" spans="1:7" ht="12.95">
      <c r="A52" s="389" t="s">
        <v>256</v>
      </c>
      <c r="B52" s="824">
        <v>0.03</v>
      </c>
      <c r="C52" s="820">
        <f>B52*D32</f>
        <v>1145520</v>
      </c>
      <c r="D52" s="808">
        <f t="shared" si="0"/>
        <v>22461.176470588234</v>
      </c>
    </row>
    <row r="53" spans="1:7" ht="12.95">
      <c r="A53" s="389" t="s">
        <v>64</v>
      </c>
      <c r="B53" s="825">
        <v>1.4999999999999999E-2</v>
      </c>
      <c r="C53" s="820">
        <v>515000</v>
      </c>
      <c r="D53" s="808">
        <f t="shared" si="0"/>
        <v>10098.039215686274</v>
      </c>
    </row>
    <row r="54" spans="1:7" ht="27" customHeight="1">
      <c r="A54" s="826" t="s">
        <v>66</v>
      </c>
      <c r="B54" s="827">
        <v>0.06</v>
      </c>
      <c r="C54" s="820">
        <v>2057000</v>
      </c>
      <c r="D54" s="808">
        <f t="shared" si="0"/>
        <v>40333.333333333336</v>
      </c>
    </row>
    <row r="55" spans="1:7" ht="27" customHeight="1" thickBot="1">
      <c r="A55" s="433" t="s">
        <v>257</v>
      </c>
      <c r="B55" s="828" t="s">
        <v>39</v>
      </c>
      <c r="C55" s="829">
        <v>1000000</v>
      </c>
      <c r="D55" s="808">
        <f t="shared" si="0"/>
        <v>19607.843137254902</v>
      </c>
      <c r="E55" s="347" t="s">
        <v>327</v>
      </c>
      <c r="F55" s="348"/>
      <c r="G55" s="28">
        <f>B53*B66</f>
        <v>2110290</v>
      </c>
    </row>
    <row r="56" spans="1:7" ht="15" thickTop="1" thickBot="1">
      <c r="A56" s="830" t="s">
        <v>259</v>
      </c>
      <c r="B56" s="831"/>
      <c r="C56" s="832">
        <f>SUM(C37:C55)</f>
        <v>234477272.72</v>
      </c>
      <c r="D56" s="832">
        <f>ROUND(C56/B10,-3)</f>
        <v>4598000</v>
      </c>
      <c r="E56" s="347" t="s">
        <v>327</v>
      </c>
      <c r="F56" s="348"/>
      <c r="G56" s="29">
        <f>B54*B66</f>
        <v>8441160</v>
      </c>
    </row>
    <row r="57" spans="1:7" ht="12.95">
      <c r="A57" s="833"/>
      <c r="B57" s="834"/>
    </row>
    <row r="58" spans="1:7" ht="12.95">
      <c r="A58" s="835" t="s">
        <v>261</v>
      </c>
      <c r="B58" s="836">
        <f>(D34/C56)-1</f>
        <v>-0.84366655422603209</v>
      </c>
      <c r="C58" s="30"/>
      <c r="D58" s="31"/>
    </row>
    <row r="59" spans="1:7" ht="14.1" thickBot="1">
      <c r="A59" s="837">
        <v>0.2</v>
      </c>
      <c r="B59" s="838">
        <f>(D34/(1+A59))</f>
        <v>30547200</v>
      </c>
    </row>
    <row r="60" spans="1:7" ht="14.1" thickBot="1">
      <c r="A60" s="839">
        <v>0.2</v>
      </c>
      <c r="B60" s="838">
        <f>ROUND((D34/(1+A60))-C56,-3)</f>
        <v>-203930000</v>
      </c>
      <c r="C60" s="32" t="s">
        <v>262</v>
      </c>
    </row>
    <row r="61" spans="1:7" ht="12.95">
      <c r="A61" s="33"/>
      <c r="B61" s="34"/>
    </row>
    <row r="62" spans="1:7" ht="12.95">
      <c r="A62" s="840" t="s">
        <v>263</v>
      </c>
      <c r="B62" s="841"/>
      <c r="C62" s="842" t="str">
        <f>D1</f>
        <v>Phase II</v>
      </c>
    </row>
    <row r="63" spans="1:7" ht="12.95">
      <c r="A63" s="843"/>
      <c r="B63" s="844" t="s">
        <v>264</v>
      </c>
      <c r="C63" s="844" t="s">
        <v>228</v>
      </c>
    </row>
    <row r="64" spans="1:7" ht="12.95">
      <c r="A64" s="845" t="s">
        <v>265</v>
      </c>
      <c r="B64" s="762">
        <f>IF(B60&lt;0,B60,0)</f>
        <v>-203930000</v>
      </c>
      <c r="C64" s="762">
        <f>B64/B10</f>
        <v>-3998627.4509803923</v>
      </c>
    </row>
    <row r="65" spans="1:5" ht="12.95">
      <c r="A65" s="845" t="s">
        <v>266</v>
      </c>
      <c r="B65" s="762">
        <f>C56+B64</f>
        <v>30547272.719999999</v>
      </c>
      <c r="C65" s="762">
        <f>B65/B10</f>
        <v>598966.13176470587</v>
      </c>
    </row>
    <row r="66" spans="1:5" ht="12.95">
      <c r="A66" s="846">
        <f>Assumptions!H16</f>
        <v>0.6</v>
      </c>
      <c r="B66" s="847">
        <f>ROUND(A66*C56,-3)</f>
        <v>140686000</v>
      </c>
      <c r="C66" s="847">
        <f>B66/B10</f>
        <v>2758549.0196078434</v>
      </c>
    </row>
    <row r="67" spans="1:5" ht="12.95">
      <c r="A67" s="848">
        <f>1-A66</f>
        <v>0.4</v>
      </c>
      <c r="B67" s="847">
        <f>ROUND(A67*C56,-3)</f>
        <v>93791000</v>
      </c>
      <c r="C67" s="847">
        <f>B67/B10</f>
        <v>1839039.2156862745</v>
      </c>
      <c r="D67" s="31"/>
    </row>
    <row r="68" spans="1:5" ht="12.95">
      <c r="A68" s="849" t="s">
        <v>267</v>
      </c>
      <c r="B68" s="850">
        <f>B66+B67</f>
        <v>234477000</v>
      </c>
      <c r="C68" s="850">
        <f>ROUND((C67+C66),-3)</f>
        <v>4598000</v>
      </c>
    </row>
    <row r="69" spans="1:5" ht="14.1" thickBot="1">
      <c r="A69" s="851"/>
      <c r="B69" s="123"/>
      <c r="C69" s="123"/>
    </row>
    <row r="70" spans="1:5" ht="14.1" thickBot="1">
      <c r="A70" s="340" t="s">
        <v>268</v>
      </c>
      <c r="B70" s="341"/>
      <c r="C70" s="852" t="str">
        <f>D1</f>
        <v>Phase II</v>
      </c>
      <c r="E70" s="720"/>
    </row>
    <row r="71" spans="1:5" ht="14.1" thickBot="1">
      <c r="A71" s="35"/>
      <c r="B71" s="853" t="s">
        <v>269</v>
      </c>
      <c r="C71" s="853"/>
    </row>
    <row r="72" spans="1:5" ht="15" customHeight="1">
      <c r="A72" s="795" t="s">
        <v>270</v>
      </c>
      <c r="B72" s="854">
        <f>ROUND(D34,-2)</f>
        <v>36656600</v>
      </c>
      <c r="C72" s="854"/>
    </row>
    <row r="73" spans="1:5" ht="14.1" thickBot="1">
      <c r="A73" s="855">
        <v>0.02</v>
      </c>
      <c r="B73" s="856">
        <f>(-ROUND(A73*B72,-2))</f>
        <v>-733100</v>
      </c>
      <c r="C73" s="857"/>
    </row>
    <row r="74" spans="1:5" ht="15" thickTop="1" thickBot="1">
      <c r="A74" s="858" t="s">
        <v>271</v>
      </c>
      <c r="B74" s="859">
        <f>B72+B73</f>
        <v>35923500</v>
      </c>
      <c r="C74" s="859"/>
    </row>
    <row r="75" spans="1:5" ht="12.95">
      <c r="A75" s="795" t="s">
        <v>272</v>
      </c>
      <c r="B75" s="854">
        <f>-B66</f>
        <v>-140686000</v>
      </c>
      <c r="C75" s="854"/>
    </row>
    <row r="76" spans="1:5" ht="14.1" thickBot="1">
      <c r="A76" s="860" t="s">
        <v>273</v>
      </c>
      <c r="B76" s="857">
        <f>-B67</f>
        <v>-93791000</v>
      </c>
      <c r="C76" s="857"/>
      <c r="E76" s="36"/>
    </row>
    <row r="77" spans="1:5" ht="15" thickTop="1" thickBot="1">
      <c r="A77" s="861" t="s">
        <v>274</v>
      </c>
      <c r="B77" s="862">
        <f>ROUND(B74+B75+B76,-2)</f>
        <v>-198553500</v>
      </c>
      <c r="C77" s="862"/>
      <c r="D77" s="37"/>
    </row>
    <row r="78" spans="1:5" ht="14.1" thickBot="1">
      <c r="A78" s="863" t="s">
        <v>275</v>
      </c>
      <c r="B78" s="864"/>
      <c r="C78" s="865"/>
    </row>
    <row r="79" spans="1:5" ht="12.95">
      <c r="A79" s="866" t="s">
        <v>276</v>
      </c>
      <c r="B79" s="867">
        <f>B72/B10</f>
        <v>718756.86274509807</v>
      </c>
      <c r="C79" s="867"/>
    </row>
    <row r="80" spans="1:5" ht="14.1" thickBot="1">
      <c r="A80" s="868" t="s">
        <v>277</v>
      </c>
      <c r="B80" s="869">
        <f>B74/B10</f>
        <v>704382.3529411765</v>
      </c>
      <c r="C80" s="869"/>
    </row>
    <row r="81" spans="1:4" ht="12.95">
      <c r="A81" s="870" t="s">
        <v>278</v>
      </c>
      <c r="B81" s="344"/>
      <c r="C81" s="871"/>
    </row>
    <row r="82" spans="1:4" ht="14.1" thickBot="1">
      <c r="A82" s="851"/>
      <c r="B82" s="872"/>
      <c r="C82" s="872"/>
    </row>
    <row r="83" spans="1:4" ht="12.95">
      <c r="A83" s="38"/>
      <c r="B83" s="853" t="s">
        <v>269</v>
      </c>
      <c r="C83" s="853"/>
    </row>
    <row r="84" spans="1:4" ht="12.95">
      <c r="A84" s="873" t="s">
        <v>279</v>
      </c>
      <c r="B84" s="874">
        <f>(B77+B67)/B67</f>
        <v>-1.1169781748781866</v>
      </c>
      <c r="C84" s="874"/>
    </row>
    <row r="85" spans="1:4" ht="12.95">
      <c r="A85" s="875" t="s">
        <v>280</v>
      </c>
      <c r="B85" s="876">
        <f>'Phase II DRAW'!B36</f>
        <v>0</v>
      </c>
      <c r="C85" s="876"/>
      <c r="D85" s="39"/>
    </row>
    <row r="86" spans="1:4" ht="12.95">
      <c r="A86" s="873" t="s">
        <v>282</v>
      </c>
      <c r="B86" s="877" t="s">
        <v>328</v>
      </c>
      <c r="C86" s="877"/>
    </row>
    <row r="87" spans="1:4" ht="12.95">
      <c r="A87" s="873" t="s">
        <v>283</v>
      </c>
      <c r="B87" s="878">
        <v>5.2999999999999999E-2</v>
      </c>
      <c r="C87" s="878"/>
    </row>
    <row r="88" spans="1:4" ht="12.95"/>
    <row r="89" spans="1:4" ht="12.95"/>
    <row r="90" spans="1:4" ht="12.95"/>
    <row r="91" spans="1:4" ht="12.95"/>
    <row r="96" spans="1:4" ht="23.25" hidden="1" customHeight="1" thickBot="1"/>
    <row r="100" spans="1:4" ht="23.25" customHeight="1">
      <c r="A100" s="95"/>
      <c r="B100" s="95"/>
      <c r="C100" s="95"/>
      <c r="D100" s="20"/>
    </row>
  </sheetData>
  <mergeCells count="13">
    <mergeCell ref="E55:F55"/>
    <mergeCell ref="E56:F56"/>
    <mergeCell ref="A1:C1"/>
    <mergeCell ref="D1:E1"/>
    <mergeCell ref="A35:B35"/>
    <mergeCell ref="C35:D35"/>
    <mergeCell ref="A70:B70"/>
    <mergeCell ref="A30:D30"/>
    <mergeCell ref="B33:C33"/>
    <mergeCell ref="A78:C78"/>
    <mergeCell ref="A81:C81"/>
    <mergeCell ref="A34:C34"/>
    <mergeCell ref="A62:B62"/>
  </mergeCells>
  <printOptions horizontalCentered="1" verticalCentered="1"/>
  <pageMargins left="0.7" right="0.7" top="0.75" bottom="0.75" header="0.3" footer="0.3"/>
  <pageSetup scale="51" fitToHeight="0" orientation="landscape" horizontalDpi="4294967292" verticalDpi="4294967292" r:id="rId1"/>
  <headerFooter>
    <oddHeader>&amp;C&amp;"Times New Roman Bold,Bold"&amp;14&amp;K000000INVESTOR SHEET</oddHeader>
    <oddFooter>&amp;CPage &amp;P of &amp;N</oddFooter>
  </headerFooter>
  <rowBreaks count="2" manualBreakCount="2">
    <brk id="46" max="8" man="1"/>
    <brk id="76" max="8" man="1"/>
  </row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B3FF04-8D76-415D-A91C-AFC9561002AF}">
  <sheetPr>
    <tabColor rgb="FF0070C0"/>
  </sheetPr>
  <dimension ref="A1:BS596"/>
  <sheetViews>
    <sheetView zoomScaleNormal="100" zoomScalePageLayoutView="125" workbookViewId="0">
      <pane xSplit="1" ySplit="3" topLeftCell="B14" activePane="bottomRight" state="frozen"/>
      <selection pane="bottomRight" activeCell="H46" sqref="H46"/>
      <selection pane="bottomLeft" activeCell="A4" sqref="A4"/>
      <selection pane="topRight" activeCell="B1" sqref="B1"/>
    </sheetView>
  </sheetViews>
  <sheetFormatPr defaultColWidth="8.85546875" defaultRowHeight="15"/>
  <cols>
    <col min="1" max="1" width="45.7109375" style="2" customWidth="1"/>
    <col min="2" max="2" width="21.42578125" style="2" customWidth="1"/>
    <col min="3" max="3" width="18.42578125" style="2" customWidth="1"/>
    <col min="4" max="4" width="15" style="2" customWidth="1"/>
    <col min="5" max="5" width="15.28515625" style="2" customWidth="1"/>
    <col min="6" max="6" width="18.140625" style="2" customWidth="1"/>
    <col min="7" max="7" width="14.42578125" style="78" customWidth="1"/>
    <col min="8" max="8" width="19" style="2" customWidth="1"/>
    <col min="9" max="9" width="17.85546875" style="2" customWidth="1"/>
    <col min="10" max="10" width="16.42578125" style="2" customWidth="1"/>
    <col min="11" max="11" width="12.28515625" style="2" customWidth="1"/>
    <col min="12" max="12" width="14.140625" style="2" customWidth="1"/>
    <col min="13" max="13" width="14.28515625" style="2" customWidth="1"/>
    <col min="14" max="14" width="15.28515625" style="2" customWidth="1"/>
    <col min="15" max="15" width="12.85546875" style="2" hidden="1" customWidth="1"/>
    <col min="16" max="16" width="14.42578125" style="2" hidden="1" customWidth="1"/>
    <col min="17" max="17" width="12.7109375" style="2" hidden="1" customWidth="1"/>
    <col min="18" max="18" width="17" style="2" hidden="1" customWidth="1"/>
    <col min="19" max="19" width="16.42578125" style="2" hidden="1" customWidth="1"/>
    <col min="20" max="20" width="13.28515625" style="2" hidden="1" customWidth="1"/>
    <col min="21" max="21" width="15" style="2" hidden="1" customWidth="1"/>
    <col min="22" max="22" width="13.42578125" style="2" hidden="1" customWidth="1"/>
    <col min="23" max="23" width="16.85546875" style="79" hidden="1" customWidth="1"/>
    <col min="24" max="24" width="15" style="2" hidden="1" customWidth="1"/>
    <col min="25" max="25" width="16.140625" style="2" hidden="1" customWidth="1"/>
    <col min="26" max="26" width="13.42578125" style="79" hidden="1" customWidth="1"/>
    <col min="27" max="27" width="17.140625" style="2" hidden="1" customWidth="1"/>
    <col min="28" max="28" width="14.28515625" style="2" hidden="1" customWidth="1"/>
    <col min="29" max="29" width="17.7109375" style="2" hidden="1" customWidth="1"/>
    <col min="30" max="30" width="14.28515625" style="80" hidden="1" customWidth="1"/>
    <col min="31" max="31" width="14.85546875" style="2" hidden="1" customWidth="1"/>
    <col min="32" max="32" width="15" style="2" hidden="1" customWidth="1"/>
    <col min="33" max="42" width="15.140625" style="2" hidden="1" customWidth="1"/>
    <col min="43" max="43" width="21" style="2" customWidth="1"/>
    <col min="44" max="45" width="17" style="2" customWidth="1"/>
    <col min="46" max="68" width="17" customWidth="1"/>
    <col min="69" max="69" width="16.7109375" customWidth="1"/>
    <col min="70" max="70" width="15" style="2" customWidth="1"/>
    <col min="71" max="71" width="17.85546875" style="2" bestFit="1" customWidth="1"/>
    <col min="72" max="72" width="9.7109375" style="2" bestFit="1" customWidth="1"/>
    <col min="73" max="73" width="11.85546875" style="2" bestFit="1" customWidth="1"/>
    <col min="74" max="75" width="9.7109375" style="2" bestFit="1" customWidth="1"/>
    <col min="76" max="16384" width="8.85546875" style="2"/>
  </cols>
  <sheetData>
    <row r="1" spans="1:71" ht="15.95" thickBot="1">
      <c r="A1" s="337" t="str">
        <f>'Development Program'!B69</f>
        <v>Community Center</v>
      </c>
      <c r="B1" s="124" t="s">
        <v>284</v>
      </c>
      <c r="C1" s="113" t="str">
        <f>'Development Program'!C66</f>
        <v>Pre-Development</v>
      </c>
      <c r="D1" s="113" t="str">
        <f>'Development Program'!D66</f>
        <v>Demolition</v>
      </c>
      <c r="E1" s="113" t="str">
        <f>'Development Program'!E66</f>
        <v>Construction</v>
      </c>
      <c r="F1" s="114" t="str">
        <f>'Development Program'!F66</f>
        <v>Close-out</v>
      </c>
      <c r="G1" s="2"/>
      <c r="W1" s="2"/>
      <c r="Z1" s="2"/>
      <c r="AD1" s="2"/>
      <c r="BR1"/>
      <c r="BS1"/>
    </row>
    <row r="2" spans="1:71" ht="15.95" thickBot="1">
      <c r="A2" s="337"/>
      <c r="B2" s="685" t="s">
        <v>329</v>
      </c>
      <c r="C2" s="879">
        <v>2024</v>
      </c>
      <c r="D2" s="687">
        <v>2025</v>
      </c>
      <c r="E2" s="687" t="str">
        <f>'Development Program'!E69</f>
        <v>1/1/25 to 12/31/26</v>
      </c>
      <c r="F2" s="880" t="str">
        <f>'Development Program'!F69</f>
        <v>1/1/27 to 6/30/27</v>
      </c>
      <c r="G2" s="2"/>
      <c r="H2" s="132" t="s">
        <v>286</v>
      </c>
      <c r="I2" s="132" t="s">
        <v>287</v>
      </c>
      <c r="L2" s="132" t="s">
        <v>288</v>
      </c>
      <c r="M2" s="133" t="s">
        <v>289</v>
      </c>
      <c r="N2" s="133" t="s">
        <v>290</v>
      </c>
      <c r="W2" s="2"/>
      <c r="Z2" s="2"/>
      <c r="AA2" s="115"/>
      <c r="AD2" s="2"/>
      <c r="AQ2" s="881" t="s">
        <v>330</v>
      </c>
      <c r="AR2" s="881"/>
      <c r="AS2" s="881"/>
      <c r="BR2"/>
      <c r="BS2"/>
    </row>
    <row r="3" spans="1:71" ht="15.95" thickBot="1">
      <c r="A3" s="338"/>
      <c r="B3" s="81" t="s">
        <v>329</v>
      </c>
      <c r="C3" s="693">
        <v>2024</v>
      </c>
      <c r="D3" s="693">
        <v>2025</v>
      </c>
      <c r="E3" s="693">
        <v>2026</v>
      </c>
      <c r="F3" s="693">
        <v>2027</v>
      </c>
      <c r="G3" s="693">
        <v>2028</v>
      </c>
      <c r="H3" s="693">
        <v>2029</v>
      </c>
      <c r="I3" s="693">
        <v>2030</v>
      </c>
      <c r="J3" s="693">
        <v>2031</v>
      </c>
      <c r="K3" s="693">
        <v>2032</v>
      </c>
      <c r="L3" s="693">
        <v>2033</v>
      </c>
      <c r="M3" s="693">
        <v>2034</v>
      </c>
      <c r="N3" s="693">
        <v>2035</v>
      </c>
      <c r="O3" s="882" t="e">
        <f>EOMONTH(#REF!,3)</f>
        <v>#REF!</v>
      </c>
      <c r="P3" s="882" t="e">
        <f t="shared" ref="P3:AF3" si="0">EOMONTH(O3,3)</f>
        <v>#REF!</v>
      </c>
      <c r="Q3" s="882" t="e">
        <f t="shared" si="0"/>
        <v>#REF!</v>
      </c>
      <c r="R3" s="882" t="e">
        <f t="shared" si="0"/>
        <v>#REF!</v>
      </c>
      <c r="S3" s="882" t="e">
        <f t="shared" si="0"/>
        <v>#REF!</v>
      </c>
      <c r="T3" s="882" t="e">
        <f t="shared" si="0"/>
        <v>#REF!</v>
      </c>
      <c r="U3" s="882" t="e">
        <f t="shared" si="0"/>
        <v>#REF!</v>
      </c>
      <c r="V3" s="882" t="e">
        <f t="shared" si="0"/>
        <v>#REF!</v>
      </c>
      <c r="W3" s="882" t="e">
        <f t="shared" si="0"/>
        <v>#REF!</v>
      </c>
      <c r="X3" s="882" t="e">
        <f t="shared" si="0"/>
        <v>#REF!</v>
      </c>
      <c r="Y3" s="882" t="e">
        <f t="shared" si="0"/>
        <v>#REF!</v>
      </c>
      <c r="Z3" s="882" t="e">
        <f t="shared" si="0"/>
        <v>#REF!</v>
      </c>
      <c r="AA3" s="882" t="e">
        <f t="shared" si="0"/>
        <v>#REF!</v>
      </c>
      <c r="AB3" s="882" t="e">
        <f t="shared" si="0"/>
        <v>#REF!</v>
      </c>
      <c r="AC3" s="882" t="e">
        <f t="shared" si="0"/>
        <v>#REF!</v>
      </c>
      <c r="AD3" s="882" t="e">
        <f t="shared" si="0"/>
        <v>#REF!</v>
      </c>
      <c r="AE3" s="882" t="e">
        <f t="shared" si="0"/>
        <v>#REF!</v>
      </c>
      <c r="AF3" s="882" t="e">
        <f t="shared" si="0"/>
        <v>#REF!</v>
      </c>
      <c r="AG3" s="882" t="e">
        <f>EOMONTH(AF3,3)</f>
        <v>#REF!</v>
      </c>
      <c r="AH3" s="882" t="e">
        <f t="shared" ref="AH3:AP3" si="1">EOMONTH(AG3,3)</f>
        <v>#REF!</v>
      </c>
      <c r="AI3" s="882" t="e">
        <f t="shared" si="1"/>
        <v>#REF!</v>
      </c>
      <c r="AJ3" s="882" t="e">
        <f t="shared" si="1"/>
        <v>#REF!</v>
      </c>
      <c r="AK3" s="882" t="e">
        <f t="shared" si="1"/>
        <v>#REF!</v>
      </c>
      <c r="AL3" s="882" t="e">
        <f t="shared" si="1"/>
        <v>#REF!</v>
      </c>
      <c r="AM3" s="882" t="e">
        <f t="shared" si="1"/>
        <v>#REF!</v>
      </c>
      <c r="AN3" s="882" t="e">
        <f>EOMONTH(AM3,3)</f>
        <v>#REF!</v>
      </c>
      <c r="AO3" s="882" t="e">
        <f t="shared" si="1"/>
        <v>#REF!</v>
      </c>
      <c r="AP3" s="882" t="e">
        <f t="shared" si="1"/>
        <v>#REF!</v>
      </c>
      <c r="AQ3" s="882" t="s">
        <v>292</v>
      </c>
      <c r="AR3" s="883" t="s">
        <v>293</v>
      </c>
      <c r="AS3" s="695"/>
      <c r="BR3"/>
      <c r="BS3"/>
    </row>
    <row r="4" spans="1:71" ht="15.95" thickBot="1">
      <c r="A4" s="697" t="s">
        <v>294</v>
      </c>
      <c r="B4" s="698">
        <v>1</v>
      </c>
      <c r="C4" s="129">
        <v>0</v>
      </c>
      <c r="D4" s="129">
        <v>0</v>
      </c>
      <c r="E4" s="129">
        <v>0</v>
      </c>
      <c r="F4" s="129">
        <f t="shared" ref="F4:H4" si="2">E4</f>
        <v>0</v>
      </c>
      <c r="G4" s="128">
        <f t="shared" si="2"/>
        <v>0</v>
      </c>
      <c r="H4" s="128">
        <f t="shared" si="2"/>
        <v>0</v>
      </c>
      <c r="I4" s="128">
        <v>0.05</v>
      </c>
      <c r="J4" s="128">
        <v>0.05</v>
      </c>
      <c r="K4" s="128">
        <v>0.05</v>
      </c>
      <c r="L4" s="128">
        <v>0.05</v>
      </c>
      <c r="M4" s="128">
        <v>0.2</v>
      </c>
      <c r="N4" s="128">
        <v>0.2</v>
      </c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700">
        <f>SUM(C4:AG4)</f>
        <v>0.60000000000000009</v>
      </c>
      <c r="AR4" s="701"/>
      <c r="AS4" s="702" t="s">
        <v>295</v>
      </c>
      <c r="BR4"/>
      <c r="BS4"/>
    </row>
    <row r="5" spans="1:71">
      <c r="A5" s="87" t="str">
        <f>'Phase II Financial'!A37</f>
        <v>Hard Costs for Construction</v>
      </c>
      <c r="B5" s="884">
        <f>'Phase II Financial'!C37</f>
        <v>187664750</v>
      </c>
      <c r="C5" s="704">
        <f t="shared" ref="C5:N5" si="3">$B$5*C4</f>
        <v>0</v>
      </c>
      <c r="D5" s="704">
        <f t="shared" si="3"/>
        <v>0</v>
      </c>
      <c r="E5" s="704">
        <f t="shared" si="3"/>
        <v>0</v>
      </c>
      <c r="F5" s="704">
        <f t="shared" si="3"/>
        <v>0</v>
      </c>
      <c r="G5" s="704">
        <f t="shared" si="3"/>
        <v>0</v>
      </c>
      <c r="H5" s="704">
        <f t="shared" si="3"/>
        <v>0</v>
      </c>
      <c r="I5" s="704">
        <f t="shared" si="3"/>
        <v>9383237.5</v>
      </c>
      <c r="J5" s="704">
        <f t="shared" si="3"/>
        <v>9383237.5</v>
      </c>
      <c r="K5" s="704">
        <f t="shared" si="3"/>
        <v>9383237.5</v>
      </c>
      <c r="L5" s="704">
        <f t="shared" si="3"/>
        <v>9383237.5</v>
      </c>
      <c r="M5" s="704">
        <f t="shared" si="3"/>
        <v>37532950</v>
      </c>
      <c r="N5" s="704">
        <f t="shared" si="3"/>
        <v>37532950</v>
      </c>
      <c r="O5" s="704"/>
      <c r="P5" s="704"/>
      <c r="Q5" s="704"/>
      <c r="R5" s="704"/>
      <c r="S5" s="704"/>
      <c r="T5" s="704"/>
      <c r="U5" s="704"/>
      <c r="V5" s="704"/>
      <c r="W5" s="704"/>
      <c r="X5" s="704"/>
      <c r="Y5" s="704"/>
      <c r="Z5" s="704"/>
      <c r="AA5" s="704"/>
      <c r="AB5" s="704"/>
      <c r="AC5" s="704"/>
      <c r="AD5" s="885"/>
      <c r="AE5" s="885"/>
      <c r="AF5" s="885"/>
      <c r="AG5" s="885"/>
      <c r="AH5" s="885"/>
      <c r="AI5" s="885"/>
      <c r="AJ5" s="885"/>
      <c r="AK5" s="885"/>
      <c r="AL5" s="885"/>
      <c r="AM5" s="885"/>
      <c r="AN5" s="885"/>
      <c r="AO5" s="885"/>
      <c r="AP5" s="885"/>
      <c r="AQ5" s="705">
        <f>SUM(C5:AG5)</f>
        <v>112598850</v>
      </c>
      <c r="AR5" s="705">
        <f>B5</f>
        <v>187664750</v>
      </c>
      <c r="AS5" s="705">
        <f>AR5-AQ5</f>
        <v>75065900</v>
      </c>
      <c r="BR5"/>
      <c r="BS5"/>
    </row>
    <row r="6" spans="1:71">
      <c r="A6" s="87" t="str">
        <f>'Phase II Financial'!A38</f>
        <v>Guest Parking</v>
      </c>
      <c r="B6" s="884">
        <f>'Phase II Financial'!C38</f>
        <v>0</v>
      </c>
      <c r="C6" s="704">
        <f>$B$6*C4</f>
        <v>0</v>
      </c>
      <c r="D6" s="704">
        <f t="shared" ref="D6:N6" si="4">$B$6*D4</f>
        <v>0</v>
      </c>
      <c r="E6" s="704">
        <f t="shared" si="4"/>
        <v>0</v>
      </c>
      <c r="F6" s="704">
        <f t="shared" si="4"/>
        <v>0</v>
      </c>
      <c r="G6" s="704">
        <f t="shared" si="4"/>
        <v>0</v>
      </c>
      <c r="H6" s="704">
        <f t="shared" si="4"/>
        <v>0</v>
      </c>
      <c r="I6" s="704">
        <f t="shared" si="4"/>
        <v>0</v>
      </c>
      <c r="J6" s="704">
        <f t="shared" si="4"/>
        <v>0</v>
      </c>
      <c r="K6" s="704">
        <f t="shared" si="4"/>
        <v>0</v>
      </c>
      <c r="L6" s="704">
        <f t="shared" si="4"/>
        <v>0</v>
      </c>
      <c r="M6" s="704">
        <f t="shared" si="4"/>
        <v>0</v>
      </c>
      <c r="N6" s="704">
        <f t="shared" si="4"/>
        <v>0</v>
      </c>
      <c r="O6" s="704"/>
      <c r="P6" s="704"/>
      <c r="Q6" s="704"/>
      <c r="R6" s="704"/>
      <c r="S6" s="704"/>
      <c r="T6" s="704"/>
      <c r="U6" s="704"/>
      <c r="V6" s="704"/>
      <c r="W6" s="704"/>
      <c r="X6" s="704"/>
      <c r="Y6" s="704"/>
      <c r="Z6" s="704"/>
      <c r="AA6" s="704"/>
      <c r="AB6" s="704"/>
      <c r="AC6" s="704"/>
      <c r="AD6" s="704"/>
      <c r="AE6" s="704"/>
      <c r="AF6" s="704"/>
      <c r="AG6" s="704"/>
      <c r="AH6" s="704"/>
      <c r="AI6" s="704"/>
      <c r="AJ6" s="704"/>
      <c r="AK6" s="704"/>
      <c r="AL6" s="704"/>
      <c r="AM6" s="704"/>
      <c r="AN6" s="704"/>
      <c r="AO6" s="704"/>
      <c r="AP6" s="704"/>
      <c r="AQ6" s="705">
        <f>SUM(C6:AG6)</f>
        <v>0</v>
      </c>
      <c r="AR6" s="705">
        <f>B6</f>
        <v>0</v>
      </c>
      <c r="AS6" s="705">
        <f t="shared" ref="AS6:AS23" si="5">AR6-AQ6</f>
        <v>0</v>
      </c>
      <c r="BR6"/>
      <c r="BS6"/>
    </row>
    <row r="7" spans="1:71">
      <c r="A7" s="87" t="str">
        <f>'Phase II Financial'!A39</f>
        <v>Hard Cost Contingency</v>
      </c>
      <c r="B7" s="884">
        <f>'Phase II Financial'!C39</f>
        <v>18766475</v>
      </c>
      <c r="C7" s="704">
        <f t="shared" ref="C7:N7" si="6">$B7*C$4</f>
        <v>0</v>
      </c>
      <c r="D7" s="704">
        <f t="shared" si="6"/>
        <v>0</v>
      </c>
      <c r="E7" s="704">
        <f t="shared" si="6"/>
        <v>0</v>
      </c>
      <c r="F7" s="704">
        <f t="shared" si="6"/>
        <v>0</v>
      </c>
      <c r="G7" s="704">
        <f t="shared" si="6"/>
        <v>0</v>
      </c>
      <c r="H7" s="704">
        <f t="shared" si="6"/>
        <v>0</v>
      </c>
      <c r="I7" s="704">
        <f t="shared" si="6"/>
        <v>938323.75</v>
      </c>
      <c r="J7" s="704">
        <f t="shared" si="6"/>
        <v>938323.75</v>
      </c>
      <c r="K7" s="704">
        <f t="shared" si="6"/>
        <v>938323.75</v>
      </c>
      <c r="L7" s="704">
        <f t="shared" si="6"/>
        <v>938323.75</v>
      </c>
      <c r="M7" s="704">
        <f t="shared" si="6"/>
        <v>3753295</v>
      </c>
      <c r="N7" s="704">
        <f t="shared" si="6"/>
        <v>3753295</v>
      </c>
      <c r="O7" s="704"/>
      <c r="P7" s="704"/>
      <c r="Q7" s="704"/>
      <c r="R7" s="704"/>
      <c r="S7" s="704"/>
      <c r="T7" s="704"/>
      <c r="U7" s="704"/>
      <c r="V7" s="704"/>
      <c r="W7" s="704"/>
      <c r="X7" s="704"/>
      <c r="Y7" s="704"/>
      <c r="Z7" s="704"/>
      <c r="AA7" s="704"/>
      <c r="AB7" s="704"/>
      <c r="AC7" s="704"/>
      <c r="AD7" s="704"/>
      <c r="AE7" s="704"/>
      <c r="AF7" s="704"/>
      <c r="AG7" s="704"/>
      <c r="AH7" s="704"/>
      <c r="AI7" s="704"/>
      <c r="AJ7" s="704"/>
      <c r="AK7" s="704"/>
      <c r="AL7" s="704"/>
      <c r="AM7" s="704"/>
      <c r="AN7" s="704"/>
      <c r="AO7" s="704"/>
      <c r="AP7" s="704"/>
      <c r="AQ7" s="705">
        <f>SUM(C7:AG7)</f>
        <v>11259885</v>
      </c>
      <c r="AR7" s="705">
        <f>B7</f>
        <v>18766475</v>
      </c>
      <c r="AS7" s="705">
        <f t="shared" si="5"/>
        <v>7506590</v>
      </c>
      <c r="BR7"/>
      <c r="BS7"/>
    </row>
    <row r="8" spans="1:71">
      <c r="A8" s="87" t="str">
        <f>'Phase II Financial'!A40</f>
        <v>Demolition</v>
      </c>
      <c r="B8" s="884">
        <f>'Phase II Financial'!C40</f>
        <v>0</v>
      </c>
      <c r="C8" s="704"/>
      <c r="D8" s="704"/>
      <c r="E8" s="704"/>
      <c r="F8" s="704"/>
      <c r="G8" s="704"/>
      <c r="H8" s="704"/>
      <c r="I8" s="704"/>
      <c r="J8" s="704"/>
      <c r="K8" s="704"/>
      <c r="L8" s="704"/>
      <c r="M8" s="704"/>
      <c r="N8" s="704"/>
      <c r="O8" s="704"/>
      <c r="P8" s="704"/>
      <c r="Q8" s="704"/>
      <c r="R8" s="704"/>
      <c r="S8" s="704"/>
      <c r="T8" s="704"/>
      <c r="U8" s="704"/>
      <c r="V8" s="704"/>
      <c r="W8" s="704"/>
      <c r="X8" s="704"/>
      <c r="Y8" s="704"/>
      <c r="Z8" s="704"/>
      <c r="AA8" s="704"/>
      <c r="AB8" s="704"/>
      <c r="AC8" s="704"/>
      <c r="AD8" s="704"/>
      <c r="AE8" s="704"/>
      <c r="AF8" s="704"/>
      <c r="AG8" s="704"/>
      <c r="AH8" s="704"/>
      <c r="AI8" s="704"/>
      <c r="AJ8" s="704"/>
      <c r="AK8" s="704"/>
      <c r="AL8" s="704"/>
      <c r="AM8" s="704"/>
      <c r="AN8" s="704"/>
      <c r="AO8" s="704"/>
      <c r="AP8" s="704"/>
      <c r="AQ8" s="705"/>
      <c r="AR8" s="705"/>
      <c r="AS8" s="705">
        <f t="shared" si="5"/>
        <v>0</v>
      </c>
      <c r="BR8"/>
      <c r="BS8"/>
    </row>
    <row r="9" spans="1:71">
      <c r="A9" s="87" t="str">
        <f>'Phase II Financial'!A41</f>
        <v>LAND</v>
      </c>
      <c r="B9" s="705">
        <f>'Phase II Financial'!C41</f>
        <v>2500000</v>
      </c>
      <c r="C9" s="707"/>
      <c r="D9" s="706"/>
      <c r="E9" s="710">
        <f>0.1*B9</f>
        <v>250000</v>
      </c>
      <c r="F9" s="704"/>
      <c r="G9" s="707"/>
      <c r="H9" s="707"/>
      <c r="I9" s="710">
        <f>$B9-$E9</f>
        <v>2250000</v>
      </c>
      <c r="J9" s="710"/>
      <c r="K9" s="706"/>
      <c r="L9" s="706"/>
      <c r="M9" s="886"/>
      <c r="N9" s="706"/>
      <c r="O9" s="706"/>
      <c r="P9" s="706"/>
      <c r="Q9" s="706"/>
      <c r="R9" s="706"/>
      <c r="S9" s="706"/>
      <c r="T9" s="706"/>
      <c r="U9" s="706"/>
      <c r="V9" s="706"/>
      <c r="W9" s="706"/>
      <c r="X9" s="706"/>
      <c r="Y9" s="706"/>
      <c r="Z9" s="887"/>
      <c r="AA9" s="887"/>
      <c r="AB9" s="887"/>
      <c r="AC9" s="887"/>
      <c r="AD9" s="887"/>
      <c r="AE9" s="887"/>
      <c r="AF9" s="887"/>
      <c r="AG9" s="887"/>
      <c r="AH9" s="887"/>
      <c r="AI9" s="887"/>
      <c r="AJ9" s="887"/>
      <c r="AK9" s="887"/>
      <c r="AL9" s="887"/>
      <c r="AM9" s="887"/>
      <c r="AN9" s="887"/>
      <c r="AO9" s="887"/>
      <c r="AP9" s="887"/>
      <c r="AQ9" s="705">
        <f>SUM(D9:AG9)</f>
        <v>2500000</v>
      </c>
      <c r="AR9" s="705">
        <f>B9</f>
        <v>2500000</v>
      </c>
      <c r="AS9" s="705">
        <f t="shared" si="5"/>
        <v>0</v>
      </c>
      <c r="BR9"/>
      <c r="BS9"/>
    </row>
    <row r="10" spans="1:71">
      <c r="A10" s="87" t="str">
        <f>'Phase II Financial'!A42</f>
        <v>Legal</v>
      </c>
      <c r="B10" s="884">
        <f>'Phase II Financial'!C42</f>
        <v>400000</v>
      </c>
      <c r="C10" s="886"/>
      <c r="D10" s="886"/>
      <c r="E10" s="710">
        <v>80000</v>
      </c>
      <c r="F10" s="710">
        <f t="shared" ref="F10:G10" si="7">0.2*$B10</f>
        <v>80000</v>
      </c>
      <c r="G10" s="710">
        <f t="shared" si="7"/>
        <v>80000</v>
      </c>
      <c r="H10" s="710">
        <v>80000</v>
      </c>
      <c r="I10" s="710">
        <f>0.1*$B10</f>
        <v>40000</v>
      </c>
      <c r="J10" s="710">
        <f>0.1*$B10</f>
        <v>40000</v>
      </c>
      <c r="K10" s="706"/>
      <c r="L10" s="706"/>
      <c r="M10" s="706"/>
      <c r="N10" s="706"/>
      <c r="O10" s="706"/>
      <c r="P10" s="706"/>
      <c r="Q10" s="706"/>
      <c r="R10" s="706"/>
      <c r="S10" s="706"/>
      <c r="T10" s="706"/>
      <c r="U10" s="706"/>
      <c r="V10" s="706"/>
      <c r="W10" s="706"/>
      <c r="X10" s="706"/>
      <c r="Y10" s="706"/>
      <c r="Z10" s="706"/>
      <c r="AA10" s="706"/>
      <c r="AB10" s="706"/>
      <c r="AC10" s="706"/>
      <c r="AD10" s="706"/>
      <c r="AE10" s="706"/>
      <c r="AF10" s="888"/>
      <c r="AG10" s="706"/>
      <c r="AH10" s="706"/>
      <c r="AI10" s="706"/>
      <c r="AJ10" s="706"/>
      <c r="AK10" s="706"/>
      <c r="AL10" s="706"/>
      <c r="AM10" s="706"/>
      <c r="AN10" s="706"/>
      <c r="AO10" s="706"/>
      <c r="AP10" s="706"/>
      <c r="AQ10" s="705">
        <f>SUM(C10:AG10)</f>
        <v>400000</v>
      </c>
      <c r="AR10" s="705">
        <f>B10</f>
        <v>400000</v>
      </c>
      <c r="AS10" s="705">
        <f t="shared" si="5"/>
        <v>0</v>
      </c>
      <c r="BR10"/>
      <c r="BS10"/>
    </row>
    <row r="11" spans="1:71">
      <c r="A11" s="87" t="str">
        <f>'Phase II Financial'!A43</f>
        <v>Land Closing Costs/commissions</v>
      </c>
      <c r="B11" s="884">
        <f>'Phase II Financial'!C43</f>
        <v>300000</v>
      </c>
      <c r="C11" s="710"/>
      <c r="D11" s="704"/>
      <c r="E11" s="704"/>
      <c r="F11" s="704"/>
      <c r="G11" s="130"/>
      <c r="H11" s="704"/>
      <c r="I11" s="704">
        <f>B11</f>
        <v>300000</v>
      </c>
      <c r="J11" s="704"/>
      <c r="K11" s="704"/>
      <c r="L11" s="704"/>
      <c r="M11" s="130"/>
      <c r="N11" s="704"/>
      <c r="O11" s="704"/>
      <c r="P11" s="704"/>
      <c r="Q11" s="704"/>
      <c r="R11" s="704"/>
      <c r="S11" s="704"/>
      <c r="T11" s="704"/>
      <c r="U11" s="704"/>
      <c r="V11" s="704"/>
      <c r="W11" s="704"/>
      <c r="X11" s="704"/>
      <c r="Y11" s="704"/>
      <c r="Z11" s="707"/>
      <c r="AA11" s="707"/>
      <c r="AB11" s="707"/>
      <c r="AC11" s="707"/>
      <c r="AD11" s="707"/>
      <c r="AE11" s="707"/>
      <c r="AF11" s="889"/>
      <c r="AG11" s="707"/>
      <c r="AH11" s="707"/>
      <c r="AI11" s="707"/>
      <c r="AJ11" s="707"/>
      <c r="AK11" s="707"/>
      <c r="AL11" s="707"/>
      <c r="AM11" s="707"/>
      <c r="AN11" s="707"/>
      <c r="AO11" s="707"/>
      <c r="AP11" s="707"/>
      <c r="AQ11" s="705">
        <f>SUM(C11:AG11)</f>
        <v>300000</v>
      </c>
      <c r="AR11" s="705">
        <f>B11</f>
        <v>300000</v>
      </c>
      <c r="AS11" s="705">
        <f t="shared" si="5"/>
        <v>0</v>
      </c>
      <c r="BR11"/>
      <c r="BS11"/>
    </row>
    <row r="12" spans="1:71">
      <c r="A12" s="87" t="str">
        <f>'Phase II Financial'!A44</f>
        <v xml:space="preserve">Design </v>
      </c>
      <c r="B12" s="884">
        <f>'Phase II Financial'!C44</f>
        <v>8257249</v>
      </c>
      <c r="C12" s="704"/>
      <c r="D12" s="704"/>
      <c r="E12" s="704">
        <f>0.4*$B12</f>
        <v>3302899.6</v>
      </c>
      <c r="F12" s="704">
        <f t="shared" ref="F12" si="8">0.4*$B12</f>
        <v>3302899.6</v>
      </c>
      <c r="G12" s="704">
        <f>0.1*$B12</f>
        <v>825724.9</v>
      </c>
      <c r="H12" s="704">
        <f>0.05*$B12</f>
        <v>412862.45</v>
      </c>
      <c r="I12" s="704">
        <f>0.02*$B12</f>
        <v>165144.98000000001</v>
      </c>
      <c r="J12" s="704">
        <f>0.01*$B12</f>
        <v>82572.490000000005</v>
      </c>
      <c r="K12" s="704">
        <f t="shared" ref="K12:L12" si="9">0.01*$B12</f>
        <v>82572.490000000005</v>
      </c>
      <c r="L12" s="704">
        <f t="shared" si="9"/>
        <v>82572.490000000005</v>
      </c>
      <c r="M12" s="704"/>
      <c r="N12" s="704"/>
      <c r="O12" s="704"/>
      <c r="P12" s="704"/>
      <c r="Q12" s="704"/>
      <c r="R12" s="704"/>
      <c r="S12" s="704"/>
      <c r="T12" s="704"/>
      <c r="U12" s="704"/>
      <c r="V12" s="704"/>
      <c r="W12" s="704"/>
      <c r="X12" s="704"/>
      <c r="Y12" s="704"/>
      <c r="Z12" s="704"/>
      <c r="AA12" s="704"/>
      <c r="AB12" s="704"/>
      <c r="AC12" s="704"/>
      <c r="AD12" s="704"/>
      <c r="AE12" s="704"/>
      <c r="AF12" s="704"/>
      <c r="AG12" s="704"/>
      <c r="AH12" s="704"/>
      <c r="AI12" s="704"/>
      <c r="AJ12" s="704"/>
      <c r="AK12" s="704"/>
      <c r="AL12" s="704"/>
      <c r="AM12" s="704"/>
      <c r="AN12" s="704"/>
      <c r="AO12" s="704"/>
      <c r="AP12" s="704"/>
      <c r="AQ12" s="705">
        <f>SUM(C12:AG12)</f>
        <v>8257249.0000000019</v>
      </c>
      <c r="AR12" s="705">
        <f>B12</f>
        <v>8257249</v>
      </c>
      <c r="AS12" s="705">
        <f t="shared" si="5"/>
        <v>0</v>
      </c>
      <c r="BR12"/>
      <c r="BS12"/>
    </row>
    <row r="13" spans="1:71">
      <c r="A13" s="87" t="str">
        <f>'Phase II Financial'!A45</f>
        <v>Developer Fee</v>
      </c>
      <c r="B13" s="884">
        <f>'Phase II Financial'!C45</f>
        <v>6536654.2199999997</v>
      </c>
      <c r="C13" s="704">
        <f>$B13*C$4</f>
        <v>0</v>
      </c>
      <c r="D13" s="704">
        <f>$B13*D4</f>
        <v>0</v>
      </c>
      <c r="E13" s="704">
        <f>$B13*E4</f>
        <v>0</v>
      </c>
      <c r="F13" s="704">
        <f>$B13*F4</f>
        <v>0</v>
      </c>
      <c r="G13" s="704">
        <f>$B13*G4</f>
        <v>0</v>
      </c>
      <c r="H13" s="704"/>
      <c r="I13" s="704">
        <f t="shared" ref="I13:N14" si="10">$B13*I$4</f>
        <v>326832.71100000001</v>
      </c>
      <c r="J13" s="704">
        <f t="shared" si="10"/>
        <v>326832.71100000001</v>
      </c>
      <c r="K13" s="704">
        <f t="shared" si="10"/>
        <v>326832.71100000001</v>
      </c>
      <c r="L13" s="704">
        <f t="shared" si="10"/>
        <v>326832.71100000001</v>
      </c>
      <c r="M13" s="704">
        <f t="shared" si="10"/>
        <v>1307330.844</v>
      </c>
      <c r="N13" s="704">
        <f t="shared" si="10"/>
        <v>1307330.844</v>
      </c>
      <c r="O13" s="704"/>
      <c r="P13" s="704"/>
      <c r="Q13" s="704"/>
      <c r="R13" s="704"/>
      <c r="S13" s="704"/>
      <c r="T13" s="704"/>
      <c r="U13" s="704"/>
      <c r="V13" s="704"/>
      <c r="W13" s="704"/>
      <c r="X13" s="704"/>
      <c r="Y13" s="704"/>
      <c r="Z13" s="704"/>
      <c r="AA13" s="704"/>
      <c r="AB13" s="704"/>
      <c r="AC13" s="704"/>
      <c r="AD13" s="704"/>
      <c r="AE13" s="704"/>
      <c r="AF13" s="704"/>
      <c r="AG13" s="704"/>
      <c r="AH13" s="704"/>
      <c r="AI13" s="704"/>
      <c r="AJ13" s="704"/>
      <c r="AK13" s="704"/>
      <c r="AL13" s="704"/>
      <c r="AM13" s="704"/>
      <c r="AN13" s="704"/>
      <c r="AO13" s="704"/>
      <c r="AP13" s="704"/>
      <c r="AQ13" s="705">
        <f>SUM(C13:AG13)</f>
        <v>3921992.5320000001</v>
      </c>
      <c r="AR13" s="705">
        <f>B13</f>
        <v>6536654.2199999997</v>
      </c>
      <c r="AS13" s="705">
        <f t="shared" si="5"/>
        <v>2614661.6879999996</v>
      </c>
      <c r="BR13"/>
      <c r="BS13"/>
    </row>
    <row r="14" spans="1:71">
      <c r="A14" s="87" t="str">
        <f>'Phase II Financial'!A46</f>
        <v>Construction Management Fee</v>
      </c>
      <c r="B14" s="884">
        <f>'Phase II Financial'!C46</f>
        <v>4128624.5</v>
      </c>
      <c r="C14" s="704">
        <f>$B14*C$4</f>
        <v>0</v>
      </c>
      <c r="D14" s="704">
        <f t="shared" ref="D14:G14" si="11">$B14*D$4</f>
        <v>0</v>
      </c>
      <c r="E14" s="704">
        <f t="shared" si="11"/>
        <v>0</v>
      </c>
      <c r="F14" s="704">
        <f t="shared" si="11"/>
        <v>0</v>
      </c>
      <c r="G14" s="704">
        <f t="shared" si="11"/>
        <v>0</v>
      </c>
      <c r="H14" s="704"/>
      <c r="I14" s="704">
        <f t="shared" si="10"/>
        <v>206431.22500000001</v>
      </c>
      <c r="J14" s="704">
        <f t="shared" si="10"/>
        <v>206431.22500000001</v>
      </c>
      <c r="K14" s="704">
        <f t="shared" si="10"/>
        <v>206431.22500000001</v>
      </c>
      <c r="L14" s="704">
        <f t="shared" si="10"/>
        <v>206431.22500000001</v>
      </c>
      <c r="M14" s="704">
        <f t="shared" si="10"/>
        <v>825724.9</v>
      </c>
      <c r="N14" s="704">
        <f t="shared" si="10"/>
        <v>825724.9</v>
      </c>
      <c r="O14" s="704"/>
      <c r="P14" s="704"/>
      <c r="Q14" s="704"/>
      <c r="R14" s="704"/>
      <c r="S14" s="704"/>
      <c r="T14" s="704"/>
      <c r="U14" s="704"/>
      <c r="V14" s="704"/>
      <c r="W14" s="704"/>
      <c r="X14" s="704"/>
      <c r="Y14" s="704"/>
      <c r="Z14" s="704"/>
      <c r="AA14" s="704"/>
      <c r="AB14" s="704"/>
      <c r="AC14" s="704"/>
      <c r="AD14" s="704"/>
      <c r="AE14" s="704"/>
      <c r="AF14" s="704"/>
      <c r="AG14" s="704"/>
      <c r="AH14" s="704"/>
      <c r="AI14" s="704"/>
      <c r="AJ14" s="704"/>
      <c r="AK14" s="704"/>
      <c r="AL14" s="704"/>
      <c r="AM14" s="704"/>
      <c r="AN14" s="704"/>
      <c r="AO14" s="704"/>
      <c r="AP14" s="704"/>
      <c r="AQ14" s="705">
        <f>SUM(C14:AG14)</f>
        <v>2477174.7000000002</v>
      </c>
      <c r="AR14" s="705">
        <f>B14</f>
        <v>4128624.5</v>
      </c>
      <c r="AS14" s="705">
        <f t="shared" si="5"/>
        <v>1651449.7999999998</v>
      </c>
      <c r="BR14"/>
      <c r="BS14"/>
    </row>
    <row r="15" spans="1:71">
      <c r="A15" s="87" t="str">
        <f>'Phase II Financial'!A47</f>
        <v>Taxes</v>
      </c>
      <c r="B15" s="884">
        <f>'Phase II Financial'!C47</f>
        <v>500000</v>
      </c>
      <c r="C15" s="710"/>
      <c r="D15" s="704"/>
      <c r="E15" s="704"/>
      <c r="F15" s="704"/>
      <c r="G15" s="707"/>
      <c r="H15" s="704">
        <f>0.1*$B15</f>
        <v>50000</v>
      </c>
      <c r="I15" s="704"/>
      <c r="J15" s="706"/>
      <c r="K15" s="704"/>
      <c r="L15" s="130"/>
      <c r="M15" s="704"/>
      <c r="N15" s="704">
        <f>0.4*$B15</f>
        <v>200000</v>
      </c>
      <c r="O15" s="707"/>
      <c r="P15" s="707"/>
      <c r="Q15" s="704"/>
      <c r="R15" s="704"/>
      <c r="S15" s="130"/>
      <c r="T15" s="704"/>
      <c r="U15" s="704"/>
      <c r="V15" s="704"/>
      <c r="W15" s="704"/>
      <c r="X15" s="704"/>
      <c r="Y15" s="704"/>
      <c r="Z15" s="130"/>
      <c r="AA15" s="704"/>
      <c r="AB15" s="130"/>
      <c r="AC15" s="704"/>
      <c r="AD15" s="707"/>
      <c r="AE15" s="704"/>
      <c r="AF15" s="704"/>
      <c r="AG15" s="704"/>
      <c r="AH15" s="704"/>
      <c r="AI15" s="704"/>
      <c r="AJ15" s="704"/>
      <c r="AK15" s="704"/>
      <c r="AL15" s="704"/>
      <c r="AM15" s="704"/>
      <c r="AN15" s="704"/>
      <c r="AO15" s="704"/>
      <c r="AP15" s="704"/>
      <c r="AQ15" s="705">
        <f>SUM(C15:AG15)</f>
        <v>250000</v>
      </c>
      <c r="AR15" s="705">
        <f>B15</f>
        <v>500000</v>
      </c>
      <c r="AS15" s="705">
        <f t="shared" si="5"/>
        <v>250000</v>
      </c>
      <c r="BR15"/>
      <c r="BS15"/>
    </row>
    <row r="16" spans="1:71">
      <c r="A16" s="87" t="str">
        <f>'Phase II Financial'!A48</f>
        <v>Insurance</v>
      </c>
      <c r="B16" s="884">
        <f>'Phase II Financial'!C48</f>
        <v>306000</v>
      </c>
      <c r="C16" s="710"/>
      <c r="D16" s="704"/>
      <c r="E16" s="704"/>
      <c r="F16" s="704"/>
      <c r="G16" s="704"/>
      <c r="H16" s="704"/>
      <c r="I16" s="704"/>
      <c r="J16" s="704"/>
      <c r="K16" s="704"/>
      <c r="L16" s="710">
        <f>$B16</f>
        <v>306000</v>
      </c>
      <c r="M16" s="704"/>
      <c r="N16" s="704"/>
      <c r="O16" s="707"/>
      <c r="P16" s="704"/>
      <c r="Q16" s="704"/>
      <c r="R16" s="704"/>
      <c r="S16" s="704"/>
      <c r="T16" s="704"/>
      <c r="U16" s="704"/>
      <c r="V16" s="704"/>
      <c r="W16" s="704"/>
      <c r="X16" s="704"/>
      <c r="Y16" s="704"/>
      <c r="Z16" s="704"/>
      <c r="AA16" s="711"/>
      <c r="AB16" s="704"/>
      <c r="AC16" s="704"/>
      <c r="AD16" s="704"/>
      <c r="AE16" s="704"/>
      <c r="AF16" s="890"/>
      <c r="AG16" s="704"/>
      <c r="AH16" s="704"/>
      <c r="AI16" s="704"/>
      <c r="AJ16" s="704"/>
      <c r="AK16" s="704"/>
      <c r="AL16" s="704"/>
      <c r="AM16" s="704"/>
      <c r="AN16" s="704"/>
      <c r="AO16" s="704"/>
      <c r="AP16" s="704"/>
      <c r="AQ16" s="705">
        <f>SUM(C16:AG16)</f>
        <v>306000</v>
      </c>
      <c r="AR16" s="705">
        <f>B16</f>
        <v>306000</v>
      </c>
      <c r="AS16" s="705">
        <f t="shared" si="5"/>
        <v>0</v>
      </c>
      <c r="BR16"/>
      <c r="BS16"/>
    </row>
    <row r="17" spans="1:71">
      <c r="A17" s="87" t="str">
        <f>'Phase II Financial'!A49</f>
        <v>Marketing, FFE and Preleasing</v>
      </c>
      <c r="B17" s="884">
        <f>'Phase II Financial'!C49</f>
        <v>400000</v>
      </c>
      <c r="C17" s="710"/>
      <c r="D17" s="704"/>
      <c r="E17" s="704"/>
      <c r="F17" s="704"/>
      <c r="G17" s="704"/>
      <c r="H17" s="704"/>
      <c r="I17" s="704"/>
      <c r="J17" s="704"/>
      <c r="K17" s="704"/>
      <c r="L17" s="704"/>
      <c r="M17" s="704"/>
      <c r="N17" s="704"/>
      <c r="O17" s="707"/>
      <c r="P17" s="704"/>
      <c r="Q17" s="704"/>
      <c r="R17" s="704"/>
      <c r="S17" s="711"/>
      <c r="T17" s="711"/>
      <c r="U17" s="711"/>
      <c r="V17" s="711"/>
      <c r="W17" s="707"/>
      <c r="X17" s="707"/>
      <c r="Y17" s="707"/>
      <c r="Z17" s="704"/>
      <c r="AA17" s="134"/>
      <c r="AB17" s="130"/>
      <c r="AC17" s="130"/>
      <c r="AD17" s="711"/>
      <c r="AE17" s="711"/>
      <c r="AF17" s="711"/>
      <c r="AG17" s="711"/>
      <c r="AH17" s="711"/>
      <c r="AI17" s="711"/>
      <c r="AJ17" s="711"/>
      <c r="AK17" s="711"/>
      <c r="AL17" s="711"/>
      <c r="AM17" s="711"/>
      <c r="AN17" s="711"/>
      <c r="AO17" s="711"/>
      <c r="AP17" s="711"/>
      <c r="AQ17" s="705">
        <f>SUM(C17:AG17)</f>
        <v>0</v>
      </c>
      <c r="AR17" s="705">
        <f>B17</f>
        <v>400000</v>
      </c>
      <c r="AS17" s="705">
        <f t="shared" si="5"/>
        <v>400000</v>
      </c>
      <c r="BR17"/>
      <c r="BS17"/>
    </row>
    <row r="18" spans="1:71">
      <c r="A18" s="87" t="str">
        <f>'Phase II Financial'!A50</f>
        <v>Net interest during closeout</v>
      </c>
      <c r="B18" s="884">
        <f>'Phase II Financial'!C50</f>
        <v>0</v>
      </c>
      <c r="C18" s="710"/>
      <c r="D18" s="704"/>
      <c r="E18" s="704"/>
      <c r="F18" s="704"/>
      <c r="G18" s="704"/>
      <c r="H18" s="704"/>
      <c r="I18" s="704"/>
      <c r="J18" s="704"/>
      <c r="K18" s="704"/>
      <c r="L18" s="704"/>
      <c r="M18" s="704"/>
      <c r="N18" s="704"/>
      <c r="O18" s="704"/>
      <c r="P18" s="704"/>
      <c r="Q18" s="704"/>
      <c r="R18" s="704"/>
      <c r="S18" s="704"/>
      <c r="T18" s="704"/>
      <c r="U18" s="891"/>
      <c r="V18" s="891"/>
      <c r="W18" s="891"/>
      <c r="X18" s="707"/>
      <c r="Y18" s="707"/>
      <c r="Z18" s="704"/>
      <c r="AA18" s="710"/>
      <c r="AB18" s="711"/>
      <c r="AC18" s="711"/>
      <c r="AD18" s="711"/>
      <c r="AE18" s="711"/>
      <c r="AF18" s="711"/>
      <c r="AG18" s="711"/>
      <c r="AH18" s="711"/>
      <c r="AI18" s="711"/>
      <c r="AJ18" s="711"/>
      <c r="AK18" s="711"/>
      <c r="AL18" s="711"/>
      <c r="AM18" s="711"/>
      <c r="AN18" s="711"/>
      <c r="AO18" s="711"/>
      <c r="AP18" s="711"/>
      <c r="AQ18" s="705">
        <f>SUM(C18:AG18)</f>
        <v>0</v>
      </c>
      <c r="AR18" s="705">
        <f>B18</f>
        <v>0</v>
      </c>
      <c r="AS18" s="705">
        <f t="shared" si="5"/>
        <v>0</v>
      </c>
      <c r="BR18"/>
      <c r="BS18"/>
    </row>
    <row r="19" spans="1:71">
      <c r="A19" s="87" t="str">
        <f>'Phase II Financial'!A51</f>
        <v>Retail Tenant Improvements</v>
      </c>
      <c r="B19" s="884">
        <f>'Phase II Financial'!C51</f>
        <v>0</v>
      </c>
      <c r="C19" s="710"/>
      <c r="D19" s="704"/>
      <c r="E19" s="704"/>
      <c r="F19" s="704"/>
      <c r="G19" s="704"/>
      <c r="H19" s="704"/>
      <c r="I19" s="704"/>
      <c r="J19" s="704"/>
      <c r="K19" s="704"/>
      <c r="L19" s="704"/>
      <c r="M19" s="704"/>
      <c r="N19" s="704"/>
      <c r="O19" s="704"/>
      <c r="P19" s="704"/>
      <c r="Q19" s="704"/>
      <c r="R19" s="704"/>
      <c r="S19" s="704"/>
      <c r="T19" s="704"/>
      <c r="U19" s="704"/>
      <c r="V19" s="707"/>
      <c r="W19" s="707"/>
      <c r="X19" s="710"/>
      <c r="Y19" s="707"/>
      <c r="Z19" s="704"/>
      <c r="AA19" s="711"/>
      <c r="AB19" s="711"/>
      <c r="AC19" s="711"/>
      <c r="AD19" s="711"/>
      <c r="AE19" s="891"/>
      <c r="AF19" s="892"/>
      <c r="AG19" s="707"/>
      <c r="AH19" s="707"/>
      <c r="AI19" s="707"/>
      <c r="AJ19" s="707"/>
      <c r="AK19" s="707"/>
      <c r="AL19" s="707"/>
      <c r="AM19" s="707"/>
      <c r="AN19" s="707"/>
      <c r="AO19" s="707"/>
      <c r="AP19" s="707"/>
      <c r="AQ19" s="705">
        <f>SUM(C19:AG19)</f>
        <v>0</v>
      </c>
      <c r="AR19" s="705">
        <f>B19</f>
        <v>0</v>
      </c>
      <c r="AS19" s="705">
        <f t="shared" si="5"/>
        <v>0</v>
      </c>
      <c r="BR19"/>
      <c r="BS19"/>
    </row>
    <row r="20" spans="1:71">
      <c r="A20" s="87" t="str">
        <f>'Phase II Financial'!A52</f>
        <v>Retail brokerage</v>
      </c>
      <c r="B20" s="884">
        <f>'Phase II Financial'!C52</f>
        <v>1145520</v>
      </c>
      <c r="C20" s="710"/>
      <c r="D20" s="704"/>
      <c r="E20" s="704"/>
      <c r="F20" s="704"/>
      <c r="G20" s="704"/>
      <c r="H20" s="704"/>
      <c r="I20" s="704"/>
      <c r="J20" s="704"/>
      <c r="K20" s="704"/>
      <c r="L20" s="704"/>
      <c r="M20" s="704"/>
      <c r="N20" s="704"/>
      <c r="O20" s="704"/>
      <c r="P20" s="704"/>
      <c r="Q20" s="704"/>
      <c r="R20" s="704"/>
      <c r="S20" s="704"/>
      <c r="T20" s="704"/>
      <c r="U20" s="704"/>
      <c r="V20" s="704"/>
      <c r="W20" s="704"/>
      <c r="X20" s="704"/>
      <c r="Y20" s="704"/>
      <c r="Z20" s="704"/>
      <c r="AA20" s="711"/>
      <c r="AB20" s="704"/>
      <c r="AC20" s="704"/>
      <c r="AD20" s="704"/>
      <c r="AE20" s="704"/>
      <c r="AF20" s="890"/>
      <c r="AG20" s="707"/>
      <c r="AH20" s="707"/>
      <c r="AI20" s="707"/>
      <c r="AJ20" s="707"/>
      <c r="AK20" s="707"/>
      <c r="AL20" s="707"/>
      <c r="AM20" s="707"/>
      <c r="AN20" s="707"/>
      <c r="AO20" s="707"/>
      <c r="AP20" s="707"/>
      <c r="AQ20" s="705">
        <f>SUM(C20:AG20)</f>
        <v>0</v>
      </c>
      <c r="AR20" s="705">
        <f>B20</f>
        <v>1145520</v>
      </c>
      <c r="AS20" s="705">
        <f t="shared" si="5"/>
        <v>1145520</v>
      </c>
      <c r="BR20"/>
      <c r="BS20"/>
    </row>
    <row r="21" spans="1:71">
      <c r="A21" s="87" t="str">
        <f>'Phase II Financial'!A53</f>
        <v>Construction Loan Origination</v>
      </c>
      <c r="B21" s="884">
        <f>'Phase II Financial'!C53</f>
        <v>515000</v>
      </c>
      <c r="C21" s="704">
        <f>$B$21*C4</f>
        <v>0</v>
      </c>
      <c r="D21" s="704">
        <f>$B$21*D4</f>
        <v>0</v>
      </c>
      <c r="E21" s="704">
        <v>0</v>
      </c>
      <c r="F21" s="704">
        <v>0</v>
      </c>
      <c r="G21" s="704">
        <v>0</v>
      </c>
      <c r="H21" s="704">
        <v>0</v>
      </c>
      <c r="I21" s="704">
        <f>$B21</f>
        <v>515000</v>
      </c>
      <c r="J21" s="704">
        <v>0</v>
      </c>
      <c r="K21" s="704"/>
      <c r="L21" s="704">
        <v>0</v>
      </c>
      <c r="M21" s="130"/>
      <c r="N21" s="704">
        <v>0</v>
      </c>
      <c r="O21" s="704"/>
      <c r="P21" s="704"/>
      <c r="Q21" s="704"/>
      <c r="R21" s="130"/>
      <c r="S21" s="704"/>
      <c r="T21" s="704"/>
      <c r="U21" s="704"/>
      <c r="V21" s="704"/>
      <c r="W21" s="704"/>
      <c r="X21" s="704"/>
      <c r="Y21" s="704"/>
      <c r="Z21" s="704"/>
      <c r="AA21" s="711"/>
      <c r="AB21" s="704"/>
      <c r="AC21" s="704"/>
      <c r="AD21" s="704"/>
      <c r="AE21" s="704"/>
      <c r="AF21" s="890"/>
      <c r="AG21" s="704"/>
      <c r="AH21" s="704"/>
      <c r="AI21" s="704"/>
      <c r="AJ21" s="704"/>
      <c r="AK21" s="704"/>
      <c r="AL21" s="704"/>
      <c r="AM21" s="704"/>
      <c r="AN21" s="704"/>
      <c r="AO21" s="704"/>
      <c r="AP21" s="704"/>
      <c r="AQ21" s="705">
        <f>SUM(C21:AG21)</f>
        <v>515000</v>
      </c>
      <c r="AR21" s="705">
        <f>B21</f>
        <v>515000</v>
      </c>
      <c r="AS21" s="705">
        <f t="shared" si="5"/>
        <v>0</v>
      </c>
      <c r="BR21"/>
      <c r="BS21"/>
    </row>
    <row r="22" spans="1:71">
      <c r="A22" s="87" t="str">
        <f>'Phase II Financial'!A54</f>
        <v>Construction Interest</v>
      </c>
      <c r="B22" s="884">
        <f>'Phase II Financial'!C54</f>
        <v>2057000</v>
      </c>
      <c r="C22" s="713"/>
      <c r="D22" s="704"/>
      <c r="E22" s="704"/>
      <c r="F22" s="704"/>
      <c r="G22" s="704"/>
      <c r="H22" s="704"/>
      <c r="I22" s="704"/>
      <c r="J22" s="704"/>
      <c r="K22" s="704"/>
      <c r="L22" s="704"/>
      <c r="M22" s="704"/>
      <c r="N22" s="704">
        <f>0.05*$B22</f>
        <v>102850</v>
      </c>
      <c r="O22" s="704"/>
      <c r="P22" s="704"/>
      <c r="Q22" s="704"/>
      <c r="R22" s="704"/>
      <c r="S22" s="704"/>
      <c r="T22" s="704"/>
      <c r="U22" s="704"/>
      <c r="V22" s="704"/>
      <c r="W22" s="704"/>
      <c r="X22" s="704"/>
      <c r="Y22" s="704"/>
      <c r="Z22" s="704"/>
      <c r="AA22" s="704"/>
      <c r="AB22" s="704"/>
      <c r="AC22" s="704"/>
      <c r="AD22" s="704"/>
      <c r="AE22" s="704"/>
      <c r="AF22" s="704"/>
      <c r="AG22" s="704"/>
      <c r="AH22" s="704"/>
      <c r="AI22" s="704"/>
      <c r="AJ22" s="704"/>
      <c r="AK22" s="704"/>
      <c r="AL22" s="704"/>
      <c r="AM22" s="704"/>
      <c r="AN22" s="704"/>
      <c r="AO22" s="704"/>
      <c r="AP22" s="704"/>
      <c r="AQ22" s="705">
        <f>SUM(C22:AG22)</f>
        <v>102850</v>
      </c>
      <c r="AR22" s="705">
        <f>B22</f>
        <v>2057000</v>
      </c>
      <c r="AS22" s="705">
        <f t="shared" si="5"/>
        <v>1954150</v>
      </c>
      <c r="BR22"/>
      <c r="BS22"/>
    </row>
    <row r="23" spans="1:71" ht="15.95" thickBot="1">
      <c r="A23" s="893" t="str">
        <f>'Phase II Financial'!A55</f>
        <v>Additional Contingency</v>
      </c>
      <c r="B23" s="716">
        <f>'Phase II Financial'!C55</f>
        <v>1000000</v>
      </c>
      <c r="C23" s="715">
        <v>0</v>
      </c>
      <c r="D23" s="715">
        <v>0</v>
      </c>
      <c r="E23" s="715">
        <v>0</v>
      </c>
      <c r="F23" s="715"/>
      <c r="G23" s="715">
        <v>0</v>
      </c>
      <c r="H23" s="715">
        <v>0</v>
      </c>
      <c r="I23" s="715">
        <f t="shared" ref="I23:N23" si="12">$B23*I$4</f>
        <v>50000</v>
      </c>
      <c r="J23" s="715">
        <f t="shared" si="12"/>
        <v>50000</v>
      </c>
      <c r="K23" s="715">
        <f t="shared" si="12"/>
        <v>50000</v>
      </c>
      <c r="L23" s="715">
        <f t="shared" si="12"/>
        <v>50000</v>
      </c>
      <c r="M23" s="715">
        <f t="shared" si="12"/>
        <v>200000</v>
      </c>
      <c r="N23" s="715">
        <f t="shared" si="12"/>
        <v>200000</v>
      </c>
      <c r="O23" s="715"/>
      <c r="P23" s="715"/>
      <c r="Q23" s="715"/>
      <c r="R23" s="715"/>
      <c r="S23" s="715"/>
      <c r="T23" s="715"/>
      <c r="U23" s="715"/>
      <c r="V23" s="715"/>
      <c r="W23" s="715"/>
      <c r="X23" s="715"/>
      <c r="Y23" s="715"/>
      <c r="Z23" s="715"/>
      <c r="AA23" s="715"/>
      <c r="AB23" s="715"/>
      <c r="AC23" s="715"/>
      <c r="AD23" s="715"/>
      <c r="AE23" s="715"/>
      <c r="AF23" s="715"/>
      <c r="AG23" s="715"/>
      <c r="AH23" s="715"/>
      <c r="AI23" s="715"/>
      <c r="AJ23" s="715"/>
      <c r="AK23" s="715"/>
      <c r="AL23" s="715"/>
      <c r="AM23" s="715"/>
      <c r="AN23" s="715"/>
      <c r="AO23" s="715"/>
      <c r="AP23" s="715"/>
      <c r="AQ23" s="716">
        <f>SUM(C23:AG23)</f>
        <v>600000</v>
      </c>
      <c r="AR23" s="705">
        <f>B23</f>
        <v>1000000</v>
      </c>
      <c r="AS23" s="705">
        <f t="shared" si="5"/>
        <v>400000</v>
      </c>
      <c r="BR23"/>
      <c r="BS23"/>
    </row>
    <row r="24" spans="1:71" ht="17.100000000000001" thickTop="1" thickBot="1">
      <c r="A24" s="96" t="str">
        <f>' Phase I Financial'!A69</f>
        <v>Total Project Cost</v>
      </c>
      <c r="B24" s="97">
        <f>SUM(B5:B23)</f>
        <v>234477272.72</v>
      </c>
      <c r="C24" s="717">
        <f>SUM(C5:C23)</f>
        <v>0</v>
      </c>
      <c r="D24" s="717">
        <f>SUM(D5:D23)</f>
        <v>0</v>
      </c>
      <c r="E24" s="717">
        <f>SUM(E5:E23)</f>
        <v>3632899.6</v>
      </c>
      <c r="F24" s="717">
        <f>SUM(F5:F23)</f>
        <v>3382899.6</v>
      </c>
      <c r="G24" s="717">
        <f>SUM(G5:G23)</f>
        <v>905724.9</v>
      </c>
      <c r="H24" s="717">
        <f>SUM(H5:H23)</f>
        <v>542862.44999999995</v>
      </c>
      <c r="I24" s="717">
        <f>SUM(I5:I23)</f>
        <v>14174970.165999999</v>
      </c>
      <c r="J24" s="717">
        <f>SUM(J5:J23)</f>
        <v>11027397.675999999</v>
      </c>
      <c r="K24" s="717">
        <f>SUM(K5:K23)</f>
        <v>10987397.675999999</v>
      </c>
      <c r="L24" s="717">
        <f>SUM(L5:L23)</f>
        <v>11293397.675999999</v>
      </c>
      <c r="M24" s="717">
        <f>SUM(M5:M23)</f>
        <v>43619300.743999995</v>
      </c>
      <c r="N24" s="717">
        <f>SUM(N5:N23)</f>
        <v>43922150.743999995</v>
      </c>
      <c r="O24" s="717"/>
      <c r="P24" s="717"/>
      <c r="Q24" s="717"/>
      <c r="R24" s="717"/>
      <c r="S24" s="717"/>
      <c r="T24" s="717"/>
      <c r="U24" s="717"/>
      <c r="V24" s="717"/>
      <c r="W24" s="717"/>
      <c r="X24" s="717"/>
      <c r="Y24" s="717"/>
      <c r="Z24" s="717"/>
      <c r="AA24" s="717"/>
      <c r="AB24" s="717"/>
      <c r="AC24" s="717"/>
      <c r="AD24" s="717"/>
      <c r="AE24" s="717"/>
      <c r="AF24" s="717"/>
      <c r="AG24" s="717"/>
      <c r="AH24" s="83"/>
      <c r="AI24" s="83"/>
      <c r="AJ24" s="83"/>
      <c r="AK24" s="83"/>
      <c r="AL24" s="83"/>
      <c r="AM24" s="83"/>
      <c r="AN24" s="83"/>
      <c r="AO24" s="83"/>
      <c r="AP24" s="83"/>
      <c r="AQ24" s="84">
        <f>SUM(AQ5:AQ23)</f>
        <v>143489001.23199999</v>
      </c>
      <c r="AR24" s="83">
        <f>SUM(AR5:AR23)</f>
        <v>234477272.72</v>
      </c>
      <c r="AS24" s="83"/>
      <c r="BR24"/>
      <c r="BS24"/>
    </row>
    <row r="25" spans="1:71">
      <c r="A25" s="85" t="s">
        <v>296</v>
      </c>
      <c r="B25" s="98">
        <f>'Phase II Financial'!B64</f>
        <v>-203930000</v>
      </c>
      <c r="C25" s="99"/>
      <c r="D25" s="894"/>
      <c r="E25" s="894"/>
      <c r="F25" s="894"/>
      <c r="G25" s="894"/>
      <c r="H25" s="894"/>
      <c r="I25" s="894"/>
      <c r="J25" s="894"/>
      <c r="K25" s="894"/>
      <c r="L25" s="894"/>
      <c r="M25" s="894"/>
      <c r="N25" s="894"/>
      <c r="O25" s="894"/>
      <c r="P25" s="894"/>
      <c r="Q25" s="894"/>
      <c r="R25" s="894"/>
      <c r="S25" s="894"/>
      <c r="T25" s="894"/>
      <c r="U25" s="894"/>
      <c r="V25" s="894"/>
      <c r="W25" s="894"/>
      <c r="X25" s="894"/>
      <c r="Y25" s="894"/>
      <c r="Z25" s="894"/>
      <c r="AA25" s="894"/>
      <c r="AB25" s="894"/>
      <c r="AC25" s="894"/>
      <c r="AD25" s="894"/>
      <c r="AE25" s="894"/>
      <c r="AF25" s="99"/>
      <c r="AG25" s="895"/>
      <c r="AH25" s="895"/>
      <c r="AI25" s="895"/>
      <c r="AJ25" s="895"/>
      <c r="AK25" s="895"/>
      <c r="AL25" s="895"/>
      <c r="AM25" s="895"/>
      <c r="AN25" s="895"/>
      <c r="AO25" s="895"/>
      <c r="AP25" s="895"/>
      <c r="AQ25" s="100"/>
      <c r="AR25" s="99"/>
      <c r="AS25" s="83"/>
      <c r="BR25"/>
      <c r="BS25"/>
    </row>
    <row r="26" spans="1:71" ht="15.95" thickBot="1">
      <c r="A26" s="718" t="s">
        <v>297</v>
      </c>
      <c r="B26" s="896">
        <f>B24+B25</f>
        <v>30547272.719999999</v>
      </c>
      <c r="C26" s="897"/>
      <c r="D26" s="733"/>
      <c r="E26" s="733"/>
      <c r="F26" s="733"/>
      <c r="G26" s="733"/>
      <c r="H26" s="733"/>
      <c r="I26" s="733"/>
      <c r="J26" s="733"/>
      <c r="K26" s="733"/>
      <c r="L26" s="733"/>
      <c r="M26" s="733"/>
      <c r="N26" s="733"/>
      <c r="O26" s="733"/>
      <c r="P26" s="733"/>
      <c r="Q26" s="733"/>
      <c r="R26" s="733"/>
      <c r="S26" s="733"/>
      <c r="T26" s="733"/>
      <c r="U26" s="731"/>
      <c r="V26" s="731"/>
      <c r="W26" s="731"/>
      <c r="X26" s="731"/>
      <c r="Y26" s="731"/>
      <c r="Z26" s="731"/>
      <c r="AA26" s="731"/>
      <c r="AB26" s="731"/>
      <c r="AC26" s="733"/>
      <c r="AD26" s="733"/>
      <c r="AE26" s="733"/>
      <c r="AF26" s="897"/>
      <c r="AG26" s="898"/>
      <c r="AH26" s="898"/>
      <c r="AI26" s="898"/>
      <c r="AJ26" s="898"/>
      <c r="AK26" s="898"/>
      <c r="AL26" s="898"/>
      <c r="AM26" s="898"/>
      <c r="AN26" s="898"/>
      <c r="AO26" s="898"/>
      <c r="AP26" s="898"/>
      <c r="AQ26" s="733"/>
      <c r="AR26" s="897"/>
      <c r="AS26" s="721"/>
      <c r="BR26"/>
      <c r="BS26"/>
    </row>
    <row r="27" spans="1:71">
      <c r="A27" s="91" t="s">
        <v>298</v>
      </c>
      <c r="B27" s="92">
        <f>SUM(C27:AQ27)</f>
        <v>93791000</v>
      </c>
      <c r="C27" s="705">
        <f>C24</f>
        <v>0</v>
      </c>
      <c r="D27" s="705">
        <f>IF(C28+D24&lt;=$B$28,D24,($B$28-C28))</f>
        <v>0</v>
      </c>
      <c r="E27" s="705">
        <f>IF(D28+E24&lt;=$B$28,E24,($B$28-D28))</f>
        <v>3632899.6</v>
      </c>
      <c r="F27" s="705">
        <f>IF(E28+F24&lt;=$B$28,F24,($B$28-E28))</f>
        <v>3382899.6</v>
      </c>
      <c r="G27" s="705">
        <f>IF(F28+G24&lt;=$B$28,G24,($B$28-F28))</f>
        <v>905724.9</v>
      </c>
      <c r="H27" s="705">
        <f>IF(G28+H24&lt;=$B$28,H24,($B$28-G28))</f>
        <v>542862.44999999995</v>
      </c>
      <c r="I27" s="705">
        <f>IF(H28+I24&lt;=$B$28,I24,($B$28-H28))</f>
        <v>14174970.165999999</v>
      </c>
      <c r="J27" s="705">
        <f>IF(I28+J24&lt;=$B$28,J24,($B$28-I28))</f>
        <v>11027397.675999999</v>
      </c>
      <c r="K27" s="705">
        <f>IF(J28+K24&lt;=$B$28,K24,($B$28-J28))</f>
        <v>10987397.675999999</v>
      </c>
      <c r="L27" s="705">
        <f>IF(K28+L24&lt;=$B$28,L24,($B$28-K28))</f>
        <v>11293397.675999999</v>
      </c>
      <c r="M27" s="705">
        <f>IF(L28+M24&lt;=$B$28,M24,($B$28-L28))</f>
        <v>37843450.256000005</v>
      </c>
      <c r="N27" s="705">
        <f>IF(M28+N24&lt;=$B$28,N24,($B$28-M28))</f>
        <v>0</v>
      </c>
      <c r="O27" s="705"/>
      <c r="P27" s="705"/>
      <c r="Q27" s="705"/>
      <c r="R27" s="705"/>
      <c r="S27" s="705"/>
      <c r="T27" s="705"/>
      <c r="U27" s="705"/>
      <c r="V27" s="705"/>
      <c r="W27" s="705"/>
      <c r="X27" s="705"/>
      <c r="Y27" s="705"/>
      <c r="Z27" s="705"/>
      <c r="AA27" s="705"/>
      <c r="AB27" s="705"/>
      <c r="AC27" s="705"/>
      <c r="AD27" s="705"/>
      <c r="AE27" s="705"/>
      <c r="AF27" s="705"/>
      <c r="AG27" s="705"/>
      <c r="AH27" s="705"/>
      <c r="AI27" s="705"/>
      <c r="AJ27" s="705"/>
      <c r="AK27" s="705"/>
      <c r="AL27" s="705"/>
      <c r="AM27" s="705"/>
      <c r="AN27" s="705"/>
      <c r="AO27" s="705"/>
      <c r="AP27" s="705"/>
      <c r="AQ27" s="726"/>
      <c r="AR27" s="725"/>
      <c r="AS27" s="724"/>
      <c r="BR27"/>
      <c r="BS27"/>
    </row>
    <row r="28" spans="1:71" ht="15.95" thickBot="1">
      <c r="A28" s="87" t="s">
        <v>299</v>
      </c>
      <c r="B28" s="88">
        <f>'Phase II Financial'!B67</f>
        <v>93791000</v>
      </c>
      <c r="C28" s="705">
        <f>C27</f>
        <v>0</v>
      </c>
      <c r="D28" s="705">
        <f>IF(SUM($C$27:D27)&lt;=$B28,SUM($C$27:D27),0)</f>
        <v>0</v>
      </c>
      <c r="E28" s="705">
        <f>IF(SUM($C$27:E27)&lt;=$B28,SUM($C$27:E27),0)</f>
        <v>3632899.6</v>
      </c>
      <c r="F28" s="705">
        <f>IF(SUM($C$27:F27)&lt;=$B28,SUM($C$27:F27),0)</f>
        <v>7015799.2000000002</v>
      </c>
      <c r="G28" s="705">
        <f>IF(SUM($C$27:G27)&lt;=$B28,SUM($C$27:G27),0)</f>
        <v>7921524.1000000006</v>
      </c>
      <c r="H28" s="705">
        <f>IF(SUM($C$27:H27)&lt;=$B28,SUM($C$27:H27),0)</f>
        <v>8464386.5500000007</v>
      </c>
      <c r="I28" s="705">
        <f>IF(SUM($C$27:I27)&lt;=$B28,SUM($C$27:I27),0)</f>
        <v>22639356.715999998</v>
      </c>
      <c r="J28" s="705">
        <f>IF(SUM($C$27:J27)&lt;=$B28,SUM($C$27:J27),0)</f>
        <v>33666754.391999997</v>
      </c>
      <c r="K28" s="705">
        <f>IF(SUM($C$27:K27)&lt;=$B28,SUM($C$27:K27),0)</f>
        <v>44654152.067999996</v>
      </c>
      <c r="L28" s="705">
        <f>IF(SUM($C$27:L27)&lt;=$B28,SUM($C$27:L27),0)</f>
        <v>55947549.743999995</v>
      </c>
      <c r="M28" s="705">
        <f>IF(SUM($C$27:M27)&lt;=$B28,SUM($C$27:M27),0)</f>
        <v>93791000</v>
      </c>
      <c r="N28" s="705">
        <f>IF(SUM($C$27:N27)&lt;=$B28,SUM($C$27:N27),0)</f>
        <v>93791000</v>
      </c>
      <c r="O28" s="705"/>
      <c r="P28" s="705"/>
      <c r="Q28" s="705"/>
      <c r="R28" s="705"/>
      <c r="S28" s="705"/>
      <c r="T28" s="705"/>
      <c r="U28" s="705"/>
      <c r="V28" s="705"/>
      <c r="W28" s="705"/>
      <c r="X28" s="705"/>
      <c r="Y28" s="705"/>
      <c r="Z28" s="705"/>
      <c r="AA28" s="705"/>
      <c r="AB28" s="705"/>
      <c r="AC28" s="705"/>
      <c r="AD28" s="705"/>
      <c r="AE28" s="705"/>
      <c r="AF28" s="705"/>
      <c r="AG28" s="705"/>
      <c r="AH28" s="705"/>
      <c r="AI28" s="705"/>
      <c r="AJ28" s="705"/>
      <c r="AK28" s="705"/>
      <c r="AL28" s="705"/>
      <c r="AM28" s="705"/>
      <c r="AN28" s="705"/>
      <c r="AO28" s="705"/>
      <c r="AP28" s="705"/>
      <c r="AQ28" s="726"/>
      <c r="AR28" s="725"/>
      <c r="AS28" s="724"/>
      <c r="BR28"/>
      <c r="BS28"/>
    </row>
    <row r="29" spans="1:71">
      <c r="A29" s="89" t="s">
        <v>300</v>
      </c>
      <c r="B29" s="90">
        <f>'Phase II Financial'!B66</f>
        <v>140686000</v>
      </c>
      <c r="C29" s="725"/>
      <c r="D29" s="726"/>
      <c r="E29" s="726"/>
      <c r="F29" s="726"/>
      <c r="G29" s="726"/>
      <c r="H29" s="726"/>
      <c r="I29" s="726"/>
      <c r="J29" s="726"/>
      <c r="K29" s="72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726"/>
      <c r="Y29" s="726"/>
      <c r="Z29" s="726"/>
      <c r="AA29" s="726"/>
      <c r="AB29" s="726"/>
      <c r="AC29" s="726"/>
      <c r="AD29" s="726"/>
      <c r="AE29" s="726"/>
      <c r="AF29" s="726"/>
      <c r="AG29" s="726"/>
      <c r="AH29" s="726"/>
      <c r="AI29" s="726"/>
      <c r="AJ29" s="726"/>
      <c r="AK29" s="726"/>
      <c r="AL29" s="726"/>
      <c r="AM29" s="726"/>
      <c r="AN29" s="726"/>
      <c r="AO29" s="726"/>
      <c r="AP29" s="726"/>
      <c r="AQ29" s="726"/>
      <c r="AR29" s="725"/>
      <c r="AS29" s="724"/>
      <c r="BR29"/>
      <c r="BS29"/>
    </row>
    <row r="30" spans="1:71" ht="15.95" thickBot="1">
      <c r="A30" s="727" t="s">
        <v>301</v>
      </c>
      <c r="B30" s="728">
        <f>PMT(0.045,30,(B29))</f>
        <v>-8636930.6056383345</v>
      </c>
      <c r="C30" s="725"/>
      <c r="D30" s="726"/>
      <c r="E30" s="726"/>
      <c r="F30" s="726"/>
      <c r="G30" s="726"/>
      <c r="H30" s="726"/>
      <c r="I30" s="726"/>
      <c r="J30" s="726"/>
      <c r="K30" s="72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6"/>
      <c r="W30" s="726"/>
      <c r="X30" s="726"/>
      <c r="Y30" s="726"/>
      <c r="Z30" s="726"/>
      <c r="AA30" s="726"/>
      <c r="AB30" s="726"/>
      <c r="AC30" s="726"/>
      <c r="AD30" s="726"/>
      <c r="AE30" s="726"/>
      <c r="AF30" s="726"/>
      <c r="AG30" s="726"/>
      <c r="AH30" s="726"/>
      <c r="AI30" s="726"/>
      <c r="AJ30" s="726"/>
      <c r="AK30" s="726"/>
      <c r="AL30" s="726"/>
      <c r="AM30" s="726"/>
      <c r="AN30" s="726"/>
      <c r="AO30" s="726"/>
      <c r="AP30" s="726"/>
      <c r="AQ30" s="726"/>
      <c r="AR30" s="725"/>
      <c r="AS30" s="724"/>
      <c r="BR30"/>
      <c r="BS30"/>
    </row>
    <row r="31" spans="1:71">
      <c r="A31" s="96" t="s">
        <v>302</v>
      </c>
      <c r="B31" s="127">
        <f>SUM(C31:AQ31)</f>
        <v>0</v>
      </c>
      <c r="C31" s="737"/>
      <c r="D31" s="737"/>
      <c r="E31" s="737"/>
      <c r="F31" s="737"/>
      <c r="G31" s="737"/>
      <c r="H31" s="737"/>
      <c r="I31" s="737"/>
      <c r="J31" s="737"/>
      <c r="K31" s="737"/>
      <c r="L31" s="737"/>
      <c r="M31" s="737"/>
      <c r="N31" s="737"/>
      <c r="O31" s="737"/>
      <c r="P31" s="737"/>
      <c r="Q31" s="737"/>
      <c r="R31" s="737"/>
      <c r="S31" s="737"/>
      <c r="T31" s="737"/>
      <c r="U31" s="737"/>
      <c r="V31" s="737"/>
      <c r="W31" s="737"/>
      <c r="X31" s="737"/>
      <c r="Y31" s="737"/>
      <c r="Z31" s="737"/>
      <c r="AA31" s="737"/>
      <c r="AC31" s="899"/>
      <c r="AD31" s="899"/>
      <c r="AE31" s="899"/>
      <c r="AF31" s="899"/>
      <c r="AG31" s="899"/>
      <c r="AH31" s="899"/>
      <c r="AI31" s="899"/>
      <c r="AJ31" s="899"/>
      <c r="AK31" s="899"/>
      <c r="AL31" s="899"/>
      <c r="AM31" s="899"/>
      <c r="AN31" s="899"/>
      <c r="AO31" s="899"/>
      <c r="AP31" s="899"/>
      <c r="AQ31" s="900"/>
      <c r="AR31" s="93"/>
      <c r="AS31" s="724"/>
      <c r="BR31"/>
      <c r="BS31"/>
    </row>
    <row r="32" spans="1:71">
      <c r="A32" s="901" t="s">
        <v>303</v>
      </c>
      <c r="B32" s="901"/>
      <c r="C32" s="726"/>
      <c r="D32" s="726"/>
      <c r="E32" s="726"/>
      <c r="F32" s="726"/>
      <c r="G32" s="726"/>
      <c r="H32" s="726"/>
      <c r="I32" s="726"/>
      <c r="J32" s="726"/>
      <c r="K32" s="726"/>
      <c r="L32" s="726"/>
      <c r="M32" s="726"/>
      <c r="N32" s="726"/>
      <c r="O32" s="726"/>
      <c r="P32" s="726"/>
      <c r="Q32" s="726"/>
      <c r="R32" s="726"/>
      <c r="S32" s="726"/>
      <c r="T32" s="726"/>
      <c r="U32" s="726"/>
      <c r="V32" s="726"/>
      <c r="W32" s="726"/>
      <c r="X32" s="726"/>
      <c r="Y32" s="726"/>
      <c r="Z32" s="726"/>
      <c r="AA32" s="726"/>
      <c r="AB32" s="731"/>
      <c r="AC32" s="731"/>
      <c r="AD32" s="731"/>
      <c r="AE32" s="731"/>
      <c r="AF32" s="731"/>
      <c r="AG32" s="731"/>
      <c r="AH32" s="731"/>
      <c r="AI32" s="731"/>
      <c r="AJ32" s="731"/>
      <c r="AK32" s="731"/>
      <c r="AL32" s="731"/>
      <c r="AM32" s="731"/>
      <c r="AN32" s="731"/>
      <c r="AO32" s="731"/>
      <c r="AP32" s="731"/>
      <c r="AQ32" s="731"/>
      <c r="AR32" s="733"/>
      <c r="AS32" s="724"/>
      <c r="BR32"/>
      <c r="BS32"/>
    </row>
    <row r="33" spans="1:71">
      <c r="A33" s="722" t="s">
        <v>304</v>
      </c>
      <c r="B33" s="429">
        <f>'Phase II Financial'!B74+'Phase II Financial'!B75</f>
        <v>-104762500</v>
      </c>
      <c r="C33" s="731"/>
      <c r="D33" s="732"/>
      <c r="E33" s="732"/>
      <c r="F33" s="732"/>
      <c r="G33" s="732"/>
      <c r="H33" s="732"/>
      <c r="I33" s="732"/>
      <c r="J33" s="732"/>
      <c r="K33" s="732"/>
      <c r="L33" s="732"/>
      <c r="M33" s="732"/>
      <c r="N33" s="732"/>
      <c r="O33" s="732"/>
      <c r="P33" s="732"/>
      <c r="Q33" s="732"/>
      <c r="R33" s="732"/>
      <c r="S33" s="732"/>
      <c r="T33" s="732"/>
      <c r="U33" s="732"/>
      <c r="V33" s="732"/>
      <c r="W33" s="732"/>
      <c r="X33" s="732"/>
      <c r="Y33" s="732"/>
      <c r="Z33" s="732"/>
      <c r="AA33" s="732"/>
      <c r="AB33" s="732"/>
      <c r="AC33" s="732"/>
      <c r="AD33" s="732"/>
      <c r="AE33" s="734"/>
      <c r="AF33" s="734"/>
      <c r="AG33" s="731"/>
      <c r="AH33" s="731"/>
      <c r="AI33" s="731"/>
      <c r="AJ33" s="731"/>
      <c r="AK33" s="731"/>
      <c r="AL33" s="731"/>
      <c r="AM33" s="731"/>
      <c r="AN33" s="731"/>
      <c r="AO33" s="731"/>
      <c r="AP33" s="731"/>
      <c r="AQ33" s="733"/>
      <c r="AR33" s="733"/>
      <c r="AS33" s="735"/>
      <c r="BR33"/>
      <c r="BS33"/>
    </row>
    <row r="34" spans="1:71">
      <c r="A34" s="720" t="s">
        <v>305</v>
      </c>
      <c r="B34" s="705">
        <f>SUM(C34:AP34)</f>
        <v>-93791000</v>
      </c>
      <c r="C34" s="705">
        <f t="shared" ref="C34:N34" si="13">-C27</f>
        <v>0</v>
      </c>
      <c r="D34" s="705">
        <f t="shared" si="13"/>
        <v>0</v>
      </c>
      <c r="E34" s="705">
        <f t="shared" si="13"/>
        <v>-3632899.6</v>
      </c>
      <c r="F34" s="705">
        <f t="shared" si="13"/>
        <v>-3382899.6</v>
      </c>
      <c r="G34" s="705">
        <f t="shared" si="13"/>
        <v>-905724.9</v>
      </c>
      <c r="H34" s="705">
        <f t="shared" si="13"/>
        <v>-542862.44999999995</v>
      </c>
      <c r="I34" s="705">
        <f>-I27</f>
        <v>-14174970.165999999</v>
      </c>
      <c r="J34" s="705">
        <f t="shared" si="13"/>
        <v>-11027397.675999999</v>
      </c>
      <c r="K34" s="705">
        <f t="shared" si="13"/>
        <v>-10987397.675999999</v>
      </c>
      <c r="L34" s="705">
        <f t="shared" si="13"/>
        <v>-11293397.675999999</v>
      </c>
      <c r="M34" s="705">
        <f t="shared" si="13"/>
        <v>-37843450.256000005</v>
      </c>
      <c r="N34" s="705">
        <f t="shared" si="13"/>
        <v>0</v>
      </c>
      <c r="O34" s="705"/>
      <c r="P34" s="705"/>
      <c r="Q34" s="720"/>
      <c r="R34" s="705"/>
      <c r="S34" s="705"/>
      <c r="T34" s="705"/>
      <c r="U34" s="705"/>
      <c r="V34" s="705"/>
      <c r="W34" s="705"/>
      <c r="X34" s="705"/>
      <c r="Y34" s="705"/>
      <c r="Z34" s="705"/>
      <c r="AA34" s="705"/>
      <c r="AB34" s="429"/>
      <c r="AC34" s="429"/>
      <c r="AD34" s="429"/>
      <c r="AE34" s="429"/>
      <c r="AF34" s="429"/>
      <c r="AG34" s="429"/>
      <c r="AH34" s="429"/>
      <c r="AI34" s="429"/>
      <c r="AJ34" s="429"/>
      <c r="AK34" s="429"/>
      <c r="AL34" s="429"/>
      <c r="AM34" s="429"/>
      <c r="AN34" s="429"/>
      <c r="AO34" s="429"/>
      <c r="AP34" s="429"/>
      <c r="AQ34" s="733"/>
      <c r="AR34" s="733"/>
      <c r="AS34" s="902"/>
      <c r="BR34"/>
      <c r="BS34"/>
    </row>
    <row r="35" spans="1:71">
      <c r="A35" s="720" t="s">
        <v>331</v>
      </c>
      <c r="B35" s="903">
        <f>IF(B34&lt;0,0,IRR(C34:AJP34))</f>
        <v>0</v>
      </c>
      <c r="C35" s="741"/>
      <c r="D35" s="741"/>
      <c r="E35" s="741"/>
      <c r="F35" s="741"/>
      <c r="G35" s="741"/>
      <c r="H35" s="741"/>
      <c r="I35" s="741"/>
      <c r="J35" s="741"/>
      <c r="K35" s="741"/>
      <c r="L35" s="741"/>
      <c r="M35" s="741"/>
      <c r="N35" s="741"/>
      <c r="O35" s="741"/>
      <c r="P35" s="741"/>
      <c r="Q35" s="741"/>
      <c r="R35" s="741"/>
      <c r="S35" s="741"/>
      <c r="T35" s="741"/>
      <c r="U35" s="741"/>
      <c r="V35" s="741"/>
      <c r="W35" s="741"/>
      <c r="X35" s="741"/>
      <c r="Y35" s="741"/>
      <c r="Z35" s="741"/>
      <c r="AA35" s="741"/>
      <c r="AB35" s="741"/>
      <c r="AC35" s="741"/>
      <c r="AD35" s="741"/>
      <c r="AE35" s="741"/>
      <c r="AF35" s="741"/>
      <c r="AG35" s="741"/>
      <c r="AH35" s="741"/>
      <c r="AI35" s="741"/>
      <c r="AJ35" s="741"/>
      <c r="AK35" s="741"/>
      <c r="AL35" s="741"/>
      <c r="AM35" s="741"/>
      <c r="AN35" s="741"/>
      <c r="AO35" s="741"/>
      <c r="AP35" s="741"/>
      <c r="AQ35" s="733"/>
      <c r="AR35" s="733"/>
      <c r="AS35" s="904"/>
      <c r="BR35"/>
      <c r="BS35"/>
    </row>
    <row r="36" spans="1:71">
      <c r="A36" s="720" t="s">
        <v>307</v>
      </c>
      <c r="B36" s="905">
        <f>POWER((1+B35),4)-1</f>
        <v>0</v>
      </c>
      <c r="C36" s="733"/>
      <c r="D36" s="733"/>
      <c r="E36" s="744"/>
      <c r="F36" s="744"/>
      <c r="G36" s="744"/>
      <c r="H36" s="744"/>
      <c r="I36" s="744"/>
      <c r="J36" s="744"/>
      <c r="K36" s="744"/>
      <c r="L36" s="744"/>
      <c r="M36" s="744"/>
      <c r="N36" s="744"/>
      <c r="O36" s="744"/>
      <c r="P36" s="744"/>
      <c r="Q36" s="744"/>
      <c r="R36" s="744"/>
      <c r="S36" s="744"/>
      <c r="T36" s="744"/>
      <c r="U36" s="744"/>
      <c r="V36" s="744"/>
      <c r="W36" s="744"/>
      <c r="X36" s="744"/>
      <c r="Y36" s="744"/>
      <c r="Z36" s="744"/>
      <c r="AA36" s="744"/>
      <c r="AB36" s="744"/>
      <c r="AC36" s="744"/>
      <c r="AD36" s="744"/>
      <c r="AE36" s="744"/>
      <c r="AF36" s="744"/>
      <c r="AG36" s="744"/>
      <c r="AH36" s="744"/>
      <c r="AI36" s="744"/>
      <c r="AJ36" s="744"/>
      <c r="AK36" s="744"/>
      <c r="AL36" s="744"/>
      <c r="AM36" s="744"/>
      <c r="AN36" s="744"/>
      <c r="AO36" s="744"/>
      <c r="AP36" s="744"/>
      <c r="AQ36" s="733"/>
      <c r="AR36" s="744"/>
      <c r="AS36" s="94"/>
      <c r="BR36"/>
      <c r="BS36"/>
    </row>
    <row r="37" spans="1:71">
      <c r="A37" s="901" t="s">
        <v>308</v>
      </c>
      <c r="B37" s="901"/>
      <c r="C37" s="733"/>
      <c r="D37" s="733"/>
      <c r="E37" s="733"/>
      <c r="F37" s="733"/>
      <c r="G37" s="733"/>
      <c r="H37" s="733"/>
      <c r="I37" s="733"/>
      <c r="J37" s="733"/>
      <c r="K37" s="733"/>
      <c r="L37" s="733"/>
      <c r="M37" s="733"/>
      <c r="N37" s="733"/>
      <c r="O37" s="733"/>
      <c r="P37" s="733"/>
      <c r="Q37" s="733"/>
      <c r="R37" s="733"/>
      <c r="S37" s="733"/>
      <c r="T37" s="733"/>
      <c r="U37" s="733"/>
      <c r="V37" s="733"/>
      <c r="W37" s="733"/>
      <c r="X37" s="733"/>
      <c r="Y37" s="733"/>
      <c r="Z37" s="733"/>
      <c r="AA37" s="733"/>
      <c r="AB37" s="733"/>
      <c r="AC37" s="733"/>
      <c r="AD37" s="733"/>
      <c r="AE37" s="733"/>
      <c r="AF37" s="733"/>
      <c r="AG37" s="733"/>
      <c r="AH37" s="733"/>
      <c r="AI37" s="733"/>
      <c r="AJ37" s="733"/>
      <c r="AK37" s="733"/>
      <c r="AL37" s="733"/>
      <c r="AM37" s="733"/>
      <c r="AN37" s="733"/>
      <c r="AO37" s="733"/>
      <c r="AP37" s="733"/>
      <c r="AQ37" s="733"/>
      <c r="AR37" s="733"/>
    </row>
    <row r="38" spans="1:71">
      <c r="A38" s="722" t="s">
        <v>309</v>
      </c>
      <c r="B38" s="429">
        <f>'Phase II Financial'!B74-B25</f>
        <v>239853500</v>
      </c>
      <c r="C38" s="733"/>
      <c r="D38" s="733"/>
      <c r="E38" s="733"/>
      <c r="F38" s="733"/>
      <c r="G38" s="733"/>
      <c r="H38" s="733"/>
      <c r="I38" s="733"/>
      <c r="J38" s="733"/>
      <c r="K38" s="733"/>
      <c r="L38" s="733"/>
      <c r="M38" s="726"/>
      <c r="N38" s="733"/>
      <c r="O38" s="733"/>
      <c r="P38" s="733"/>
      <c r="Q38" s="733"/>
      <c r="R38" s="733"/>
      <c r="S38" s="733"/>
      <c r="T38" s="733"/>
      <c r="U38" s="733"/>
      <c r="V38" s="733"/>
      <c r="W38" s="733"/>
      <c r="X38" s="733"/>
      <c r="Y38" s="733"/>
      <c r="Z38" s="733"/>
      <c r="AA38" s="733"/>
      <c r="AB38" s="733"/>
      <c r="AC38" s="733"/>
      <c r="AD38" s="733"/>
      <c r="AE38" s="733"/>
      <c r="AF38" s="733"/>
      <c r="AG38" s="733"/>
      <c r="AH38" s="733"/>
      <c r="AI38" s="733"/>
      <c r="AJ38" s="733"/>
      <c r="AK38" s="733"/>
      <c r="AL38" s="733"/>
      <c r="AM38" s="733"/>
      <c r="AN38" s="733"/>
      <c r="AO38" s="733"/>
      <c r="AP38" s="733"/>
      <c r="AQ38" s="733"/>
      <c r="AR38" s="733"/>
    </row>
    <row r="39" spans="1:71">
      <c r="A39" s="720" t="s">
        <v>310</v>
      </c>
      <c r="B39" s="705">
        <f>SUM(C39:AP39)</f>
        <v>-143489001.23199999</v>
      </c>
      <c r="C39" s="705">
        <f>-C24</f>
        <v>0</v>
      </c>
      <c r="D39" s="705">
        <f t="shared" ref="D39:N39" si="14">-D24</f>
        <v>0</v>
      </c>
      <c r="E39" s="705">
        <f t="shared" si="14"/>
        <v>-3632899.6</v>
      </c>
      <c r="F39" s="705">
        <f t="shared" si="14"/>
        <v>-3382899.6</v>
      </c>
      <c r="G39" s="705">
        <f t="shared" si="14"/>
        <v>-905724.9</v>
      </c>
      <c r="H39" s="705">
        <f t="shared" si="14"/>
        <v>-542862.44999999995</v>
      </c>
      <c r="I39" s="705">
        <f t="shared" si="14"/>
        <v>-14174970.165999999</v>
      </c>
      <c r="J39" s="705">
        <f t="shared" si="14"/>
        <v>-11027397.675999999</v>
      </c>
      <c r="K39" s="705">
        <f t="shared" si="14"/>
        <v>-10987397.675999999</v>
      </c>
      <c r="L39" s="705">
        <f t="shared" si="14"/>
        <v>-11293397.675999999</v>
      </c>
      <c r="M39" s="705">
        <f t="shared" si="14"/>
        <v>-43619300.743999995</v>
      </c>
      <c r="N39" s="705">
        <f t="shared" si="14"/>
        <v>-43922150.743999995</v>
      </c>
      <c r="O39" s="705"/>
      <c r="P39" s="705"/>
      <c r="Q39" s="720"/>
      <c r="R39" s="705"/>
      <c r="S39" s="705"/>
      <c r="T39" s="705"/>
      <c r="U39" s="705"/>
      <c r="V39" s="705"/>
      <c r="W39" s="705"/>
      <c r="X39" s="705"/>
      <c r="Y39" s="705"/>
      <c r="Z39" s="705"/>
      <c r="AA39" s="705"/>
      <c r="AB39" s="705"/>
      <c r="AC39" s="705"/>
      <c r="AD39" s="705"/>
      <c r="AE39" s="705"/>
      <c r="AF39" s="705"/>
      <c r="AG39" s="705"/>
      <c r="AH39" s="705"/>
      <c r="AI39" s="705"/>
      <c r="AJ39" s="705"/>
      <c r="AK39" s="705"/>
      <c r="AL39" s="705"/>
      <c r="AM39" s="705"/>
      <c r="AN39" s="705"/>
      <c r="AO39" s="705"/>
      <c r="AP39" s="705"/>
      <c r="AQ39" s="720"/>
      <c r="AR39" s="720"/>
    </row>
    <row r="40" spans="1:71">
      <c r="A40" s="720" t="s">
        <v>311</v>
      </c>
      <c r="B40" s="903">
        <f>IF(B39&lt;0,0,IRR(C39:AP39))</f>
        <v>0</v>
      </c>
      <c r="C40" s="733"/>
      <c r="D40" s="733"/>
      <c r="E40" s="733"/>
      <c r="F40" s="733"/>
      <c r="G40" s="733"/>
      <c r="H40" s="733"/>
      <c r="I40" s="733"/>
      <c r="J40" s="733"/>
      <c r="K40" s="733"/>
      <c r="L40" s="733"/>
      <c r="M40" s="733"/>
      <c r="N40" s="733"/>
      <c r="O40" s="733"/>
      <c r="P40" s="733"/>
      <c r="Q40" s="733"/>
      <c r="R40" s="733"/>
      <c r="S40" s="733"/>
      <c r="T40" s="733"/>
      <c r="U40" s="733"/>
      <c r="V40" s="733"/>
      <c r="W40" s="733"/>
      <c r="X40" s="733"/>
      <c r="Y40" s="733"/>
      <c r="Z40" s="733"/>
      <c r="AA40" s="733"/>
      <c r="AB40" s="733"/>
      <c r="AC40" s="733"/>
      <c r="AD40" s="733"/>
      <c r="AE40" s="733"/>
      <c r="AF40" s="733"/>
      <c r="AG40" s="733"/>
      <c r="AH40" s="733"/>
      <c r="AI40" s="733"/>
      <c r="AJ40" s="733"/>
      <c r="AK40" s="733"/>
      <c r="AL40" s="733"/>
      <c r="AM40" s="733"/>
      <c r="AN40" s="733"/>
      <c r="AO40" s="733"/>
      <c r="AP40" s="733"/>
      <c r="AQ40" s="733"/>
      <c r="AR40" s="733"/>
    </row>
    <row r="41" spans="1:71">
      <c r="A41" s="720" t="s">
        <v>312</v>
      </c>
      <c r="B41" s="905">
        <f>POWER((1+B40),4)-1</f>
        <v>0</v>
      </c>
      <c r="C41" s="733"/>
      <c r="D41" s="733"/>
      <c r="E41" s="733"/>
      <c r="F41" s="733"/>
      <c r="G41" s="733"/>
      <c r="H41" s="733"/>
      <c r="I41" s="733"/>
      <c r="J41" s="733"/>
      <c r="K41" s="733"/>
      <c r="L41" s="733"/>
      <c r="M41" s="733"/>
      <c r="N41" s="733"/>
      <c r="O41" s="733"/>
      <c r="P41" s="733"/>
      <c r="Q41" s="733"/>
      <c r="R41" s="733"/>
      <c r="S41" s="733"/>
      <c r="T41" s="733"/>
      <c r="U41" s="733"/>
      <c r="V41" s="733"/>
      <c r="W41" s="733"/>
      <c r="X41" s="733"/>
      <c r="Y41" s="733"/>
      <c r="Z41" s="733"/>
      <c r="AA41" s="733"/>
      <c r="AB41" s="733"/>
      <c r="AC41" s="733"/>
      <c r="AD41" s="733"/>
      <c r="AE41" s="733"/>
      <c r="AF41" s="733"/>
      <c r="AG41" s="733"/>
      <c r="AH41" s="733"/>
      <c r="AI41" s="733"/>
      <c r="AJ41" s="733"/>
      <c r="AK41" s="733"/>
      <c r="AL41" s="733"/>
      <c r="AM41" s="733"/>
      <c r="AN41" s="733"/>
      <c r="AO41" s="733"/>
      <c r="AP41" s="733"/>
      <c r="AQ41" s="733"/>
      <c r="AR41" s="733"/>
    </row>
    <row r="42" spans="1:71">
      <c r="G42" s="2"/>
      <c r="W42" s="2"/>
      <c r="Z42" s="2"/>
      <c r="AD42" s="2"/>
    </row>
    <row r="43" spans="1:71">
      <c r="G43" s="2"/>
      <c r="W43" s="2"/>
      <c r="Z43" s="2"/>
      <c r="AD43" s="2"/>
    </row>
    <row r="44" spans="1:71">
      <c r="G44" s="2"/>
      <c r="W44" s="2"/>
      <c r="Z44" s="2"/>
      <c r="AD44" s="2"/>
    </row>
    <row r="45" spans="1:71">
      <c r="G45" s="2"/>
      <c r="W45" s="2"/>
      <c r="Z45" s="2"/>
      <c r="AD45" s="2"/>
    </row>
    <row r="46" spans="1:71">
      <c r="G46" s="2"/>
      <c r="W46" s="2"/>
      <c r="Z46" s="2"/>
      <c r="AD46" s="2"/>
    </row>
    <row r="47" spans="1:71">
      <c r="G47" s="2"/>
      <c r="W47" s="2"/>
      <c r="Z47" s="2"/>
      <c r="AD47" s="2"/>
    </row>
    <row r="48" spans="1:71">
      <c r="G48" s="2"/>
      <c r="W48" s="2"/>
      <c r="Z48" s="2"/>
      <c r="AD48" s="2"/>
    </row>
    <row r="49" spans="7:7">
      <c r="G49" s="2"/>
    </row>
    <row r="50" spans="7:7">
      <c r="G50" s="2"/>
    </row>
    <row r="51" spans="7:7">
      <c r="G51" s="2"/>
    </row>
    <row r="52" spans="7:7">
      <c r="G52" s="2"/>
    </row>
    <row r="53" spans="7:7">
      <c r="G53" s="2"/>
    </row>
    <row r="54" spans="7:7">
      <c r="G54" s="2"/>
    </row>
    <row r="55" spans="7:7">
      <c r="G55" s="2"/>
    </row>
    <row r="56" spans="7:7">
      <c r="G56" s="2"/>
    </row>
    <row r="57" spans="7:7">
      <c r="G57" s="2"/>
    </row>
    <row r="58" spans="7:7">
      <c r="G58" s="2"/>
    </row>
    <row r="59" spans="7:7">
      <c r="G59" s="2"/>
    </row>
    <row r="60" spans="7:7">
      <c r="G60" s="2"/>
    </row>
    <row r="61" spans="7:7">
      <c r="G61" s="2"/>
    </row>
    <row r="62" spans="7:7">
      <c r="G62" s="2"/>
    </row>
    <row r="63" spans="7:7">
      <c r="G63" s="2"/>
    </row>
    <row r="64" spans="7:7">
      <c r="G64" s="2"/>
    </row>
    <row r="65" spans="7:7">
      <c r="G65" s="2"/>
    </row>
    <row r="66" spans="7:7">
      <c r="G66" s="2"/>
    </row>
    <row r="67" spans="7:7">
      <c r="G67" s="2"/>
    </row>
    <row r="68" spans="7:7">
      <c r="G68" s="2"/>
    </row>
    <row r="69" spans="7:7">
      <c r="G69" s="2"/>
    </row>
    <row r="70" spans="7:7">
      <c r="G70" s="2"/>
    </row>
    <row r="71" spans="7:7">
      <c r="G71" s="2"/>
    </row>
    <row r="72" spans="7:7">
      <c r="G72" s="2"/>
    </row>
    <row r="73" spans="7:7">
      <c r="G73" s="2"/>
    </row>
    <row r="74" spans="7:7">
      <c r="G74" s="2"/>
    </row>
    <row r="75" spans="7:7">
      <c r="G75" s="2"/>
    </row>
    <row r="76" spans="7:7">
      <c r="G76" s="2"/>
    </row>
    <row r="77" spans="7:7">
      <c r="G77" s="2"/>
    </row>
    <row r="78" spans="7:7">
      <c r="G78" s="2"/>
    </row>
    <row r="79" spans="7:7">
      <c r="G79" s="2"/>
    </row>
    <row r="80" spans="7:7">
      <c r="G80" s="2"/>
    </row>
    <row r="81" spans="7:7">
      <c r="G81" s="2"/>
    </row>
    <row r="82" spans="7:7">
      <c r="G82" s="2"/>
    </row>
    <row r="83" spans="7:7">
      <c r="G83" s="2"/>
    </row>
    <row r="84" spans="7:7">
      <c r="G84" s="2"/>
    </row>
    <row r="85" spans="7:7">
      <c r="G85" s="2"/>
    </row>
    <row r="86" spans="7:7">
      <c r="G86" s="2"/>
    </row>
    <row r="87" spans="7:7">
      <c r="G87" s="2"/>
    </row>
    <row r="88" spans="7:7">
      <c r="G88" s="2"/>
    </row>
    <row r="89" spans="7:7">
      <c r="G89" s="2"/>
    </row>
    <row r="90" spans="7:7">
      <c r="G90" s="2"/>
    </row>
    <row r="91" spans="7:7">
      <c r="G91" s="2"/>
    </row>
    <row r="92" spans="7:7">
      <c r="G92" s="2"/>
    </row>
    <row r="93" spans="7:7">
      <c r="G93" s="2"/>
    </row>
    <row r="94" spans="7:7">
      <c r="G94" s="2"/>
    </row>
    <row r="95" spans="7:7">
      <c r="G95" s="2"/>
    </row>
    <row r="96" spans="7:7">
      <c r="G96" s="2"/>
    </row>
    <row r="97" spans="7:7">
      <c r="G97" s="2"/>
    </row>
    <row r="98" spans="7:7">
      <c r="G98" s="2"/>
    </row>
    <row r="99" spans="7:7">
      <c r="G99" s="2"/>
    </row>
    <row r="100" spans="7:7">
      <c r="G100" s="2"/>
    </row>
    <row r="101" spans="7:7">
      <c r="G101" s="2"/>
    </row>
    <row r="102" spans="7:7">
      <c r="G102" s="2"/>
    </row>
    <row r="103" spans="7:7">
      <c r="G103" s="2"/>
    </row>
    <row r="104" spans="7:7">
      <c r="G104" s="2"/>
    </row>
    <row r="105" spans="7:7">
      <c r="G105" s="2"/>
    </row>
    <row r="106" spans="7:7">
      <c r="G106" s="2"/>
    </row>
    <row r="107" spans="7:7">
      <c r="G107" s="2"/>
    </row>
    <row r="108" spans="7:7">
      <c r="G108" s="2"/>
    </row>
    <row r="109" spans="7:7">
      <c r="G109" s="2"/>
    </row>
    <row r="110" spans="7:7">
      <c r="G110" s="2"/>
    </row>
    <row r="111" spans="7:7">
      <c r="G111" s="2"/>
    </row>
    <row r="112" spans="7:7">
      <c r="G112" s="2"/>
    </row>
    <row r="113" spans="7:7">
      <c r="G113" s="2"/>
    </row>
    <row r="114" spans="7:7">
      <c r="G114" s="2"/>
    </row>
    <row r="115" spans="7:7">
      <c r="G115" s="2"/>
    </row>
    <row r="116" spans="7:7">
      <c r="G116" s="2"/>
    </row>
    <row r="117" spans="7:7">
      <c r="G117" s="2"/>
    </row>
    <row r="118" spans="7:7">
      <c r="G118" s="2"/>
    </row>
    <row r="119" spans="7:7">
      <c r="G119" s="2"/>
    </row>
    <row r="120" spans="7:7">
      <c r="G120" s="2"/>
    </row>
    <row r="121" spans="7:7">
      <c r="G121" s="2"/>
    </row>
    <row r="122" spans="7:7">
      <c r="G122" s="2"/>
    </row>
    <row r="123" spans="7:7">
      <c r="G123" s="2"/>
    </row>
    <row r="124" spans="7:7">
      <c r="G124" s="2"/>
    </row>
    <row r="125" spans="7:7">
      <c r="G125" s="2"/>
    </row>
    <row r="126" spans="7:7">
      <c r="G126" s="2"/>
    </row>
    <row r="127" spans="7:7">
      <c r="G127" s="2"/>
    </row>
    <row r="128" spans="7:7">
      <c r="G128" s="2"/>
    </row>
    <row r="129" spans="7:7">
      <c r="G129" s="2"/>
    </row>
    <row r="130" spans="7:7">
      <c r="G130" s="2"/>
    </row>
    <row r="131" spans="7:7">
      <c r="G131" s="2"/>
    </row>
    <row r="132" spans="7:7">
      <c r="G132" s="2"/>
    </row>
    <row r="133" spans="7:7">
      <c r="G133" s="2"/>
    </row>
    <row r="134" spans="7:7">
      <c r="G134" s="2"/>
    </row>
    <row r="135" spans="7:7">
      <c r="G135" s="2"/>
    </row>
    <row r="136" spans="7:7">
      <c r="G136" s="2"/>
    </row>
    <row r="137" spans="7:7">
      <c r="G137" s="2"/>
    </row>
    <row r="138" spans="7:7">
      <c r="G138" s="2"/>
    </row>
    <row r="139" spans="7:7">
      <c r="G139" s="2"/>
    </row>
    <row r="140" spans="7:7">
      <c r="G140" s="2"/>
    </row>
    <row r="141" spans="7:7">
      <c r="G141" s="2"/>
    </row>
    <row r="142" spans="7:7">
      <c r="G142" s="2"/>
    </row>
    <row r="143" spans="7:7">
      <c r="G143" s="2"/>
    </row>
    <row r="144" spans="7:7">
      <c r="G144" s="2"/>
    </row>
    <row r="145" spans="7:7">
      <c r="G145" s="2"/>
    </row>
    <row r="146" spans="7:7">
      <c r="G146" s="2"/>
    </row>
    <row r="147" spans="7:7">
      <c r="G147" s="2"/>
    </row>
    <row r="148" spans="7:7">
      <c r="G148" s="2"/>
    </row>
    <row r="149" spans="7:7">
      <c r="G149" s="2"/>
    </row>
    <row r="150" spans="7:7">
      <c r="G150" s="2"/>
    </row>
    <row r="151" spans="7:7">
      <c r="G151" s="2"/>
    </row>
    <row r="152" spans="7:7">
      <c r="G152" s="2"/>
    </row>
    <row r="153" spans="7:7">
      <c r="G153" s="2"/>
    </row>
    <row r="154" spans="7:7">
      <c r="G154" s="2"/>
    </row>
    <row r="155" spans="7:7">
      <c r="G155" s="2"/>
    </row>
    <row r="156" spans="7:7">
      <c r="G156" s="2"/>
    </row>
    <row r="157" spans="7:7">
      <c r="G157" s="2"/>
    </row>
    <row r="158" spans="7:7">
      <c r="G158" s="2"/>
    </row>
    <row r="159" spans="7:7">
      <c r="G159" s="2"/>
    </row>
    <row r="160" spans="7:7">
      <c r="G160" s="2"/>
    </row>
    <row r="161" spans="7:7">
      <c r="G161" s="2"/>
    </row>
    <row r="162" spans="7:7">
      <c r="G162" s="2"/>
    </row>
    <row r="163" spans="7:7">
      <c r="G163" s="2"/>
    </row>
    <row r="164" spans="7:7">
      <c r="G164" s="2"/>
    </row>
    <row r="165" spans="7:7">
      <c r="G165" s="2"/>
    </row>
    <row r="166" spans="7:7">
      <c r="G166" s="2"/>
    </row>
    <row r="167" spans="7:7">
      <c r="G167" s="2"/>
    </row>
    <row r="168" spans="7:7">
      <c r="G168" s="2"/>
    </row>
    <row r="169" spans="7:7">
      <c r="G169" s="2"/>
    </row>
    <row r="170" spans="7:7">
      <c r="G170" s="2"/>
    </row>
    <row r="171" spans="7:7">
      <c r="G171" s="2"/>
    </row>
    <row r="172" spans="7:7">
      <c r="G172" s="2"/>
    </row>
    <row r="173" spans="7:7">
      <c r="G173" s="2"/>
    </row>
    <row r="174" spans="7:7">
      <c r="G174" s="2"/>
    </row>
    <row r="175" spans="7:7">
      <c r="G175" s="2"/>
    </row>
    <row r="176" spans="7:7">
      <c r="G176" s="2"/>
    </row>
    <row r="177" spans="7:7">
      <c r="G177" s="2"/>
    </row>
    <row r="178" spans="7:7">
      <c r="G178" s="2"/>
    </row>
    <row r="179" spans="7:7">
      <c r="G179" s="2"/>
    </row>
    <row r="180" spans="7:7">
      <c r="G180" s="2"/>
    </row>
    <row r="181" spans="7:7">
      <c r="G181" s="2"/>
    </row>
    <row r="182" spans="7:7">
      <c r="G182" s="2"/>
    </row>
    <row r="183" spans="7:7">
      <c r="G183" s="2"/>
    </row>
    <row r="184" spans="7:7">
      <c r="G184" s="2"/>
    </row>
    <row r="185" spans="7:7">
      <c r="G185" s="2"/>
    </row>
    <row r="186" spans="7:7">
      <c r="G186" s="2"/>
    </row>
    <row r="187" spans="7:7">
      <c r="G187" s="2"/>
    </row>
    <row r="188" spans="7:7">
      <c r="G188" s="2"/>
    </row>
    <row r="189" spans="7:7">
      <c r="G189" s="2"/>
    </row>
    <row r="190" spans="7:7">
      <c r="G190" s="2"/>
    </row>
    <row r="191" spans="7:7">
      <c r="G191" s="2"/>
    </row>
    <row r="192" spans="7:7">
      <c r="G192" s="2"/>
    </row>
    <row r="193" spans="7:7">
      <c r="G193" s="2"/>
    </row>
    <row r="194" spans="7:7">
      <c r="G194" s="2"/>
    </row>
    <row r="195" spans="7:7">
      <c r="G195" s="2"/>
    </row>
    <row r="196" spans="7:7">
      <c r="G196" s="2"/>
    </row>
    <row r="197" spans="7:7">
      <c r="G197" s="2"/>
    </row>
    <row r="198" spans="7:7">
      <c r="G198" s="2"/>
    </row>
    <row r="199" spans="7:7">
      <c r="G199" s="2"/>
    </row>
    <row r="200" spans="7:7">
      <c r="G200" s="2"/>
    </row>
    <row r="201" spans="7:7">
      <c r="G201" s="2"/>
    </row>
    <row r="202" spans="7:7">
      <c r="G202" s="2"/>
    </row>
    <row r="203" spans="7:7">
      <c r="G203" s="2"/>
    </row>
    <row r="204" spans="7:7">
      <c r="G204" s="2"/>
    </row>
    <row r="205" spans="7:7">
      <c r="G205" s="2"/>
    </row>
    <row r="206" spans="7:7">
      <c r="G206" s="2"/>
    </row>
    <row r="207" spans="7:7">
      <c r="G207" s="2"/>
    </row>
    <row r="208" spans="7:7">
      <c r="G208" s="2"/>
    </row>
    <row r="209" spans="7:7">
      <c r="G209" s="2"/>
    </row>
    <row r="210" spans="7:7">
      <c r="G210" s="2"/>
    </row>
    <row r="211" spans="7:7">
      <c r="G211" s="2"/>
    </row>
    <row r="212" spans="7:7">
      <c r="G212" s="2"/>
    </row>
    <row r="213" spans="7:7">
      <c r="G213" s="2"/>
    </row>
    <row r="214" spans="7:7">
      <c r="G214" s="2"/>
    </row>
    <row r="215" spans="7:7">
      <c r="G215" s="2"/>
    </row>
    <row r="216" spans="7:7">
      <c r="G216" s="2"/>
    </row>
    <row r="217" spans="7:7">
      <c r="G217" s="2"/>
    </row>
    <row r="218" spans="7:7">
      <c r="G218" s="2"/>
    </row>
    <row r="219" spans="7:7">
      <c r="G219" s="2"/>
    </row>
    <row r="220" spans="7:7">
      <c r="G220" s="2"/>
    </row>
    <row r="221" spans="7:7">
      <c r="G221" s="2"/>
    </row>
    <row r="222" spans="7:7">
      <c r="G222" s="2"/>
    </row>
    <row r="223" spans="7:7">
      <c r="G223" s="2"/>
    </row>
    <row r="224" spans="7:7">
      <c r="G224" s="2"/>
    </row>
    <row r="225" spans="7:7">
      <c r="G225" s="2"/>
    </row>
    <row r="226" spans="7:7">
      <c r="G226" s="2"/>
    </row>
    <row r="227" spans="7:7">
      <c r="G227" s="2"/>
    </row>
    <row r="228" spans="7:7">
      <c r="G228" s="2"/>
    </row>
    <row r="229" spans="7:7">
      <c r="G229" s="2"/>
    </row>
    <row r="230" spans="7:7">
      <c r="G230" s="2"/>
    </row>
    <row r="231" spans="7:7">
      <c r="G231" s="2"/>
    </row>
    <row r="232" spans="7:7">
      <c r="G232" s="2"/>
    </row>
    <row r="233" spans="7:7">
      <c r="G233" s="2"/>
    </row>
    <row r="234" spans="7:7">
      <c r="G234" s="2"/>
    </row>
    <row r="235" spans="7:7">
      <c r="G235" s="2"/>
    </row>
    <row r="236" spans="7:7">
      <c r="G236" s="2"/>
    </row>
    <row r="237" spans="7:7">
      <c r="G237" s="2"/>
    </row>
    <row r="238" spans="7:7">
      <c r="G238" s="2"/>
    </row>
    <row r="239" spans="7:7">
      <c r="G239" s="2"/>
    </row>
    <row r="240" spans="7:7">
      <c r="G240" s="2"/>
    </row>
    <row r="241" spans="7:7">
      <c r="G241" s="2"/>
    </row>
    <row r="242" spans="7:7">
      <c r="G242" s="2"/>
    </row>
    <row r="243" spans="7:7">
      <c r="G243" s="2"/>
    </row>
    <row r="244" spans="7:7">
      <c r="G244" s="2"/>
    </row>
    <row r="245" spans="7:7">
      <c r="G245" s="2"/>
    </row>
    <row r="246" spans="7:7">
      <c r="G246" s="2"/>
    </row>
    <row r="247" spans="7:7">
      <c r="G247" s="2"/>
    </row>
    <row r="248" spans="7:7">
      <c r="G248" s="2"/>
    </row>
    <row r="249" spans="7:7">
      <c r="G249" s="2"/>
    </row>
    <row r="250" spans="7:7">
      <c r="G250" s="2"/>
    </row>
    <row r="251" spans="7:7">
      <c r="G251" s="2"/>
    </row>
    <row r="252" spans="7:7">
      <c r="G252" s="2"/>
    </row>
    <row r="253" spans="7:7">
      <c r="G253" s="2"/>
    </row>
    <row r="254" spans="7:7">
      <c r="G254" s="2"/>
    </row>
    <row r="255" spans="7:7">
      <c r="G255" s="2"/>
    </row>
    <row r="256" spans="7:7">
      <c r="G256" s="2"/>
    </row>
    <row r="257" spans="7:7">
      <c r="G257" s="2"/>
    </row>
    <row r="258" spans="7:7">
      <c r="G258" s="2"/>
    </row>
    <row r="259" spans="7:7">
      <c r="G259" s="2"/>
    </row>
    <row r="260" spans="7:7">
      <c r="G260" s="2"/>
    </row>
    <row r="261" spans="7:7">
      <c r="G261" s="2"/>
    </row>
    <row r="262" spans="7:7">
      <c r="G262" s="2"/>
    </row>
    <row r="263" spans="7:7">
      <c r="G263" s="2"/>
    </row>
    <row r="264" spans="7:7">
      <c r="G264" s="2"/>
    </row>
    <row r="265" spans="7:7">
      <c r="G265" s="2"/>
    </row>
    <row r="266" spans="7:7">
      <c r="G266" s="2"/>
    </row>
    <row r="267" spans="7:7">
      <c r="G267" s="2"/>
    </row>
    <row r="268" spans="7:7">
      <c r="G268" s="2"/>
    </row>
    <row r="269" spans="7:7">
      <c r="G269" s="2"/>
    </row>
    <row r="270" spans="7:7">
      <c r="G270" s="2"/>
    </row>
    <row r="271" spans="7:7">
      <c r="G271" s="2"/>
    </row>
    <row r="272" spans="7:7">
      <c r="G272" s="2"/>
    </row>
    <row r="273" spans="7:7">
      <c r="G273" s="2"/>
    </row>
    <row r="274" spans="7:7">
      <c r="G274" s="2"/>
    </row>
    <row r="275" spans="7:7">
      <c r="G275" s="2"/>
    </row>
    <row r="276" spans="7:7">
      <c r="G276" s="2"/>
    </row>
    <row r="277" spans="7:7">
      <c r="G277" s="2"/>
    </row>
    <row r="278" spans="7:7">
      <c r="G278" s="2"/>
    </row>
    <row r="279" spans="7:7">
      <c r="G279" s="2"/>
    </row>
    <row r="280" spans="7:7">
      <c r="G280" s="2"/>
    </row>
    <row r="281" spans="7:7">
      <c r="G281" s="2"/>
    </row>
    <row r="282" spans="7:7">
      <c r="G282" s="2"/>
    </row>
    <row r="283" spans="7:7">
      <c r="G283" s="2"/>
    </row>
    <row r="284" spans="7:7">
      <c r="G284" s="2"/>
    </row>
    <row r="285" spans="7:7">
      <c r="G285" s="2"/>
    </row>
    <row r="286" spans="7:7">
      <c r="G286" s="2"/>
    </row>
    <row r="287" spans="7:7">
      <c r="G287" s="2"/>
    </row>
    <row r="288" spans="7:7">
      <c r="G288" s="2"/>
    </row>
    <row r="289" spans="7:7">
      <c r="G289" s="2"/>
    </row>
    <row r="290" spans="7:7">
      <c r="G290" s="2"/>
    </row>
    <row r="291" spans="7:7">
      <c r="G291" s="2"/>
    </row>
    <row r="292" spans="7:7">
      <c r="G292" s="2"/>
    </row>
    <row r="293" spans="7:7">
      <c r="G293" s="2"/>
    </row>
    <row r="294" spans="7:7">
      <c r="G294" s="2"/>
    </row>
    <row r="295" spans="7:7">
      <c r="G295" s="2"/>
    </row>
    <row r="296" spans="7:7">
      <c r="G296" s="2"/>
    </row>
    <row r="297" spans="7:7">
      <c r="G297" s="2"/>
    </row>
    <row r="298" spans="7:7">
      <c r="G298" s="2"/>
    </row>
    <row r="299" spans="7:7">
      <c r="G299" s="2"/>
    </row>
    <row r="300" spans="7:7">
      <c r="G300" s="2"/>
    </row>
    <row r="301" spans="7:7">
      <c r="G301" s="2"/>
    </row>
    <row r="302" spans="7:7">
      <c r="G302" s="2"/>
    </row>
    <row r="303" spans="7:7">
      <c r="G303" s="2"/>
    </row>
    <row r="304" spans="7:7">
      <c r="G304" s="2"/>
    </row>
    <row r="305" spans="7:7">
      <c r="G305" s="2"/>
    </row>
    <row r="306" spans="7:7">
      <c r="G306" s="2"/>
    </row>
    <row r="307" spans="7:7">
      <c r="G307" s="2"/>
    </row>
    <row r="308" spans="7:7">
      <c r="G308" s="2"/>
    </row>
    <row r="309" spans="7:7">
      <c r="G309" s="2"/>
    </row>
    <row r="310" spans="7:7">
      <c r="G310" s="2"/>
    </row>
    <row r="311" spans="7:7">
      <c r="G311" s="2"/>
    </row>
    <row r="312" spans="7:7">
      <c r="G312" s="2"/>
    </row>
    <row r="313" spans="7:7">
      <c r="G313" s="2"/>
    </row>
    <row r="314" spans="7:7">
      <c r="G314" s="2"/>
    </row>
    <row r="315" spans="7:7">
      <c r="G315" s="2"/>
    </row>
    <row r="316" spans="7:7">
      <c r="G316" s="2"/>
    </row>
    <row r="317" spans="7:7">
      <c r="G317" s="2"/>
    </row>
    <row r="318" spans="7:7">
      <c r="G318" s="2"/>
    </row>
    <row r="319" spans="7:7">
      <c r="G319" s="2"/>
    </row>
    <row r="320" spans="7:7">
      <c r="G320" s="2"/>
    </row>
    <row r="321" spans="7:7">
      <c r="G321" s="2"/>
    </row>
    <row r="322" spans="7:7">
      <c r="G322" s="2"/>
    </row>
    <row r="323" spans="7:7">
      <c r="G323" s="2"/>
    </row>
    <row r="324" spans="7:7">
      <c r="G324" s="2"/>
    </row>
    <row r="325" spans="7:7">
      <c r="G325" s="2"/>
    </row>
    <row r="326" spans="7:7">
      <c r="G326" s="2"/>
    </row>
    <row r="327" spans="7:7">
      <c r="G327" s="2"/>
    </row>
    <row r="328" spans="7:7">
      <c r="G328" s="2"/>
    </row>
    <row r="329" spans="7:7">
      <c r="G329" s="2"/>
    </row>
    <row r="330" spans="7:7">
      <c r="G330" s="2"/>
    </row>
    <row r="331" spans="7:7">
      <c r="G331" s="2"/>
    </row>
    <row r="332" spans="7:7">
      <c r="G332" s="2"/>
    </row>
    <row r="333" spans="7:7">
      <c r="G333" s="2"/>
    </row>
    <row r="334" spans="7:7">
      <c r="G334" s="2"/>
    </row>
    <row r="335" spans="7:7">
      <c r="G335" s="2"/>
    </row>
    <row r="336" spans="7:7">
      <c r="G336" s="2"/>
    </row>
    <row r="337" spans="7:7">
      <c r="G337" s="2"/>
    </row>
    <row r="338" spans="7:7">
      <c r="G338" s="2"/>
    </row>
    <row r="339" spans="7:7">
      <c r="G339" s="2"/>
    </row>
    <row r="340" spans="7:7">
      <c r="G340" s="2"/>
    </row>
    <row r="341" spans="7:7">
      <c r="G341" s="2"/>
    </row>
    <row r="342" spans="7:7">
      <c r="G342" s="2"/>
    </row>
    <row r="343" spans="7:7">
      <c r="G343" s="2"/>
    </row>
    <row r="344" spans="7:7">
      <c r="G344" s="2"/>
    </row>
    <row r="345" spans="7:7">
      <c r="G345" s="2"/>
    </row>
    <row r="346" spans="7:7">
      <c r="G346" s="2"/>
    </row>
    <row r="347" spans="7:7">
      <c r="G347" s="2"/>
    </row>
    <row r="348" spans="7:7">
      <c r="G348" s="2"/>
    </row>
    <row r="349" spans="7:7">
      <c r="G349" s="2"/>
    </row>
    <row r="350" spans="7:7">
      <c r="G350" s="2"/>
    </row>
    <row r="351" spans="7:7">
      <c r="G351" s="2"/>
    </row>
    <row r="352" spans="7:7">
      <c r="G352" s="2"/>
    </row>
    <row r="353" spans="7:7">
      <c r="G353" s="2"/>
    </row>
    <row r="354" spans="7:7">
      <c r="G354" s="2"/>
    </row>
    <row r="355" spans="7:7">
      <c r="G355" s="2"/>
    </row>
    <row r="356" spans="7:7">
      <c r="G356" s="2"/>
    </row>
    <row r="357" spans="7:7">
      <c r="G357" s="2"/>
    </row>
    <row r="358" spans="7:7">
      <c r="G358" s="2"/>
    </row>
    <row r="359" spans="7:7">
      <c r="G359" s="2"/>
    </row>
    <row r="360" spans="7:7">
      <c r="G360" s="2"/>
    </row>
    <row r="361" spans="7:7">
      <c r="G361" s="2"/>
    </row>
    <row r="362" spans="7:7">
      <c r="G362" s="2"/>
    </row>
    <row r="363" spans="7:7">
      <c r="G363" s="2"/>
    </row>
    <row r="364" spans="7:7">
      <c r="G364" s="2"/>
    </row>
    <row r="365" spans="7:7">
      <c r="G365" s="2"/>
    </row>
    <row r="366" spans="7:7">
      <c r="G366" s="2"/>
    </row>
    <row r="367" spans="7:7">
      <c r="G367" s="2"/>
    </row>
    <row r="368" spans="7:7">
      <c r="G368" s="2"/>
    </row>
    <row r="369" spans="7:7">
      <c r="G369" s="2"/>
    </row>
    <row r="370" spans="7:7">
      <c r="G370" s="2"/>
    </row>
    <row r="371" spans="7:7">
      <c r="G371" s="2"/>
    </row>
    <row r="372" spans="7:7">
      <c r="G372" s="2"/>
    </row>
    <row r="373" spans="7:7">
      <c r="G373" s="2"/>
    </row>
    <row r="374" spans="7:7">
      <c r="G374" s="2"/>
    </row>
    <row r="375" spans="7:7">
      <c r="G375" s="2"/>
    </row>
    <row r="376" spans="7:7">
      <c r="G376" s="2"/>
    </row>
    <row r="377" spans="7:7">
      <c r="G377" s="2"/>
    </row>
    <row r="378" spans="7:7">
      <c r="G378" s="2"/>
    </row>
    <row r="379" spans="7:7">
      <c r="G379" s="2"/>
    </row>
    <row r="380" spans="7:7">
      <c r="G380" s="2"/>
    </row>
    <row r="381" spans="7:7">
      <c r="G381" s="2"/>
    </row>
    <row r="382" spans="7:7">
      <c r="G382" s="2"/>
    </row>
    <row r="383" spans="7:7">
      <c r="G383" s="2"/>
    </row>
    <row r="384" spans="7:7">
      <c r="G384" s="2"/>
    </row>
    <row r="385" spans="7:7">
      <c r="G385" s="2"/>
    </row>
    <row r="386" spans="7:7">
      <c r="G386" s="2"/>
    </row>
    <row r="387" spans="7:7">
      <c r="G387" s="2"/>
    </row>
    <row r="388" spans="7:7">
      <c r="G388" s="2"/>
    </row>
    <row r="389" spans="7:7">
      <c r="G389" s="2"/>
    </row>
    <row r="390" spans="7:7">
      <c r="G390" s="2"/>
    </row>
    <row r="391" spans="7:7">
      <c r="G391" s="2"/>
    </row>
    <row r="392" spans="7:7">
      <c r="G392" s="2"/>
    </row>
    <row r="393" spans="7:7">
      <c r="G393" s="2"/>
    </row>
    <row r="394" spans="7:7">
      <c r="G394" s="2"/>
    </row>
    <row r="395" spans="7:7">
      <c r="G395" s="2"/>
    </row>
    <row r="396" spans="7:7">
      <c r="G396" s="2"/>
    </row>
    <row r="397" spans="7:7">
      <c r="G397" s="2"/>
    </row>
    <row r="398" spans="7:7">
      <c r="G398" s="2"/>
    </row>
    <row r="399" spans="7:7">
      <c r="G399" s="2"/>
    </row>
    <row r="400" spans="7:7">
      <c r="G400" s="2"/>
    </row>
    <row r="401" spans="7:7">
      <c r="G401" s="2"/>
    </row>
    <row r="402" spans="7:7">
      <c r="G402" s="2"/>
    </row>
    <row r="403" spans="7:7">
      <c r="G403" s="2"/>
    </row>
    <row r="404" spans="7:7">
      <c r="G404" s="2"/>
    </row>
    <row r="405" spans="7:7">
      <c r="G405" s="2"/>
    </row>
    <row r="406" spans="7:7">
      <c r="G406" s="2"/>
    </row>
    <row r="407" spans="7:7">
      <c r="G407" s="2"/>
    </row>
    <row r="408" spans="7:7">
      <c r="G408" s="2"/>
    </row>
    <row r="409" spans="7:7">
      <c r="G409" s="2"/>
    </row>
    <row r="410" spans="7:7">
      <c r="G410" s="2"/>
    </row>
    <row r="411" spans="7:7">
      <c r="G411" s="2"/>
    </row>
    <row r="412" spans="7:7">
      <c r="G412" s="2"/>
    </row>
    <row r="413" spans="7:7">
      <c r="G413" s="2"/>
    </row>
    <row r="414" spans="7:7">
      <c r="G414" s="2"/>
    </row>
    <row r="415" spans="7:7">
      <c r="G415" s="2"/>
    </row>
    <row r="416" spans="7:7">
      <c r="G416" s="2"/>
    </row>
    <row r="417" spans="7:7">
      <c r="G417" s="2"/>
    </row>
    <row r="418" spans="7:7">
      <c r="G418" s="2"/>
    </row>
    <row r="419" spans="7:7">
      <c r="G419" s="2"/>
    </row>
    <row r="420" spans="7:7">
      <c r="G420" s="2"/>
    </row>
    <row r="421" spans="7:7">
      <c r="G421" s="2"/>
    </row>
    <row r="422" spans="7:7">
      <c r="G422" s="2"/>
    </row>
    <row r="423" spans="7:7">
      <c r="G423" s="2"/>
    </row>
    <row r="424" spans="7:7">
      <c r="G424" s="2"/>
    </row>
    <row r="425" spans="7:7">
      <c r="G425" s="2"/>
    </row>
    <row r="426" spans="7:7">
      <c r="G426" s="2"/>
    </row>
    <row r="427" spans="7:7">
      <c r="G427" s="2"/>
    </row>
    <row r="428" spans="7:7">
      <c r="G428" s="2"/>
    </row>
    <row r="429" spans="7:7">
      <c r="G429" s="2"/>
    </row>
    <row r="430" spans="7:7">
      <c r="G430" s="2"/>
    </row>
    <row r="431" spans="7:7">
      <c r="G431" s="2"/>
    </row>
    <row r="432" spans="7:7">
      <c r="G432" s="2"/>
    </row>
    <row r="433" spans="7:7">
      <c r="G433" s="2"/>
    </row>
    <row r="434" spans="7:7">
      <c r="G434" s="2"/>
    </row>
    <row r="435" spans="7:7">
      <c r="G435" s="2"/>
    </row>
    <row r="436" spans="7:7">
      <c r="G436" s="2"/>
    </row>
    <row r="437" spans="7:7">
      <c r="G437" s="2"/>
    </row>
    <row r="438" spans="7:7">
      <c r="G438" s="2"/>
    </row>
    <row r="439" spans="7:7">
      <c r="G439" s="2"/>
    </row>
    <row r="440" spans="7:7">
      <c r="G440" s="2"/>
    </row>
    <row r="441" spans="7:7">
      <c r="G441" s="2"/>
    </row>
    <row r="442" spans="7:7">
      <c r="G442" s="2"/>
    </row>
    <row r="443" spans="7:7">
      <c r="G443" s="2"/>
    </row>
    <row r="444" spans="7:7">
      <c r="G444" s="2"/>
    </row>
    <row r="445" spans="7:7">
      <c r="G445" s="2"/>
    </row>
    <row r="446" spans="7:7">
      <c r="G446" s="2"/>
    </row>
    <row r="447" spans="7:7">
      <c r="G447" s="2"/>
    </row>
    <row r="448" spans="7:7">
      <c r="G448" s="2"/>
    </row>
    <row r="449" spans="7:7">
      <c r="G449" s="2"/>
    </row>
    <row r="450" spans="7:7">
      <c r="G450" s="2"/>
    </row>
    <row r="451" spans="7:7">
      <c r="G451" s="2"/>
    </row>
    <row r="452" spans="7:7">
      <c r="G452" s="2"/>
    </row>
    <row r="453" spans="7:7">
      <c r="G453" s="2"/>
    </row>
    <row r="454" spans="7:7">
      <c r="G454" s="2"/>
    </row>
    <row r="455" spans="7:7">
      <c r="G455" s="2"/>
    </row>
    <row r="456" spans="7:7">
      <c r="G456" s="2"/>
    </row>
    <row r="457" spans="7:7">
      <c r="G457" s="2"/>
    </row>
    <row r="458" spans="7:7">
      <c r="G458" s="2"/>
    </row>
    <row r="459" spans="7:7">
      <c r="G459" s="2"/>
    </row>
    <row r="460" spans="7:7">
      <c r="G460" s="2"/>
    </row>
    <row r="461" spans="7:7">
      <c r="G461" s="2"/>
    </row>
    <row r="462" spans="7:7">
      <c r="G462" s="2"/>
    </row>
    <row r="463" spans="7:7">
      <c r="G463" s="2"/>
    </row>
    <row r="464" spans="7:7">
      <c r="G464" s="2"/>
    </row>
    <row r="465" spans="7:7">
      <c r="G465" s="2"/>
    </row>
    <row r="466" spans="7:7">
      <c r="G466" s="2"/>
    </row>
    <row r="467" spans="7:7">
      <c r="G467" s="2"/>
    </row>
    <row r="468" spans="7:7">
      <c r="G468" s="2"/>
    </row>
    <row r="469" spans="7:7">
      <c r="G469" s="2"/>
    </row>
    <row r="470" spans="7:7">
      <c r="G470" s="2"/>
    </row>
    <row r="471" spans="7:7">
      <c r="G471" s="2"/>
    </row>
    <row r="472" spans="7:7">
      <c r="G472" s="2"/>
    </row>
    <row r="473" spans="7:7">
      <c r="G473" s="2"/>
    </row>
    <row r="474" spans="7:7">
      <c r="G474" s="2"/>
    </row>
    <row r="475" spans="7:7">
      <c r="G475" s="2"/>
    </row>
    <row r="476" spans="7:7">
      <c r="G476" s="2"/>
    </row>
    <row r="477" spans="7:7">
      <c r="G477" s="2"/>
    </row>
    <row r="478" spans="7:7">
      <c r="G478" s="2"/>
    </row>
    <row r="479" spans="7:7">
      <c r="G479" s="2"/>
    </row>
    <row r="480" spans="7:7">
      <c r="G480" s="2"/>
    </row>
    <row r="481" spans="7:7">
      <c r="G481" s="2"/>
    </row>
    <row r="482" spans="7:7">
      <c r="G482" s="2"/>
    </row>
    <row r="483" spans="7:7">
      <c r="G483" s="2"/>
    </row>
    <row r="484" spans="7:7">
      <c r="G484" s="2"/>
    </row>
    <row r="485" spans="7:7">
      <c r="G485" s="2"/>
    </row>
    <row r="486" spans="7:7">
      <c r="G486" s="2"/>
    </row>
    <row r="487" spans="7:7">
      <c r="G487" s="2"/>
    </row>
    <row r="488" spans="7:7">
      <c r="G488" s="2"/>
    </row>
    <row r="489" spans="7:7">
      <c r="G489" s="2"/>
    </row>
    <row r="490" spans="7:7">
      <c r="G490" s="2"/>
    </row>
    <row r="491" spans="7:7">
      <c r="G491" s="2"/>
    </row>
    <row r="492" spans="7:7">
      <c r="G492" s="2"/>
    </row>
    <row r="493" spans="7:7">
      <c r="G493" s="2"/>
    </row>
    <row r="494" spans="7:7">
      <c r="G494" s="2"/>
    </row>
    <row r="495" spans="7:7">
      <c r="G495" s="2"/>
    </row>
    <row r="496" spans="7:7">
      <c r="G496" s="2"/>
    </row>
    <row r="497" spans="7:7">
      <c r="G497" s="2"/>
    </row>
    <row r="498" spans="7:7">
      <c r="G498" s="2"/>
    </row>
    <row r="499" spans="7:7">
      <c r="G499" s="2"/>
    </row>
    <row r="500" spans="7:7">
      <c r="G500" s="2"/>
    </row>
    <row r="501" spans="7:7">
      <c r="G501" s="2"/>
    </row>
    <row r="502" spans="7:7">
      <c r="G502" s="2"/>
    </row>
    <row r="503" spans="7:7">
      <c r="G503" s="2"/>
    </row>
    <row r="504" spans="7:7">
      <c r="G504" s="2"/>
    </row>
    <row r="505" spans="7:7">
      <c r="G505" s="2"/>
    </row>
    <row r="506" spans="7:7">
      <c r="G506" s="2"/>
    </row>
    <row r="507" spans="7:7">
      <c r="G507" s="2"/>
    </row>
    <row r="508" spans="7:7">
      <c r="G508" s="2"/>
    </row>
    <row r="509" spans="7:7">
      <c r="G509" s="2"/>
    </row>
    <row r="510" spans="7:7">
      <c r="G510" s="2"/>
    </row>
    <row r="511" spans="7:7">
      <c r="G511" s="2"/>
    </row>
    <row r="512" spans="7:7">
      <c r="G512" s="2"/>
    </row>
    <row r="513" spans="7:7">
      <c r="G513" s="2"/>
    </row>
    <row r="514" spans="7:7">
      <c r="G514" s="2"/>
    </row>
    <row r="515" spans="7:7">
      <c r="G515" s="2"/>
    </row>
    <row r="516" spans="7:7">
      <c r="G516" s="2"/>
    </row>
    <row r="517" spans="7:7">
      <c r="G517" s="2"/>
    </row>
    <row r="518" spans="7:7">
      <c r="G518" s="2"/>
    </row>
    <row r="519" spans="7:7">
      <c r="G519" s="2"/>
    </row>
    <row r="520" spans="7:7">
      <c r="G520" s="2"/>
    </row>
    <row r="521" spans="7:7">
      <c r="G521" s="2"/>
    </row>
    <row r="522" spans="7:7">
      <c r="G522" s="2"/>
    </row>
    <row r="523" spans="7:7">
      <c r="G523" s="2"/>
    </row>
    <row r="524" spans="7:7">
      <c r="G524" s="2"/>
    </row>
    <row r="525" spans="7:7">
      <c r="G525" s="2"/>
    </row>
    <row r="526" spans="7:7">
      <c r="G526" s="2"/>
    </row>
    <row r="527" spans="7:7">
      <c r="G527" s="2"/>
    </row>
    <row r="528" spans="7:7">
      <c r="G528" s="2"/>
    </row>
    <row r="529" spans="7:7">
      <c r="G529" s="2"/>
    </row>
    <row r="530" spans="7:7">
      <c r="G530" s="2"/>
    </row>
    <row r="531" spans="7:7">
      <c r="G531" s="2"/>
    </row>
    <row r="532" spans="7:7">
      <c r="G532" s="2"/>
    </row>
    <row r="533" spans="7:7">
      <c r="G533" s="2"/>
    </row>
    <row r="534" spans="7:7">
      <c r="G534" s="2"/>
    </row>
    <row r="535" spans="7:7">
      <c r="G535" s="2"/>
    </row>
    <row r="536" spans="7:7">
      <c r="G536" s="2"/>
    </row>
    <row r="537" spans="7:7">
      <c r="G537" s="2"/>
    </row>
    <row r="538" spans="7:7">
      <c r="G538" s="2"/>
    </row>
    <row r="539" spans="7:7">
      <c r="G539" s="2"/>
    </row>
    <row r="540" spans="7:7">
      <c r="G540" s="2"/>
    </row>
    <row r="541" spans="7:7">
      <c r="G541" s="2"/>
    </row>
    <row r="542" spans="7:7">
      <c r="G542" s="2"/>
    </row>
    <row r="543" spans="7:7">
      <c r="G543" s="2"/>
    </row>
    <row r="544" spans="7:7">
      <c r="G544" s="2"/>
    </row>
    <row r="545" spans="7:7">
      <c r="G545" s="2"/>
    </row>
    <row r="546" spans="7:7">
      <c r="G546" s="2"/>
    </row>
    <row r="547" spans="7:7">
      <c r="G547" s="2"/>
    </row>
    <row r="548" spans="7:7">
      <c r="G548" s="2"/>
    </row>
    <row r="549" spans="7:7">
      <c r="G549" s="2"/>
    </row>
    <row r="550" spans="7:7">
      <c r="G550" s="2"/>
    </row>
    <row r="551" spans="7:7">
      <c r="G551" s="2"/>
    </row>
    <row r="552" spans="7:7">
      <c r="G552" s="2"/>
    </row>
    <row r="553" spans="7:7">
      <c r="G553" s="2"/>
    </row>
    <row r="554" spans="7:7">
      <c r="G554" s="2"/>
    </row>
    <row r="555" spans="7:7">
      <c r="G555" s="2"/>
    </row>
    <row r="556" spans="7:7">
      <c r="G556" s="2"/>
    </row>
    <row r="557" spans="7:7">
      <c r="G557" s="2"/>
    </row>
    <row r="558" spans="7:7">
      <c r="G558" s="2"/>
    </row>
    <row r="559" spans="7:7">
      <c r="G559" s="2"/>
    </row>
    <row r="560" spans="7:7">
      <c r="G560" s="2"/>
    </row>
    <row r="561" spans="7:7">
      <c r="G561" s="2"/>
    </row>
    <row r="562" spans="7:7">
      <c r="G562" s="2"/>
    </row>
    <row r="563" spans="7:7">
      <c r="G563" s="2"/>
    </row>
    <row r="564" spans="7:7">
      <c r="G564" s="2"/>
    </row>
    <row r="565" spans="7:7">
      <c r="G565" s="2"/>
    </row>
    <row r="566" spans="7:7">
      <c r="G566" s="2"/>
    </row>
    <row r="567" spans="7:7">
      <c r="G567" s="2"/>
    </row>
    <row r="568" spans="7:7">
      <c r="G568" s="2"/>
    </row>
    <row r="569" spans="7:7">
      <c r="G569" s="2"/>
    </row>
    <row r="570" spans="7:7">
      <c r="G570" s="2"/>
    </row>
    <row r="571" spans="7:7">
      <c r="G571" s="2"/>
    </row>
    <row r="572" spans="7:7">
      <c r="G572" s="2"/>
    </row>
    <row r="573" spans="7:7">
      <c r="G573" s="2"/>
    </row>
    <row r="574" spans="7:7">
      <c r="G574" s="2"/>
    </row>
    <row r="575" spans="7:7">
      <c r="G575" s="2"/>
    </row>
    <row r="576" spans="7:7">
      <c r="G576" s="2"/>
    </row>
    <row r="577" spans="7:7">
      <c r="G577" s="2"/>
    </row>
    <row r="578" spans="7:7">
      <c r="G578" s="2"/>
    </row>
    <row r="579" spans="7:7">
      <c r="G579" s="2"/>
    </row>
    <row r="580" spans="7:7">
      <c r="G580" s="2"/>
    </row>
    <row r="581" spans="7:7">
      <c r="G581" s="2"/>
    </row>
    <row r="582" spans="7:7">
      <c r="G582" s="2"/>
    </row>
    <row r="583" spans="7:7">
      <c r="G583" s="2"/>
    </row>
    <row r="584" spans="7:7">
      <c r="G584" s="2"/>
    </row>
    <row r="585" spans="7:7">
      <c r="G585" s="2"/>
    </row>
    <row r="586" spans="7:7">
      <c r="G586" s="2"/>
    </row>
    <row r="587" spans="7:7">
      <c r="G587" s="2"/>
    </row>
    <row r="588" spans="7:7">
      <c r="G588" s="2"/>
    </row>
    <row r="589" spans="7:7">
      <c r="G589" s="2"/>
    </row>
    <row r="590" spans="7:7">
      <c r="G590" s="2"/>
    </row>
    <row r="591" spans="7:7">
      <c r="G591" s="2"/>
    </row>
    <row r="592" spans="7:7">
      <c r="G592" s="2"/>
    </row>
    <row r="593" spans="7:7">
      <c r="G593" s="2"/>
    </row>
    <row r="594" spans="7:7">
      <c r="G594" s="2"/>
    </row>
    <row r="595" spans="7:7">
      <c r="G595" s="2"/>
    </row>
    <row r="596" spans="7:7">
      <c r="G596" s="2"/>
    </row>
  </sheetData>
  <mergeCells count="2">
    <mergeCell ref="A1:A3"/>
    <mergeCell ref="AQ2:AS2"/>
  </mergeCells>
  <conditionalFormatting sqref="O3:AS3"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O3:AS3">
    <cfRule type="cellIs" dxfId="9" priority="11" operator="equal">
      <formula>#REF!</formula>
    </cfRule>
    <cfRule type="cellIs" dxfId="8" priority="12" operator="equal">
      <formula>#REF!</formula>
    </cfRule>
  </conditionalFormatting>
  <conditionalFormatting sqref="P4:AP4">
    <cfRule type="cellIs" dxfId="7" priority="5" operator="equal">
      <formula>#REF!</formula>
    </cfRule>
    <cfRule type="cellIs" dxfId="6" priority="6" operator="equal">
      <formula>#REF!</formula>
    </cfRule>
  </conditionalFormatting>
  <conditionalFormatting sqref="P4:AP4">
    <cfRule type="cellIs" dxfId="5" priority="7" operator="equal">
      <formula>#REF!</formula>
    </cfRule>
    <cfRule type="cellIs" dxfId="4" priority="8" operator="equal">
      <formula>#REF!</formula>
    </cfRule>
  </conditionalFormatting>
  <conditionalFormatting sqref="T4:X4">
    <cfRule type="cellIs" dxfId="3" priority="1" operator="equal">
      <formula>#REF!</formula>
    </cfRule>
    <cfRule type="cellIs" dxfId="2" priority="2" operator="equal">
      <formula>#REF!</formula>
    </cfRule>
  </conditionalFormatting>
  <conditionalFormatting sqref="T4:X4">
    <cfRule type="cellIs" dxfId="1" priority="3" operator="equal">
      <formula>#REF!</formula>
    </cfRule>
    <cfRule type="cellIs" dxfId="0" priority="4" operator="equal">
      <formula>#REF!</formula>
    </cfRule>
  </conditionalFormatting>
  <pageMargins left="0.7" right="0.7" top="0.75" bottom="0.75" header="0.3" footer="0.3"/>
  <pageSetup orientation="portrait" horizontalDpi="1200" verticalDpi="1200" r:id="rId1"/>
  <headerFooter>
    <oddHeader>&amp;C&amp;"Calibri,Regular"&amp;K000000OVERALL DRAW</oddHeader>
    <oddFooter>&amp;C&amp;"Calibri,Regular"&amp;K000000PAGE &amp;P OF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7D0D48330F6CE4FB6B3AE62FA39CE46" ma:contentTypeVersion="18" ma:contentTypeDescription="Create a new document." ma:contentTypeScope="" ma:versionID="6029c9b328e49caaf1bfc5e9c1c5d402">
  <xsd:schema xmlns:xsd="http://www.w3.org/2001/XMLSchema" xmlns:xs="http://www.w3.org/2001/XMLSchema" xmlns:p="http://schemas.microsoft.com/office/2006/metadata/properties" xmlns:ns1="http://schemas.microsoft.com/sharepoint/v3" xmlns:ns2="07832773-9414-42b9-95c3-36a558d8f74c" xmlns:ns3="9f6012f1-210b-47d8-98a5-79507b18255d" targetNamespace="http://schemas.microsoft.com/office/2006/metadata/properties" ma:root="true" ma:fieldsID="acdeb425d2a7055c715a7d4969065827" ns1:_="" ns2:_="" ns3:_="">
    <xsd:import namespace="http://schemas.microsoft.com/sharepoint/v3"/>
    <xsd:import namespace="07832773-9414-42b9-95c3-36a558d8f74c"/>
    <xsd:import namespace="9f6012f1-210b-47d8-98a5-79507b18255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Location" minOccurs="0"/>
                <xsd:element ref="ns2:MediaServiceOCR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3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4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832773-9414-42b9-95c3-36a558d8f74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GenerationTime" ma:index="1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144f5b13-403a-4dd3-b9ce-b7b6c8a6603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6012f1-210b-47d8-98a5-79507b18255d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2396aa7e-ad57-49d2-b18b-708832d3d098}" ma:internalName="TaxCatchAll" ma:showField="CatchAllData" ma:web="9f6012f1-210b-47d8-98a5-79507b18255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07832773-9414-42b9-95c3-36a558d8f74c">
      <Terms xmlns="http://schemas.microsoft.com/office/infopath/2007/PartnerControls"/>
    </lcf76f155ced4ddcb4097134ff3c332f>
    <_ip_UnifiedCompliancePolicyUIAction xmlns="http://schemas.microsoft.com/sharepoint/v3" xsi:nil="true"/>
    <_ip_UnifiedCompliancePolicyProperties xmlns="http://schemas.microsoft.com/sharepoint/v3" xsi:nil="true"/>
    <TaxCatchAll xmlns="9f6012f1-210b-47d8-98a5-79507b18255d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222B5E8-A5F9-4B93-BF9C-63C7E9F57C11}"/>
</file>

<file path=customXml/itemProps2.xml><?xml version="1.0" encoding="utf-8"?>
<ds:datastoreItem xmlns:ds="http://schemas.openxmlformats.org/officeDocument/2006/customXml" ds:itemID="{8EA958F3-F430-43FD-B3C6-6C4F0E201786}"/>
</file>

<file path=customXml/itemProps3.xml><?xml version="1.0" encoding="utf-8"?>
<ds:datastoreItem xmlns:ds="http://schemas.openxmlformats.org/officeDocument/2006/customXml" ds:itemID="{C9663C87-CDAA-4A2F-9CA6-018325680FD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Charles A. Long Properties LLC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Charles A. Long</dc:creator>
  <cp:keywords/>
  <dc:description/>
  <cp:lastModifiedBy>Olivia Richardson</cp:lastModifiedBy>
  <cp:revision/>
  <dcterms:created xsi:type="dcterms:W3CDTF">2011-07-11T21:17:46Z</dcterms:created>
  <dcterms:modified xsi:type="dcterms:W3CDTF">2023-01-25T21:03:10Z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0388465-aeed-4329-a493-dfb4cee22503_Enabled">
    <vt:lpwstr>true</vt:lpwstr>
  </property>
  <property fmtid="{D5CDD505-2E9C-101B-9397-08002B2CF9AE}" pid="3" name="MSIP_Label_70388465-aeed-4329-a493-dfb4cee22503_SetDate">
    <vt:lpwstr>2022-12-01T14:29:01Z</vt:lpwstr>
  </property>
  <property fmtid="{D5CDD505-2E9C-101B-9397-08002B2CF9AE}" pid="4" name="MSIP_Label_70388465-aeed-4329-a493-dfb4cee22503_Method">
    <vt:lpwstr>Standard</vt:lpwstr>
  </property>
  <property fmtid="{D5CDD505-2E9C-101B-9397-08002B2CF9AE}" pid="5" name="MSIP_Label_70388465-aeed-4329-a493-dfb4cee22503_Name">
    <vt:lpwstr>defa4170-0d19-0005-0004-bc88714345d2</vt:lpwstr>
  </property>
  <property fmtid="{D5CDD505-2E9C-101B-9397-08002B2CF9AE}" pid="6" name="MSIP_Label_70388465-aeed-4329-a493-dfb4cee22503_SiteId">
    <vt:lpwstr>c733f279-2e57-447e-b549-b435d7bcf45e</vt:lpwstr>
  </property>
  <property fmtid="{D5CDD505-2E9C-101B-9397-08002B2CF9AE}" pid="7" name="MSIP_Label_70388465-aeed-4329-a493-dfb4cee22503_ActionId">
    <vt:lpwstr>c09dddd2-dd9a-4658-94bd-9604302b5a94</vt:lpwstr>
  </property>
  <property fmtid="{D5CDD505-2E9C-101B-9397-08002B2CF9AE}" pid="8" name="MSIP_Label_70388465-aeed-4329-a493-dfb4cee22503_ContentBits">
    <vt:lpwstr>0</vt:lpwstr>
  </property>
  <property fmtid="{D5CDD505-2E9C-101B-9397-08002B2CF9AE}" pid="9" name="ContentTypeId">
    <vt:lpwstr>0x01010007D0D48330F6CE4FB6B3AE62FA39CE46</vt:lpwstr>
  </property>
  <property fmtid="{D5CDD505-2E9C-101B-9397-08002B2CF9AE}" pid="10" name="MediaServiceImageTags">
    <vt:lpwstr/>
  </property>
</Properties>
</file>