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Tech_MBA\ULI Case Competation\"/>
    </mc:Choice>
  </mc:AlternateContent>
  <xr:revisionPtr revIDLastSave="0" documentId="13_ncr:1_{2B13413B-34E4-47BA-8957-92E6429D6D9B}" xr6:coauthVersionLast="47" xr6:coauthVersionMax="47" xr10:uidLastSave="{00000000-0000-0000-0000-000000000000}"/>
  <bookViews>
    <workbookView xWindow="-120" yWindow="-120" windowWidth="29040" windowHeight="15720" tabRatio="904" xr2:uid="{00000000-000D-0000-FFFF-FFFF00000000}"/>
  </bookViews>
  <sheets>
    <sheet name="Summary Board" sheetId="28" r:id="rId1"/>
    <sheet name="Finance Schedule" sheetId="42" r:id="rId2"/>
    <sheet name="Community" sheetId="43" r:id="rId3"/>
    <sheet name="Parcel_Pharse" sheetId="32" r:id="rId4"/>
    <sheet name="1.Infrastructure Costs" sheetId="15" r:id="rId5"/>
    <sheet name="2.Market-rate Rental Housing" sheetId="14" r:id="rId6"/>
    <sheet name="3.Market-rate For-Sale Housing" sheetId="19" r:id="rId7"/>
    <sheet name="4.Affordable Rental Housing" sheetId="26" r:id="rId8"/>
    <sheet name="5.Office_Commercial" sheetId="20" r:id="rId9"/>
    <sheet name="6.Retail " sheetId="40" r:id="rId10"/>
    <sheet name="8.Community Space" sheetId="22" r:id="rId11"/>
    <sheet name="9.Structured Parking" sheetId="18" r:id="rId12"/>
    <sheet name="10.Parking-Underground" sheetId="37" r:id="rId13"/>
    <sheet name="Srrounding Parcel" sheetId="30" r:id="rId14"/>
  </sheets>
  <definedNames>
    <definedName name="_xlnm.Print_Area" localSheetId="4">'1.Infrastructure Costs'!$A$1:$N$27</definedName>
    <definedName name="_xlnm.Print_Area" localSheetId="6">'3.Market-rate For-Sale Housing'!$A$1:$M$29</definedName>
    <definedName name="_xlnm.Print_Area" localSheetId="0">'Summary Board'!$A$1:$M$106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6" i="28" l="1"/>
  <c r="E19" i="26"/>
  <c r="F19" i="26"/>
  <c r="G19" i="26"/>
  <c r="H19" i="26"/>
  <c r="I19" i="26"/>
  <c r="J19" i="26"/>
  <c r="K19" i="26"/>
  <c r="L19" i="26"/>
  <c r="M19" i="26"/>
  <c r="D19" i="26"/>
  <c r="E20" i="14"/>
  <c r="F20" i="14"/>
  <c r="G20" i="14"/>
  <c r="H20" i="14"/>
  <c r="I20" i="14"/>
  <c r="J20" i="14"/>
  <c r="K20" i="14"/>
  <c r="L20" i="14"/>
  <c r="M20" i="14"/>
  <c r="D20" i="14"/>
  <c r="H18" i="22"/>
  <c r="I18" i="22"/>
  <c r="J18" i="22"/>
  <c r="K18" i="22"/>
  <c r="L18" i="22"/>
  <c r="M18" i="22"/>
  <c r="G18" i="22"/>
  <c r="E22" i="40"/>
  <c r="F22" i="40"/>
  <c r="G22" i="40"/>
  <c r="H22" i="40"/>
  <c r="I22" i="40"/>
  <c r="J22" i="40"/>
  <c r="K22" i="40"/>
  <c r="L22" i="40"/>
  <c r="M22" i="40"/>
  <c r="D22" i="40"/>
  <c r="E20" i="26"/>
  <c r="F20" i="26"/>
  <c r="G20" i="26"/>
  <c r="H20" i="26"/>
  <c r="D20" i="26"/>
  <c r="G12" i="26"/>
  <c r="H12" i="26"/>
  <c r="I12" i="26"/>
  <c r="J12" i="26"/>
  <c r="K12" i="26"/>
  <c r="L12" i="26"/>
  <c r="M12" i="26"/>
  <c r="F12" i="26"/>
  <c r="I55" i="28"/>
  <c r="D7" i="43"/>
  <c r="E7" i="43"/>
  <c r="F7" i="43"/>
  <c r="G7" i="43"/>
  <c r="H7" i="43"/>
  <c r="I7" i="43"/>
  <c r="J7" i="43"/>
  <c r="K7" i="43"/>
  <c r="L7" i="43"/>
  <c r="C7" i="43"/>
  <c r="C14" i="43"/>
  <c r="D12" i="43" s="1"/>
  <c r="E12" i="43" s="1"/>
  <c r="C4" i="43"/>
  <c r="F3" i="43"/>
  <c r="I3" i="43"/>
  <c r="C3" i="43"/>
  <c r="D17" i="28" l="1"/>
  <c r="E6" i="28"/>
  <c r="F6" i="28"/>
  <c r="G6" i="28"/>
  <c r="H6" i="28"/>
  <c r="I6" i="28"/>
  <c r="J6" i="28"/>
  <c r="K6" i="28"/>
  <c r="L6" i="28"/>
  <c r="M6" i="28"/>
  <c r="D6" i="28"/>
  <c r="J16" i="14"/>
  <c r="K16" i="14"/>
  <c r="L16" i="14"/>
  <c r="I16" i="14"/>
  <c r="J15" i="14"/>
  <c r="K15" i="14"/>
  <c r="L15" i="14"/>
  <c r="I15" i="14"/>
  <c r="B17" i="40"/>
  <c r="E31" i="18"/>
  <c r="F31" i="18"/>
  <c r="G31" i="18"/>
  <c r="H31" i="18"/>
  <c r="I31" i="18"/>
  <c r="J31" i="18"/>
  <c r="K31" i="18"/>
  <c r="L31" i="18"/>
  <c r="M31" i="18"/>
  <c r="D31" i="18"/>
  <c r="M37" i="37"/>
  <c r="L37" i="18"/>
  <c r="L24" i="22"/>
  <c r="L23" i="20"/>
  <c r="I20" i="26"/>
  <c r="J20" i="26"/>
  <c r="K20" i="26"/>
  <c r="L20" i="26"/>
  <c r="M20" i="26"/>
  <c r="E21" i="40"/>
  <c r="F21" i="40"/>
  <c r="G21" i="40"/>
  <c r="H21" i="40"/>
  <c r="I21" i="40"/>
  <c r="J21" i="40"/>
  <c r="K21" i="40"/>
  <c r="L21" i="40"/>
  <c r="M21" i="40"/>
  <c r="D21" i="40"/>
  <c r="E18" i="20"/>
  <c r="F18" i="20"/>
  <c r="G18" i="20"/>
  <c r="H18" i="20"/>
  <c r="I18" i="20"/>
  <c r="J18" i="20"/>
  <c r="K18" i="20"/>
  <c r="L18" i="20"/>
  <c r="M18" i="20"/>
  <c r="D18" i="20"/>
  <c r="E17" i="20"/>
  <c r="F17" i="20"/>
  <c r="G17" i="20"/>
  <c r="H17" i="20"/>
  <c r="I17" i="20"/>
  <c r="J17" i="20"/>
  <c r="K17" i="20"/>
  <c r="L17" i="20"/>
  <c r="M17" i="20"/>
  <c r="D17" i="20"/>
  <c r="E21" i="19"/>
  <c r="F21" i="19"/>
  <c r="G21" i="19"/>
  <c r="H21" i="19"/>
  <c r="I21" i="19"/>
  <c r="J21" i="19"/>
  <c r="K21" i="19"/>
  <c r="D21" i="19"/>
  <c r="M25" i="14"/>
  <c r="M26" i="14" s="1"/>
  <c r="L24" i="14"/>
  <c r="E18" i="22"/>
  <c r="F18" i="22"/>
  <c r="D18" i="22"/>
  <c r="H21" i="14"/>
  <c r="I21" i="14"/>
  <c r="J21" i="14"/>
  <c r="K21" i="14"/>
  <c r="G21" i="14"/>
  <c r="D47" i="28"/>
  <c r="D48" i="28"/>
  <c r="D22" i="28" l="1"/>
  <c r="D23" i="28" s="1"/>
  <c r="C5" i="43" s="1"/>
  <c r="F9" i="14"/>
  <c r="G9" i="14"/>
  <c r="G9" i="19"/>
  <c r="H9" i="19"/>
  <c r="I9" i="19"/>
  <c r="J9" i="19"/>
  <c r="K9" i="19"/>
  <c r="L9" i="19"/>
  <c r="M9" i="19"/>
  <c r="F9" i="19"/>
  <c r="G7" i="26"/>
  <c r="H7" i="26"/>
  <c r="I7" i="26"/>
  <c r="J7" i="26"/>
  <c r="F7" i="26"/>
  <c r="K13" i="26"/>
  <c r="L13" i="26"/>
  <c r="M13" i="26"/>
  <c r="L8" i="18"/>
  <c r="G29" i="18"/>
  <c r="J7" i="18"/>
  <c r="E57" i="32"/>
  <c r="E56" i="32"/>
  <c r="E55" i="32"/>
  <c r="D7" i="18"/>
  <c r="D29" i="18" s="1"/>
  <c r="D7" i="37"/>
  <c r="I16" i="40"/>
  <c r="J16" i="40"/>
  <c r="K16" i="40"/>
  <c r="I15" i="40"/>
  <c r="J15" i="40"/>
  <c r="K15" i="40"/>
  <c r="B9" i="14"/>
  <c r="H9" i="14" s="1"/>
  <c r="D50" i="32"/>
  <c r="D51" i="32"/>
  <c r="D49" i="32"/>
  <c r="D15" i="32"/>
  <c r="D40" i="32"/>
  <c r="E46" i="32"/>
  <c r="E45" i="32"/>
  <c r="E44" i="32"/>
  <c r="E35" i="32"/>
  <c r="E34" i="32"/>
  <c r="E32" i="32"/>
  <c r="E36" i="32" s="1"/>
  <c r="E22" i="32"/>
  <c r="E21" i="32"/>
  <c r="E20" i="32"/>
  <c r="E11" i="32"/>
  <c r="E9" i="32"/>
  <c r="D3" i="32"/>
  <c r="D4" i="32"/>
  <c r="D5" i="32"/>
  <c r="E6" i="32"/>
  <c r="E10" i="32"/>
  <c r="D14" i="32"/>
  <c r="D16" i="32"/>
  <c r="D25" i="32"/>
  <c r="D26" i="32"/>
  <c r="D27" i="32"/>
  <c r="E28" i="32"/>
  <c r="D38" i="32"/>
  <c r="D39" i="32"/>
  <c r="E41" i="32"/>
  <c r="E52" i="32"/>
  <c r="B62" i="32"/>
  <c r="B63" i="32"/>
  <c r="B64" i="32"/>
  <c r="B65" i="32"/>
  <c r="E9" i="14" l="1"/>
  <c r="L9" i="14"/>
  <c r="K9" i="14"/>
  <c r="J9" i="14"/>
  <c r="I9" i="14"/>
  <c r="E58" i="32"/>
  <c r="E47" i="32"/>
  <c r="D41" i="32"/>
  <c r="B68" i="32"/>
  <c r="D28" i="32"/>
  <c r="B69" i="32"/>
  <c r="E23" i="32"/>
  <c r="D17" i="32"/>
  <c r="E12" i="32"/>
  <c r="D6" i="32"/>
  <c r="D52" i="32"/>
  <c r="C62" i="32"/>
  <c r="L11" i="14"/>
  <c r="K99" i="28"/>
  <c r="K97" i="28"/>
  <c r="K96" i="28"/>
  <c r="K100" i="28"/>
  <c r="K101" i="28"/>
  <c r="K102" i="28"/>
  <c r="M32" i="37"/>
  <c r="L13" i="40"/>
  <c r="L11" i="40"/>
  <c r="I10" i="40"/>
  <c r="J10" i="40"/>
  <c r="K10" i="40"/>
  <c r="I9" i="40"/>
  <c r="J9" i="40"/>
  <c r="K9" i="40"/>
  <c r="J8" i="40"/>
  <c r="K8" i="40"/>
  <c r="I13" i="40"/>
  <c r="I11" i="40"/>
  <c r="M29" i="37"/>
  <c r="M31" i="37" s="1"/>
  <c r="D10" i="20"/>
  <c r="B70" i="32" l="1"/>
  <c r="C68" i="32"/>
  <c r="I12" i="28"/>
  <c r="M12" i="28"/>
  <c r="N12" i="42"/>
  <c r="M37" i="28"/>
  <c r="M35" i="28"/>
  <c r="L34" i="28"/>
  <c r="M34" i="28"/>
  <c r="M32" i="28"/>
  <c r="L27" i="28"/>
  <c r="M27" i="28"/>
  <c r="E16" i="28" l="1"/>
  <c r="D16" i="28"/>
  <c r="M14" i="28"/>
  <c r="D14" i="28"/>
  <c r="L10" i="28"/>
  <c r="M10" i="28"/>
  <c r="D8" i="28"/>
  <c r="M5" i="28"/>
  <c r="D5" i="28"/>
  <c r="C9" i="42" l="1"/>
  <c r="C10" i="42"/>
  <c r="E10" i="42" s="1"/>
  <c r="C11" i="42"/>
  <c r="C13" i="42"/>
  <c r="C14" i="42"/>
  <c r="E14" i="42" s="1"/>
  <c r="C15" i="42"/>
  <c r="E15" i="42" s="1"/>
  <c r="S36" i="42"/>
  <c r="D8" i="37"/>
  <c r="D24" i="19"/>
  <c r="D16" i="19"/>
  <c r="F5" i="42"/>
  <c r="G5" i="42"/>
  <c r="H5" i="42"/>
  <c r="I5" i="42"/>
  <c r="J5" i="42"/>
  <c r="K5" i="42"/>
  <c r="L5" i="42"/>
  <c r="M5" i="42"/>
  <c r="N5" i="42"/>
  <c r="E5" i="42"/>
  <c r="F3" i="42"/>
  <c r="G3" i="42" s="1"/>
  <c r="C16" i="42" l="1"/>
  <c r="E16" i="42" s="1"/>
  <c r="K98" i="28"/>
  <c r="I35" i="42"/>
  <c r="J35" i="42"/>
  <c r="G35" i="42"/>
  <c r="K35" i="42"/>
  <c r="L35" i="42"/>
  <c r="E35" i="42"/>
  <c r="H35" i="42"/>
  <c r="F35" i="42"/>
  <c r="I28" i="42"/>
  <c r="J28" i="42"/>
  <c r="L28" i="42"/>
  <c r="E28" i="42"/>
  <c r="F28" i="42"/>
  <c r="H28" i="42"/>
  <c r="K28" i="42"/>
  <c r="G28" i="42"/>
  <c r="E11" i="42"/>
  <c r="E13" i="42"/>
  <c r="K26" i="42"/>
  <c r="L26" i="42"/>
  <c r="F26" i="42"/>
  <c r="G26" i="42"/>
  <c r="E26" i="42"/>
  <c r="H26" i="42"/>
  <c r="I26" i="42"/>
  <c r="J26" i="42"/>
  <c r="E9" i="42"/>
  <c r="O5" i="42"/>
  <c r="H3" i="42"/>
  <c r="I3" i="42" l="1"/>
  <c r="J3" i="42" l="1"/>
  <c r="K3" i="42" l="1"/>
  <c r="L3" i="42" l="1"/>
  <c r="C104" i="28"/>
  <c r="E13" i="26"/>
  <c r="C102" i="28"/>
  <c r="G32" i="18" l="1"/>
  <c r="M3" i="42"/>
  <c r="G35" i="28" l="1"/>
  <c r="N3" i="42"/>
  <c r="E11" i="14"/>
  <c r="F18" i="14"/>
  <c r="F27" i="28" s="1"/>
  <c r="I18" i="14"/>
  <c r="I27" i="28" s="1"/>
  <c r="F24" i="15" l="1"/>
  <c r="G24" i="15"/>
  <c r="H24" i="15"/>
  <c r="I24" i="15"/>
  <c r="J24" i="15"/>
  <c r="K24" i="15"/>
  <c r="L24" i="15"/>
  <c r="M24" i="15"/>
  <c r="N24" i="15"/>
  <c r="E24" i="15"/>
  <c r="N15" i="15"/>
  <c r="H14" i="15"/>
  <c r="N14" i="15"/>
  <c r="C90" i="28"/>
  <c r="C88" i="28"/>
  <c r="C87" i="28"/>
  <c r="E81" i="28"/>
  <c r="F81" i="28"/>
  <c r="H81" i="28"/>
  <c r="I81" i="28"/>
  <c r="K81" i="28"/>
  <c r="L81" i="28"/>
  <c r="M81" i="28"/>
  <c r="E80" i="28"/>
  <c r="F80" i="28"/>
  <c r="G80" i="28"/>
  <c r="H80" i="28"/>
  <c r="I80" i="28"/>
  <c r="K80" i="28"/>
  <c r="L80" i="28"/>
  <c r="M80" i="28"/>
  <c r="E69" i="28"/>
  <c r="F69" i="28"/>
  <c r="H69" i="28"/>
  <c r="I69" i="28"/>
  <c r="K69" i="28"/>
  <c r="L69" i="28"/>
  <c r="M69" i="28"/>
  <c r="E68" i="28"/>
  <c r="F68" i="28"/>
  <c r="G68" i="28"/>
  <c r="H68" i="28"/>
  <c r="I68" i="28"/>
  <c r="K68" i="28"/>
  <c r="L68" i="28"/>
  <c r="M68" i="28"/>
  <c r="F62" i="28"/>
  <c r="F72" i="28" s="1"/>
  <c r="I62" i="28"/>
  <c r="I72" i="28" s="1"/>
  <c r="L62" i="28"/>
  <c r="L72" i="28" s="1"/>
  <c r="M62" i="28"/>
  <c r="M72" i="28" s="1"/>
  <c r="G7" i="37"/>
  <c r="K35" i="28"/>
  <c r="L35" i="28"/>
  <c r="E29" i="18"/>
  <c r="F29" i="18"/>
  <c r="H29" i="18"/>
  <c r="I29" i="18"/>
  <c r="K29" i="18"/>
  <c r="K32" i="18" s="1"/>
  <c r="L14" i="15" s="1"/>
  <c r="L29" i="18"/>
  <c r="L32" i="18" s="1"/>
  <c r="M14" i="15" s="1"/>
  <c r="P10" i="32"/>
  <c r="P11" i="32"/>
  <c r="P9" i="32"/>
  <c r="E29" i="37"/>
  <c r="F29" i="37"/>
  <c r="H29" i="37"/>
  <c r="I29" i="37"/>
  <c r="K29" i="37"/>
  <c r="L29" i="37"/>
  <c r="B13" i="37"/>
  <c r="B19" i="37" s="1"/>
  <c r="D29" i="37"/>
  <c r="D32" i="37" s="1"/>
  <c r="B13" i="18"/>
  <c r="B19" i="18" s="1"/>
  <c r="K13" i="32"/>
  <c r="L13" i="32"/>
  <c r="N13" i="32"/>
  <c r="O13" i="32"/>
  <c r="R13" i="32"/>
  <c r="S13" i="32"/>
  <c r="E7" i="22"/>
  <c r="F7" i="22"/>
  <c r="I7" i="22"/>
  <c r="I19" i="22" s="1"/>
  <c r="J7" i="22"/>
  <c r="J19" i="22" s="1"/>
  <c r="K7" i="22"/>
  <c r="K19" i="22" s="1"/>
  <c r="L19" i="22"/>
  <c r="D7" i="22"/>
  <c r="D25" i="40"/>
  <c r="D13" i="40"/>
  <c r="L17" i="40" s="1"/>
  <c r="D11" i="40"/>
  <c r="D16" i="40" s="1"/>
  <c r="D12" i="28" s="1"/>
  <c r="D9" i="40"/>
  <c r="D10" i="40" s="1"/>
  <c r="I7" i="40"/>
  <c r="F7" i="40"/>
  <c r="E4" i="40"/>
  <c r="E11" i="40" s="1"/>
  <c r="E16" i="40" s="1"/>
  <c r="E12" i="28" s="1"/>
  <c r="E101" i="28" l="1"/>
  <c r="E32" i="37"/>
  <c r="F15" i="15" s="1"/>
  <c r="J15" i="15"/>
  <c r="I32" i="37"/>
  <c r="L32" i="37"/>
  <c r="M15" i="15" s="1"/>
  <c r="K32" i="37"/>
  <c r="L15" i="15" s="1"/>
  <c r="I31" i="37"/>
  <c r="I37" i="28" s="1"/>
  <c r="H32" i="37"/>
  <c r="I15" i="15" s="1"/>
  <c r="F32" i="37"/>
  <c r="G15" i="15" s="1"/>
  <c r="F32" i="18"/>
  <c r="G14" i="15" s="1"/>
  <c r="E32" i="18"/>
  <c r="F14" i="15" s="1"/>
  <c r="I32" i="18"/>
  <c r="J14" i="15" s="1"/>
  <c r="H32" i="18"/>
  <c r="I14" i="15" s="1"/>
  <c r="G29" i="37"/>
  <c r="G31" i="37" s="1"/>
  <c r="G37" i="28" s="1"/>
  <c r="P13" i="32"/>
  <c r="E31" i="37"/>
  <c r="E37" i="28" s="1"/>
  <c r="L31" i="37"/>
  <c r="K31" i="37"/>
  <c r="H31" i="37"/>
  <c r="F31" i="37"/>
  <c r="D69" i="28"/>
  <c r="G69" i="28"/>
  <c r="M12" i="15"/>
  <c r="N12" i="15"/>
  <c r="F78" i="28"/>
  <c r="I77" i="28"/>
  <c r="M77" i="28"/>
  <c r="E15" i="15"/>
  <c r="L77" i="28"/>
  <c r="F33" i="28"/>
  <c r="G12" i="15"/>
  <c r="I66" i="28"/>
  <c r="M78" i="28"/>
  <c r="L78" i="28"/>
  <c r="G81" i="28"/>
  <c r="I33" i="28"/>
  <c r="J12" i="15"/>
  <c r="F66" i="28"/>
  <c r="D81" i="28"/>
  <c r="M66" i="28"/>
  <c r="I78" i="28"/>
  <c r="L66" i="28"/>
  <c r="F77" i="28"/>
  <c r="F8" i="22"/>
  <c r="E17" i="40"/>
  <c r="D17" i="40"/>
  <c r="F4" i="40"/>
  <c r="D15" i="40"/>
  <c r="L33" i="28"/>
  <c r="E13" i="40"/>
  <c r="E15" i="40" s="1"/>
  <c r="E25" i="40" s="1"/>
  <c r="M33" i="28"/>
  <c r="G32" i="37" l="1"/>
  <c r="H15" i="15" s="1"/>
  <c r="I35" i="28"/>
  <c r="E35" i="28"/>
  <c r="F35" i="28"/>
  <c r="H35" i="28"/>
  <c r="B7" i="18"/>
  <c r="B9" i="18" s="1"/>
  <c r="B7" i="37"/>
  <c r="B9" i="37" s="1"/>
  <c r="F37" i="28"/>
  <c r="L37" i="28"/>
  <c r="H37" i="28"/>
  <c r="K37" i="28"/>
  <c r="H8" i="22"/>
  <c r="F11" i="40"/>
  <c r="F13" i="40"/>
  <c r="G4" i="40"/>
  <c r="F17" i="40"/>
  <c r="F23" i="40"/>
  <c r="G12" i="42" l="1"/>
  <c r="G30" i="42" s="1"/>
  <c r="J69" i="28"/>
  <c r="J29" i="37"/>
  <c r="J81" i="28"/>
  <c r="J80" i="28"/>
  <c r="J29" i="18"/>
  <c r="J68" i="28"/>
  <c r="G13" i="40"/>
  <c r="H4" i="40"/>
  <c r="G11" i="40"/>
  <c r="G17" i="40"/>
  <c r="F28" i="40"/>
  <c r="M30" i="37" l="1"/>
  <c r="K30" i="37"/>
  <c r="D30" i="37"/>
  <c r="G30" i="37"/>
  <c r="F30" i="37"/>
  <c r="H30" i="37"/>
  <c r="L30" i="37"/>
  <c r="I30" i="37"/>
  <c r="E30" i="37"/>
  <c r="J32" i="37"/>
  <c r="K15" i="15" s="1"/>
  <c r="J31" i="37"/>
  <c r="J37" i="28" s="1"/>
  <c r="J30" i="37"/>
  <c r="J32" i="18"/>
  <c r="K14" i="15" s="1"/>
  <c r="H13" i="40"/>
  <c r="I4" i="40"/>
  <c r="H11" i="40"/>
  <c r="H17" i="40"/>
  <c r="J35" i="28" l="1"/>
  <c r="J4" i="40"/>
  <c r="I23" i="40"/>
  <c r="J12" i="42" s="1"/>
  <c r="J30" i="42" l="1"/>
  <c r="I25" i="40"/>
  <c r="I28" i="40"/>
  <c r="J13" i="40"/>
  <c r="J11" i="40"/>
  <c r="J12" i="28" s="1"/>
  <c r="K4" i="40"/>
  <c r="F6" i="20"/>
  <c r="I6" i="20"/>
  <c r="F17" i="26"/>
  <c r="I17" i="26"/>
  <c r="I30" i="28" s="1"/>
  <c r="J17" i="26"/>
  <c r="J30" i="28" s="1"/>
  <c r="K17" i="26"/>
  <c r="K30" i="28" s="1"/>
  <c r="L17" i="26"/>
  <c r="L30" i="28" s="1"/>
  <c r="M17" i="26"/>
  <c r="M30" i="28" s="1"/>
  <c r="D9" i="26"/>
  <c r="I15" i="19"/>
  <c r="I14" i="19"/>
  <c r="G10" i="19"/>
  <c r="H10" i="19"/>
  <c r="I10" i="19"/>
  <c r="J10" i="19"/>
  <c r="K10" i="19"/>
  <c r="K13" i="19" s="1"/>
  <c r="M10" i="19"/>
  <c r="M13" i="19" s="1"/>
  <c r="F18" i="19"/>
  <c r="G18" i="19"/>
  <c r="H18" i="19"/>
  <c r="I18" i="19"/>
  <c r="L18" i="19"/>
  <c r="M18" i="19"/>
  <c r="I16" i="19" l="1"/>
  <c r="L20" i="19"/>
  <c r="L28" i="28" s="1"/>
  <c r="L21" i="19"/>
  <c r="I20" i="19"/>
  <c r="I28" i="28" s="1"/>
  <c r="M21" i="19"/>
  <c r="M20" i="19"/>
  <c r="M28" i="28" s="1"/>
  <c r="F20" i="19"/>
  <c r="F28" i="28" s="1"/>
  <c r="H20" i="19"/>
  <c r="H28" i="28" s="1"/>
  <c r="G20" i="19"/>
  <c r="G28" i="28" s="1"/>
  <c r="F32" i="28"/>
  <c r="G11" i="15"/>
  <c r="I32" i="28"/>
  <c r="J11" i="15"/>
  <c r="F30" i="28"/>
  <c r="J18" i="40"/>
  <c r="J25" i="40" s="1"/>
  <c r="N11" i="15"/>
  <c r="M76" i="28"/>
  <c r="L63" i="28"/>
  <c r="L9" i="15"/>
  <c r="K64" i="28"/>
  <c r="K74" i="28" s="1"/>
  <c r="M9" i="15"/>
  <c r="L64" i="28"/>
  <c r="L74" i="28" s="1"/>
  <c r="F63" i="28"/>
  <c r="M63" i="28"/>
  <c r="N9" i="15"/>
  <c r="M64" i="28"/>
  <c r="M74" i="28" s="1"/>
  <c r="K9" i="15"/>
  <c r="J64" i="28"/>
  <c r="J74" i="28" s="1"/>
  <c r="I76" i="28"/>
  <c r="I63" i="28"/>
  <c r="J9" i="15"/>
  <c r="I64" i="28"/>
  <c r="I74" i="28" s="1"/>
  <c r="H63" i="28"/>
  <c r="H73" i="28" s="1"/>
  <c r="M11" i="15"/>
  <c r="L76" i="28"/>
  <c r="M19" i="19"/>
  <c r="L19" i="19"/>
  <c r="G9" i="15"/>
  <c r="F64" i="28"/>
  <c r="F74" i="28" s="1"/>
  <c r="G63" i="28"/>
  <c r="G73" i="28" s="1"/>
  <c r="F76" i="28"/>
  <c r="K13" i="40"/>
  <c r="L4" i="40"/>
  <c r="K11" i="40"/>
  <c r="K12" i="28" s="1"/>
  <c r="M14" i="19"/>
  <c r="M15" i="19"/>
  <c r="K14" i="19"/>
  <c r="K15" i="19"/>
  <c r="K48" i="28" s="1"/>
  <c r="I19" i="19"/>
  <c r="G19" i="19"/>
  <c r="H19" i="19"/>
  <c r="F19" i="19"/>
  <c r="I24" i="19" l="1"/>
  <c r="K18" i="40"/>
  <c r="K25" i="40" s="1"/>
  <c r="K16" i="19"/>
  <c r="M16" i="19"/>
  <c r="M73" i="28"/>
  <c r="M83" i="28" s="1"/>
  <c r="L73" i="28"/>
  <c r="L83" i="28" s="1"/>
  <c r="I73" i="28"/>
  <c r="I83" i="28" s="1"/>
  <c r="F73" i="28"/>
  <c r="F83" i="28" s="1"/>
  <c r="M4" i="40"/>
  <c r="L23" i="40"/>
  <c r="M12" i="42" s="1"/>
  <c r="K24" i="19" l="1"/>
  <c r="K47" i="28"/>
  <c r="K22" i="28" s="1"/>
  <c r="K23" i="28" s="1"/>
  <c r="J5" i="43" s="1"/>
  <c r="M24" i="19"/>
  <c r="L28" i="40"/>
  <c r="M30" i="42"/>
  <c r="N30" i="42" l="1"/>
  <c r="Q7" i="32" l="1"/>
  <c r="K7" i="40" s="1"/>
  <c r="Q6" i="32"/>
  <c r="K6" i="20" s="1"/>
  <c r="P6" i="32"/>
  <c r="J6" i="20" s="1"/>
  <c r="Q5" i="32"/>
  <c r="K18" i="19" s="1"/>
  <c r="Q3" i="32"/>
  <c r="K18" i="14" s="1"/>
  <c r="P7" i="32"/>
  <c r="J7" i="40" s="1"/>
  <c r="P5" i="32"/>
  <c r="J18" i="19" s="1"/>
  <c r="P3" i="32"/>
  <c r="J18" i="14" s="1"/>
  <c r="M12" i="32"/>
  <c r="J20" i="19" l="1"/>
  <c r="J28" i="28" s="1"/>
  <c r="K27" i="28"/>
  <c r="K20" i="19"/>
  <c r="J27" i="28"/>
  <c r="K32" i="28"/>
  <c r="L11" i="15"/>
  <c r="K76" i="28"/>
  <c r="K66" i="28"/>
  <c r="L12" i="15"/>
  <c r="K77" i="28"/>
  <c r="K78" i="28"/>
  <c r="K28" i="28"/>
  <c r="K19" i="19"/>
  <c r="K63" i="28"/>
  <c r="K73" i="28" s="1"/>
  <c r="K11" i="15"/>
  <c r="J76" i="28"/>
  <c r="L8" i="19"/>
  <c r="L10" i="19" s="1"/>
  <c r="L13" i="19" s="1"/>
  <c r="J19" i="19"/>
  <c r="J63" i="28"/>
  <c r="J73" i="28" s="1"/>
  <c r="L8" i="40"/>
  <c r="L9" i="40" s="1"/>
  <c r="J66" i="28"/>
  <c r="J78" i="28"/>
  <c r="J77" i="28"/>
  <c r="K12" i="15"/>
  <c r="K62" i="28"/>
  <c r="J62" i="28"/>
  <c r="N8" i="32"/>
  <c r="H7" i="22" s="1"/>
  <c r="M8" i="32"/>
  <c r="G7" i="22" s="1"/>
  <c r="N6" i="32"/>
  <c r="H6" i="20" s="1"/>
  <c r="M6" i="32"/>
  <c r="G6" i="20" s="1"/>
  <c r="N7" i="32"/>
  <c r="H7" i="40" s="1"/>
  <c r="M7" i="32"/>
  <c r="G7" i="40" s="1"/>
  <c r="N4" i="32"/>
  <c r="H17" i="26" s="1"/>
  <c r="M4" i="32"/>
  <c r="G17" i="26" s="1"/>
  <c r="N3" i="32"/>
  <c r="H18" i="14" s="1"/>
  <c r="M3" i="32"/>
  <c r="G18" i="14" s="1"/>
  <c r="K7" i="32"/>
  <c r="E7" i="40" s="1"/>
  <c r="J7" i="32"/>
  <c r="D7" i="40" s="1"/>
  <c r="K6" i="32"/>
  <c r="E6" i="20" s="1"/>
  <c r="J6" i="32"/>
  <c r="D6" i="20" s="1"/>
  <c r="K5" i="32"/>
  <c r="E18" i="19" s="1"/>
  <c r="J5" i="32"/>
  <c r="D18" i="19" s="1"/>
  <c r="K4" i="32"/>
  <c r="E17" i="26" s="1"/>
  <c r="J4" i="32"/>
  <c r="D17" i="26" s="1"/>
  <c r="K3" i="32"/>
  <c r="E18" i="14" s="1"/>
  <c r="J3" i="32"/>
  <c r="D18" i="14" s="1"/>
  <c r="G34" i="28" l="1"/>
  <c r="G19" i="22"/>
  <c r="L16" i="40"/>
  <c r="H19" i="22"/>
  <c r="E20" i="19"/>
  <c r="D20" i="19"/>
  <c r="G27" i="28"/>
  <c r="H27" i="28"/>
  <c r="I9" i="15"/>
  <c r="H30" i="28"/>
  <c r="H9" i="15"/>
  <c r="G30" i="28"/>
  <c r="E30" i="28"/>
  <c r="F9" i="15"/>
  <c r="H12" i="15"/>
  <c r="G66" i="28"/>
  <c r="G78" i="28"/>
  <c r="G77" i="28"/>
  <c r="F11" i="15"/>
  <c r="E32" i="28"/>
  <c r="E76" i="28"/>
  <c r="H66" i="28"/>
  <c r="H78" i="28"/>
  <c r="H77" i="28"/>
  <c r="I12" i="15"/>
  <c r="K33" i="28"/>
  <c r="K23" i="40"/>
  <c r="E11" i="15"/>
  <c r="D32" i="28"/>
  <c r="D76" i="28"/>
  <c r="F7" i="20"/>
  <c r="B6" i="20"/>
  <c r="D16" i="20" s="1"/>
  <c r="L15" i="19"/>
  <c r="L48" i="28" s="1"/>
  <c r="L14" i="19"/>
  <c r="I11" i="15"/>
  <c r="H32" i="28"/>
  <c r="H76" i="28"/>
  <c r="H11" i="15"/>
  <c r="G32" i="28"/>
  <c r="G76" i="28"/>
  <c r="E9" i="15"/>
  <c r="D30" i="28"/>
  <c r="D64" i="28"/>
  <c r="D74" i="28" s="1"/>
  <c r="B7" i="22"/>
  <c r="J33" i="28"/>
  <c r="J23" i="40"/>
  <c r="L10" i="40"/>
  <c r="D77" i="28"/>
  <c r="B7" i="40"/>
  <c r="D20" i="40" s="1"/>
  <c r="D78" i="28"/>
  <c r="F8" i="40"/>
  <c r="D66" i="28"/>
  <c r="E12" i="15"/>
  <c r="E77" i="28"/>
  <c r="E78" i="28"/>
  <c r="E66" i="28"/>
  <c r="F12" i="15"/>
  <c r="I8" i="22"/>
  <c r="J8" i="22" s="1"/>
  <c r="K8" i="22" s="1"/>
  <c r="H34" i="28"/>
  <c r="H17" i="22"/>
  <c r="E28" i="28"/>
  <c r="E63" i="28"/>
  <c r="E73" i="28" s="1"/>
  <c r="E19" i="19"/>
  <c r="D27" i="28"/>
  <c r="D62" i="28"/>
  <c r="D72" i="28" s="1"/>
  <c r="E27" i="28"/>
  <c r="E62" i="28"/>
  <c r="E72" i="28" s="1"/>
  <c r="D63" i="28"/>
  <c r="D73" i="28" s="1"/>
  <c r="D19" i="19"/>
  <c r="F8" i="19"/>
  <c r="K72" i="28"/>
  <c r="K83" i="28" s="1"/>
  <c r="J72" i="28"/>
  <c r="J83" i="28" s="1"/>
  <c r="H64" i="28"/>
  <c r="H74" i="28" s="1"/>
  <c r="E64" i="28"/>
  <c r="G62" i="28"/>
  <c r="G72" i="28" s="1"/>
  <c r="G64" i="28"/>
  <c r="F6" i="26"/>
  <c r="B6" i="26"/>
  <c r="D18" i="26" s="1"/>
  <c r="L12" i="28" l="1"/>
  <c r="H16" i="20"/>
  <c r="L15" i="40"/>
  <c r="L18" i="40" s="1"/>
  <c r="L16" i="19"/>
  <c r="L24" i="19" s="1"/>
  <c r="D33" i="28"/>
  <c r="D23" i="40"/>
  <c r="G17" i="22"/>
  <c r="J17" i="22"/>
  <c r="E17" i="22"/>
  <c r="F17" i="22"/>
  <c r="I17" i="22"/>
  <c r="K17" i="22"/>
  <c r="H20" i="40"/>
  <c r="G16" i="20"/>
  <c r="F16" i="20"/>
  <c r="I16" i="20"/>
  <c r="L16" i="20"/>
  <c r="J16" i="20"/>
  <c r="K16" i="20"/>
  <c r="D28" i="28"/>
  <c r="D22" i="19"/>
  <c r="E33" i="28"/>
  <c r="E23" i="40"/>
  <c r="G7" i="20"/>
  <c r="H7" i="20" s="1"/>
  <c r="I7" i="20"/>
  <c r="G20" i="40"/>
  <c r="G33" i="28"/>
  <c r="G23" i="40"/>
  <c r="I20" i="40"/>
  <c r="F20" i="40"/>
  <c r="K20" i="40"/>
  <c r="J20" i="40"/>
  <c r="H33" i="28"/>
  <c r="H23" i="40"/>
  <c r="E20" i="40"/>
  <c r="K12" i="42"/>
  <c r="K30" i="42" s="1"/>
  <c r="J28" i="40"/>
  <c r="J29" i="40" s="1"/>
  <c r="L12" i="42"/>
  <c r="L30" i="42" s="1"/>
  <c r="K28" i="40"/>
  <c r="K29" i="40" s="1"/>
  <c r="E16" i="20"/>
  <c r="H8" i="40"/>
  <c r="H9" i="40" s="1"/>
  <c r="F9" i="40"/>
  <c r="G8" i="40"/>
  <c r="G9" i="40" s="1"/>
  <c r="H62" i="28"/>
  <c r="H72" i="28" s="1"/>
  <c r="E74" i="28"/>
  <c r="E83" i="28" s="1"/>
  <c r="B8" i="14"/>
  <c r="G74" i="28"/>
  <c r="G83" i="28" s="1"/>
  <c r="E18" i="26"/>
  <c r="L18" i="26"/>
  <c r="F18" i="26"/>
  <c r="M18" i="26"/>
  <c r="H18" i="26"/>
  <c r="G18" i="26"/>
  <c r="J18" i="26"/>
  <c r="K18" i="26"/>
  <c r="I18" i="26"/>
  <c r="F16" i="40" l="1"/>
  <c r="L47" i="28"/>
  <c r="L22" i="28" s="1"/>
  <c r="L23" i="28" s="1"/>
  <c r="K5" i="43" s="1"/>
  <c r="F12" i="42"/>
  <c r="F30" i="42" s="1"/>
  <c r="E28" i="40"/>
  <c r="E29" i="40" s="1"/>
  <c r="G10" i="40"/>
  <c r="G15" i="40" s="1"/>
  <c r="D28" i="40"/>
  <c r="D29" i="40" s="1"/>
  <c r="E12" i="42"/>
  <c r="E30" i="42" s="1"/>
  <c r="E32" i="42" s="1"/>
  <c r="E92" i="28"/>
  <c r="S32" i="42"/>
  <c r="E93" i="28"/>
  <c r="F10" i="40"/>
  <c r="F15" i="40" s="1"/>
  <c r="H12" i="42"/>
  <c r="H30" i="42" s="1"/>
  <c r="G28" i="40"/>
  <c r="H10" i="40"/>
  <c r="H16" i="40" s="1"/>
  <c r="H12" i="28" s="1"/>
  <c r="I12" i="42"/>
  <c r="I30" i="42" s="1"/>
  <c r="H28" i="40"/>
  <c r="M26" i="40"/>
  <c r="M27" i="40" s="1"/>
  <c r="L25" i="40"/>
  <c r="L29" i="40" s="1"/>
  <c r="K19" i="14"/>
  <c r="H83" i="28"/>
  <c r="G19" i="14"/>
  <c r="H19" i="14"/>
  <c r="N7" i="15"/>
  <c r="J19" i="14"/>
  <c r="E19" i="14"/>
  <c r="E21" i="14" s="1"/>
  <c r="I19" i="14"/>
  <c r="F19" i="14"/>
  <c r="F21" i="14" s="1"/>
  <c r="D31" i="37"/>
  <c r="D37" i="28" s="1"/>
  <c r="L32" i="28"/>
  <c r="E19" i="22"/>
  <c r="F10" i="15" s="1"/>
  <c r="F19" i="22"/>
  <c r="G10" i="15" s="1"/>
  <c r="H10" i="15"/>
  <c r="I10" i="15"/>
  <c r="J10" i="15"/>
  <c r="K10" i="15"/>
  <c r="L10" i="15"/>
  <c r="M10" i="15"/>
  <c r="N10" i="15"/>
  <c r="D19" i="22"/>
  <c r="E10" i="15" s="1"/>
  <c r="E34" i="28"/>
  <c r="F34" i="28"/>
  <c r="I34" i="28"/>
  <c r="J34" i="28"/>
  <c r="K34" i="28"/>
  <c r="D34" i="28"/>
  <c r="H15" i="40" l="1"/>
  <c r="G16" i="40"/>
  <c r="G12" i="28" s="1"/>
  <c r="L7" i="15"/>
  <c r="G18" i="40"/>
  <c r="G25" i="40" s="1"/>
  <c r="G29" i="40" s="1"/>
  <c r="F32" i="42"/>
  <c r="E33" i="42"/>
  <c r="M29" i="40"/>
  <c r="F12" i="28"/>
  <c r="H18" i="40"/>
  <c r="C12" i="42"/>
  <c r="K93" i="28"/>
  <c r="G7" i="15"/>
  <c r="H7" i="15"/>
  <c r="F7" i="15"/>
  <c r="I7" i="15"/>
  <c r="M7" i="15"/>
  <c r="K7" i="15"/>
  <c r="J7" i="15"/>
  <c r="D33" i="37"/>
  <c r="D19" i="20"/>
  <c r="D21" i="26"/>
  <c r="E24" i="26" s="1"/>
  <c r="D11" i="22"/>
  <c r="M11" i="32"/>
  <c r="M10" i="32"/>
  <c r="J11" i="32"/>
  <c r="D27" i="26" l="1"/>
  <c r="F18" i="40"/>
  <c r="F25" i="40" s="1"/>
  <c r="F29" i="40" s="1"/>
  <c r="I26" i="40"/>
  <c r="I47" i="28" s="1"/>
  <c r="H25" i="40"/>
  <c r="H29" i="40" s="1"/>
  <c r="G31" i="42"/>
  <c r="G32" i="42" s="1"/>
  <c r="H32" i="42" s="1"/>
  <c r="I32" i="42" s="1"/>
  <c r="J31" i="42" s="1"/>
  <c r="F33" i="42"/>
  <c r="D68" i="28"/>
  <c r="D80" i="28"/>
  <c r="J9" i="32"/>
  <c r="M9" i="32"/>
  <c r="M13" i="32" s="1"/>
  <c r="D14" i="22"/>
  <c r="D11" i="19"/>
  <c r="B12" i="37"/>
  <c r="E4" i="37"/>
  <c r="I27" i="40" l="1"/>
  <c r="D32" i="18"/>
  <c r="E14" i="15" s="1"/>
  <c r="D30" i="18"/>
  <c r="J30" i="18"/>
  <c r="H30" i="18"/>
  <c r="G30" i="18"/>
  <c r="K30" i="18"/>
  <c r="L30" i="18"/>
  <c r="F30" i="18"/>
  <c r="E30" i="18"/>
  <c r="B12" i="18"/>
  <c r="H24" i="18" s="1"/>
  <c r="I30" i="18"/>
  <c r="D83" i="28"/>
  <c r="E11" i="37"/>
  <c r="E33" i="37"/>
  <c r="E8" i="37"/>
  <c r="D38" i="37"/>
  <c r="D39" i="37" s="1"/>
  <c r="D19" i="37"/>
  <c r="F4" i="37"/>
  <c r="F33" i="37" s="1"/>
  <c r="I29" i="40" l="1"/>
  <c r="I48" i="28"/>
  <c r="I22" i="28" s="1"/>
  <c r="I23" i="28" s="1"/>
  <c r="H5" i="43" s="1"/>
  <c r="D35" i="28"/>
  <c r="D33" i="18"/>
  <c r="F38" i="37"/>
  <c r="E38" i="37"/>
  <c r="E35" i="37"/>
  <c r="F19" i="37"/>
  <c r="F24" i="37" s="1"/>
  <c r="E19" i="37"/>
  <c r="F11" i="37"/>
  <c r="F8" i="37"/>
  <c r="F23" i="37" s="1"/>
  <c r="G4" i="37"/>
  <c r="J10" i="32"/>
  <c r="J13" i="32" s="1"/>
  <c r="B31" i="40" l="1"/>
  <c r="B30" i="40"/>
  <c r="D38" i="18"/>
  <c r="D39" i="18" s="1"/>
  <c r="G19" i="37"/>
  <c r="G24" i="37" s="1"/>
  <c r="G33" i="37"/>
  <c r="F25" i="37"/>
  <c r="F26" i="37" s="1"/>
  <c r="F27" i="37" s="1"/>
  <c r="F16" i="28" s="1"/>
  <c r="G24" i="18"/>
  <c r="F24" i="18"/>
  <c r="E39" i="37"/>
  <c r="G8" i="37"/>
  <c r="G23" i="37" s="1"/>
  <c r="H4" i="37"/>
  <c r="H33" i="37" s="1"/>
  <c r="H38" i="37" s="1"/>
  <c r="G11" i="37"/>
  <c r="F35" i="37" l="1"/>
  <c r="F39" i="37" s="1"/>
  <c r="G25" i="37"/>
  <c r="G26" i="37" s="1"/>
  <c r="G27" i="37" s="1"/>
  <c r="G16" i="28" s="1"/>
  <c r="I4" i="37"/>
  <c r="I33" i="37" s="1"/>
  <c r="I38" i="37" s="1"/>
  <c r="H8" i="37"/>
  <c r="H23" i="37" s="1"/>
  <c r="H11" i="37"/>
  <c r="H19" i="37"/>
  <c r="H24" i="37" s="1"/>
  <c r="G35" i="37" l="1"/>
  <c r="G38" i="37"/>
  <c r="I11" i="37"/>
  <c r="I8" i="37"/>
  <c r="I23" i="37" s="1"/>
  <c r="J4" i="37"/>
  <c r="J33" i="37" s="1"/>
  <c r="J38" i="37" s="1"/>
  <c r="I19" i="37"/>
  <c r="I24" i="37" s="1"/>
  <c r="H25" i="37"/>
  <c r="G39" i="37" l="1"/>
  <c r="I25" i="37"/>
  <c r="I26" i="37" s="1"/>
  <c r="I27" i="37" s="1"/>
  <c r="I16" i="28" s="1"/>
  <c r="J11" i="37"/>
  <c r="J8" i="37"/>
  <c r="J23" i="37" s="1"/>
  <c r="K4" i="37"/>
  <c r="K33" i="37" s="1"/>
  <c r="K38" i="37" s="1"/>
  <c r="J19" i="37"/>
  <c r="J24" i="37" s="1"/>
  <c r="H26" i="37"/>
  <c r="H27" i="37" s="1"/>
  <c r="H16" i="28" s="1"/>
  <c r="H35" i="37" l="1"/>
  <c r="H39" i="37" s="1"/>
  <c r="I35" i="37"/>
  <c r="I39" i="37" s="1"/>
  <c r="J25" i="37"/>
  <c r="J26" i="37" s="1"/>
  <c r="J27" i="37" s="1"/>
  <c r="J16" i="28" s="1"/>
  <c r="K11" i="37"/>
  <c r="K8" i="37"/>
  <c r="K23" i="37" s="1"/>
  <c r="L4" i="37"/>
  <c r="K19" i="37"/>
  <c r="K24" i="37" s="1"/>
  <c r="M4" i="37" l="1"/>
  <c r="L33" i="37"/>
  <c r="L38" i="37" s="1"/>
  <c r="J35" i="37"/>
  <c r="J39" i="37" s="1"/>
  <c r="K25" i="37"/>
  <c r="K26" i="37" s="1"/>
  <c r="K27" i="37" s="1"/>
  <c r="L8" i="37"/>
  <c r="L23" i="37" s="1"/>
  <c r="L11" i="37"/>
  <c r="L19" i="37"/>
  <c r="L24" i="37" s="1"/>
  <c r="M8" i="37" l="1"/>
  <c r="M33" i="37"/>
  <c r="M11" i="37"/>
  <c r="M19" i="37"/>
  <c r="K16" i="28"/>
  <c r="K35" i="37"/>
  <c r="K39" i="37" s="1"/>
  <c r="L25" i="37"/>
  <c r="L26" i="37" s="1"/>
  <c r="L27" i="37" s="1"/>
  <c r="M36" i="37" s="1"/>
  <c r="M38" i="37" l="1"/>
  <c r="E96" i="28"/>
  <c r="L16" i="28"/>
  <c r="L35" i="37"/>
  <c r="L39" i="37" s="1"/>
  <c r="G8" i="22" l="1"/>
  <c r="J13" i="19"/>
  <c r="H13" i="19"/>
  <c r="M35" i="37" l="1"/>
  <c r="M16" i="28"/>
  <c r="D19" i="18"/>
  <c r="E24" i="18"/>
  <c r="I8" i="14"/>
  <c r="J8" i="14" s="1"/>
  <c r="H14" i="19"/>
  <c r="H15" i="19"/>
  <c r="H48" i="28" s="1"/>
  <c r="J14" i="19"/>
  <c r="J15" i="19"/>
  <c r="J48" i="28" s="1"/>
  <c r="G6" i="26"/>
  <c r="H6" i="26" s="1"/>
  <c r="I6" i="26" s="1"/>
  <c r="J6" i="26" s="1"/>
  <c r="J8" i="26" s="1"/>
  <c r="J10" i="26" s="1"/>
  <c r="F8" i="26"/>
  <c r="F10" i="26" s="1"/>
  <c r="E12" i="26"/>
  <c r="E14" i="26" s="1"/>
  <c r="E8" i="28" s="1"/>
  <c r="D19" i="14"/>
  <c r="D21" i="14" s="1"/>
  <c r="K10" i="26" l="1"/>
  <c r="M39" i="37"/>
  <c r="H16" i="19"/>
  <c r="J16" i="19"/>
  <c r="K8" i="14"/>
  <c r="L8" i="14" s="1"/>
  <c r="L10" i="14" s="1"/>
  <c r="L14" i="14" s="1"/>
  <c r="E8" i="15"/>
  <c r="G8" i="26"/>
  <c r="G10" i="26" s="1"/>
  <c r="I10" i="14"/>
  <c r="J10" i="14"/>
  <c r="F8" i="20"/>
  <c r="L10" i="26" l="1"/>
  <c r="B40" i="37"/>
  <c r="B41" i="37"/>
  <c r="J24" i="19"/>
  <c r="J47" i="28"/>
  <c r="J22" i="28" s="1"/>
  <c r="J23" i="28" s="1"/>
  <c r="I5" i="43" s="1"/>
  <c r="H24" i="19"/>
  <c r="H47" i="28"/>
  <c r="H22" i="28" s="1"/>
  <c r="H23" i="28" s="1"/>
  <c r="G5" i="43" s="1"/>
  <c r="D13" i="20"/>
  <c r="D22" i="14"/>
  <c r="E7" i="15"/>
  <c r="K10" i="14"/>
  <c r="E8" i="20"/>
  <c r="G8" i="20"/>
  <c r="H8" i="26"/>
  <c r="H10" i="26" s="1"/>
  <c r="J9" i="22"/>
  <c r="G9" i="22"/>
  <c r="D20" i="22"/>
  <c r="D9" i="22"/>
  <c r="D10" i="22" s="1"/>
  <c r="D13" i="22" s="1"/>
  <c r="F9" i="22"/>
  <c r="D8" i="20"/>
  <c r="D9" i="20" s="1"/>
  <c r="D12" i="20" s="1"/>
  <c r="D14" i="20" s="1"/>
  <c r="F25" i="32"/>
  <c r="E23" i="26"/>
  <c r="D23" i="26"/>
  <c r="F40" i="32"/>
  <c r="F14" i="32"/>
  <c r="F3" i="32"/>
  <c r="K2" i="32"/>
  <c r="L2" i="32" s="1"/>
  <c r="M2" i="32" s="1"/>
  <c r="N2" i="32" s="1"/>
  <c r="O2" i="32" s="1"/>
  <c r="P2" i="32" s="1"/>
  <c r="Q2" i="32" s="1"/>
  <c r="R2" i="32" s="1"/>
  <c r="S2" i="32" s="1"/>
  <c r="E4" i="42" l="1"/>
  <c r="M10" i="26"/>
  <c r="L5" i="28"/>
  <c r="D21" i="20"/>
  <c r="D10" i="28"/>
  <c r="G9" i="20"/>
  <c r="F51" i="32"/>
  <c r="H8" i="20"/>
  <c r="I8" i="20"/>
  <c r="I8" i="26"/>
  <c r="I10" i="26" s="1"/>
  <c r="K9" i="22"/>
  <c r="D22" i="22"/>
  <c r="F38" i="32"/>
  <c r="F50" i="32"/>
  <c r="F49" i="32"/>
  <c r="G10" i="22"/>
  <c r="F10" i="22"/>
  <c r="J10" i="22"/>
  <c r="D17" i="22"/>
  <c r="F26" i="32"/>
  <c r="F39" i="32"/>
  <c r="F27" i="32"/>
  <c r="F16" i="32"/>
  <c r="F15" i="32"/>
  <c r="F4" i="32"/>
  <c r="F5" i="32"/>
  <c r="M28" i="14" l="1"/>
  <c r="K10" i="22"/>
  <c r="D25" i="22"/>
  <c r="D26" i="22" s="1"/>
  <c r="I9" i="22"/>
  <c r="H9" i="22"/>
  <c r="H10" i="22" l="1"/>
  <c r="I10" i="22"/>
  <c r="N30" i="30" l="1"/>
  <c r="N31" i="30"/>
  <c r="N32" i="30"/>
  <c r="N33" i="30"/>
  <c r="H33" i="30"/>
  <c r="J43" i="30"/>
  <c r="H43" i="30"/>
  <c r="N37" i="30"/>
  <c r="N38" i="30"/>
  <c r="N36" i="30"/>
  <c r="N29" i="30"/>
  <c r="N39" i="30"/>
  <c r="N40" i="30"/>
  <c r="N41" i="30"/>
  <c r="N42" i="30"/>
  <c r="H27" i="30"/>
  <c r="N27" i="30" s="1"/>
  <c r="N19" i="30"/>
  <c r="N20" i="30"/>
  <c r="N21" i="30"/>
  <c r="N22" i="30"/>
  <c r="N23" i="30"/>
  <c r="N24" i="30"/>
  <c r="N25" i="30"/>
  <c r="N26" i="30"/>
  <c r="N6" i="30"/>
  <c r="N7" i="30"/>
  <c r="N8" i="30"/>
  <c r="N9" i="30"/>
  <c r="N10" i="30"/>
  <c r="N11" i="30"/>
  <c r="N12" i="30"/>
  <c r="N13" i="30"/>
  <c r="N14" i="30"/>
  <c r="N16" i="30"/>
  <c r="N17" i="30"/>
  <c r="N18" i="30"/>
  <c r="N5" i="30"/>
  <c r="D60" i="28"/>
  <c r="F10" i="19" l="1"/>
  <c r="F13" i="19" s="1"/>
  <c r="E14" i="14"/>
  <c r="K43" i="30"/>
  <c r="E4" i="19"/>
  <c r="E22" i="19" s="1"/>
  <c r="E60" i="28"/>
  <c r="F60" i="28" s="1"/>
  <c r="G60" i="28" s="1"/>
  <c r="H60" i="28" s="1"/>
  <c r="I60" i="28" s="1"/>
  <c r="J60" i="28" s="1"/>
  <c r="K60" i="28" s="1"/>
  <c r="L60" i="28" s="1"/>
  <c r="M60" i="28" s="1"/>
  <c r="E3" i="28"/>
  <c r="E3" i="26"/>
  <c r="F13" i="26" s="1"/>
  <c r="F14" i="26" s="1"/>
  <c r="E4" i="22"/>
  <c r="E3" i="20"/>
  <c r="E10" i="20" s="1"/>
  <c r="E4" i="14"/>
  <c r="E22" i="14" s="1"/>
  <c r="F4" i="15"/>
  <c r="G4" i="15" s="1"/>
  <c r="H4" i="15" s="1"/>
  <c r="I4" i="15" s="1"/>
  <c r="J4" i="15" s="1"/>
  <c r="K4" i="15" s="1"/>
  <c r="L4" i="15" s="1"/>
  <c r="M4" i="15" s="1"/>
  <c r="N4" i="15" s="1"/>
  <c r="E4" i="18"/>
  <c r="F3" i="28" l="1"/>
  <c r="D4" i="43"/>
  <c r="D8" i="18"/>
  <c r="E33" i="18"/>
  <c r="E19" i="20"/>
  <c r="E24" i="20" s="1"/>
  <c r="E13" i="20"/>
  <c r="E27" i="14"/>
  <c r="F4" i="18"/>
  <c r="E11" i="18"/>
  <c r="E19" i="18"/>
  <c r="E9" i="26"/>
  <c r="E21" i="26"/>
  <c r="F24" i="26" s="1"/>
  <c r="F3" i="20"/>
  <c r="F10" i="20" s="1"/>
  <c r="F3" i="26"/>
  <c r="G13" i="26" s="1"/>
  <c r="F4" i="22"/>
  <c r="E11" i="22"/>
  <c r="E13" i="22" s="1"/>
  <c r="E14" i="22"/>
  <c r="E20" i="22"/>
  <c r="F4" i="19"/>
  <c r="F22" i="19" s="1"/>
  <c r="E11" i="19"/>
  <c r="F4" i="14"/>
  <c r="F22" i="14" s="1"/>
  <c r="F11" i="14"/>
  <c r="F14" i="14" s="1"/>
  <c r="E16" i="14"/>
  <c r="E5" i="28" s="1"/>
  <c r="G13" i="19"/>
  <c r="F15" i="19"/>
  <c r="F48" i="28" s="1"/>
  <c r="E13" i="19"/>
  <c r="E15" i="19" s="1"/>
  <c r="E48" i="28" s="1"/>
  <c r="D27" i="14"/>
  <c r="G3" i="28" l="1"/>
  <c r="E4" i="43"/>
  <c r="E27" i="26"/>
  <c r="E8" i="18"/>
  <c r="E23" i="18" s="1"/>
  <c r="E25" i="18" s="1"/>
  <c r="E26" i="18" s="1"/>
  <c r="E27" i="18" s="1"/>
  <c r="E14" i="28" s="1"/>
  <c r="F33" i="18"/>
  <c r="E35" i="18"/>
  <c r="F4" i="42"/>
  <c r="F19" i="20"/>
  <c r="F24" i="20" s="1"/>
  <c r="F13" i="20"/>
  <c r="F27" i="14"/>
  <c r="E38" i="18"/>
  <c r="G4" i="18"/>
  <c r="F11" i="18"/>
  <c r="F19" i="18"/>
  <c r="E25" i="22"/>
  <c r="F9" i="26"/>
  <c r="F8" i="28" s="1"/>
  <c r="F21" i="26"/>
  <c r="G14" i="19"/>
  <c r="G15" i="19"/>
  <c r="G48" i="28" s="1"/>
  <c r="G3" i="20"/>
  <c r="G10" i="20" s="1"/>
  <c r="G3" i="26"/>
  <c r="H13" i="26" s="1"/>
  <c r="F14" i="19"/>
  <c r="F16" i="19" s="1"/>
  <c r="F47" i="28" s="1"/>
  <c r="F22" i="28" s="1"/>
  <c r="F23" i="28" s="1"/>
  <c r="E5" i="43" s="1"/>
  <c r="F25" i="19"/>
  <c r="G4" i="22"/>
  <c r="F11" i="22"/>
  <c r="F13" i="22" s="1"/>
  <c r="F14" i="22"/>
  <c r="F20" i="22"/>
  <c r="E15" i="22"/>
  <c r="G4" i="19"/>
  <c r="F11" i="19"/>
  <c r="E25" i="19"/>
  <c r="F8" i="15"/>
  <c r="F16" i="14"/>
  <c r="F5" i="28" s="1"/>
  <c r="G4" i="14"/>
  <c r="G22" i="14" s="1"/>
  <c r="G11" i="14"/>
  <c r="G14" i="14" s="1"/>
  <c r="E24" i="14"/>
  <c r="E28" i="14" s="1"/>
  <c r="E14" i="19"/>
  <c r="D25" i="19"/>
  <c r="D26" i="19" s="1"/>
  <c r="D28" i="14"/>
  <c r="H3" i="28" l="1"/>
  <c r="F4" i="43"/>
  <c r="F27" i="26"/>
  <c r="G24" i="26"/>
  <c r="F8" i="18"/>
  <c r="F23" i="18" s="1"/>
  <c r="F25" i="18" s="1"/>
  <c r="F26" i="18" s="1"/>
  <c r="F27" i="18" s="1"/>
  <c r="F14" i="28" s="1"/>
  <c r="G33" i="18"/>
  <c r="E39" i="18"/>
  <c r="G4" i="42"/>
  <c r="G12" i="20"/>
  <c r="G19" i="20"/>
  <c r="G24" i="20" s="1"/>
  <c r="G13" i="20"/>
  <c r="G16" i="19"/>
  <c r="G27" i="14"/>
  <c r="F38" i="18"/>
  <c r="H4" i="18"/>
  <c r="G11" i="18"/>
  <c r="G19" i="18"/>
  <c r="F25" i="22"/>
  <c r="G9" i="26"/>
  <c r="G14" i="26" s="1"/>
  <c r="G8" i="28" s="1"/>
  <c r="G21" i="26"/>
  <c r="H24" i="26" s="1"/>
  <c r="G11" i="19"/>
  <c r="G22" i="19"/>
  <c r="G16" i="14"/>
  <c r="H3" i="20"/>
  <c r="H10" i="20" s="1"/>
  <c r="H3" i="26"/>
  <c r="I13" i="26" s="1"/>
  <c r="G8" i="15"/>
  <c r="F15" i="22"/>
  <c r="E11" i="28"/>
  <c r="E22" i="22"/>
  <c r="E26" i="22" s="1"/>
  <c r="H4" i="22"/>
  <c r="G11" i="22"/>
  <c r="G13" i="22" s="1"/>
  <c r="G14" i="22"/>
  <c r="G20" i="22"/>
  <c r="G25" i="22" s="1"/>
  <c r="F24" i="14"/>
  <c r="F28" i="14" s="1"/>
  <c r="F17" i="15"/>
  <c r="F26" i="15" s="1"/>
  <c r="H4" i="19"/>
  <c r="F24" i="19"/>
  <c r="F26" i="19" s="1"/>
  <c r="G22" i="42" s="1"/>
  <c r="H4" i="14"/>
  <c r="H22" i="14" s="1"/>
  <c r="H11" i="14"/>
  <c r="H14" i="14" s="1"/>
  <c r="E16" i="19"/>
  <c r="E47" i="28" s="1"/>
  <c r="E22" i="28" s="1"/>
  <c r="E23" i="28" s="1"/>
  <c r="D5" i="43" s="1"/>
  <c r="I3" i="28" l="1"/>
  <c r="G4" i="43"/>
  <c r="G27" i="26"/>
  <c r="G8" i="18"/>
  <c r="G23" i="18" s="1"/>
  <c r="H33" i="18"/>
  <c r="H38" i="18" s="1"/>
  <c r="F35" i="18"/>
  <c r="F39" i="18" s="1"/>
  <c r="G24" i="14"/>
  <c r="G5" i="28"/>
  <c r="G24" i="19"/>
  <c r="G47" i="28"/>
  <c r="G22" i="28" s="1"/>
  <c r="G23" i="28" s="1"/>
  <c r="F5" i="43" s="1"/>
  <c r="H19" i="20"/>
  <c r="H24" i="20" s="1"/>
  <c r="H13" i="20"/>
  <c r="H4" i="42"/>
  <c r="H27" i="14"/>
  <c r="E41" i="28"/>
  <c r="E43" i="28" s="1"/>
  <c r="E19" i="28" s="1"/>
  <c r="F6" i="42"/>
  <c r="G28" i="14"/>
  <c r="G25" i="18"/>
  <c r="G26" i="18" s="1"/>
  <c r="G27" i="18" s="1"/>
  <c r="G14" i="28" s="1"/>
  <c r="G38" i="18"/>
  <c r="I4" i="18"/>
  <c r="H11" i="18"/>
  <c r="H19" i="18"/>
  <c r="F23" i="26"/>
  <c r="H9" i="26"/>
  <c r="H14" i="26" s="1"/>
  <c r="H8" i="28" s="1"/>
  <c r="H21" i="26"/>
  <c r="H11" i="19"/>
  <c r="H22" i="19"/>
  <c r="H16" i="14"/>
  <c r="I3" i="20"/>
  <c r="I10" i="20" s="1"/>
  <c r="I3" i="26"/>
  <c r="J13" i="26" s="1"/>
  <c r="H8" i="15"/>
  <c r="G25" i="19"/>
  <c r="G15" i="22"/>
  <c r="G22" i="22" s="1"/>
  <c r="I4" i="22"/>
  <c r="H11" i="22"/>
  <c r="H13" i="22" s="1"/>
  <c r="H14" i="22"/>
  <c r="H20" i="22"/>
  <c r="H25" i="22" s="1"/>
  <c r="F11" i="28"/>
  <c r="F22" i="22"/>
  <c r="F26" i="22" s="1"/>
  <c r="I4" i="19"/>
  <c r="E24" i="19"/>
  <c r="E26" i="19" s="1"/>
  <c r="I4" i="14"/>
  <c r="I22" i="14" s="1"/>
  <c r="I11" i="14"/>
  <c r="I14" i="14" s="1"/>
  <c r="G17" i="15"/>
  <c r="G26" i="15" s="1"/>
  <c r="J7" i="20"/>
  <c r="J3" i="28" l="1"/>
  <c r="H4" i="43"/>
  <c r="H27" i="26"/>
  <c r="I24" i="26"/>
  <c r="H8" i="18"/>
  <c r="H23" i="18" s="1"/>
  <c r="I33" i="18"/>
  <c r="G26" i="19"/>
  <c r="H24" i="14"/>
  <c r="H5" i="28"/>
  <c r="I19" i="20"/>
  <c r="I24" i="20" s="1"/>
  <c r="I13" i="20"/>
  <c r="I4" i="42"/>
  <c r="H28" i="14"/>
  <c r="E49" i="28"/>
  <c r="I27" i="14"/>
  <c r="F41" i="28"/>
  <c r="F43" i="28" s="1"/>
  <c r="F19" i="28" s="1"/>
  <c r="G6" i="42"/>
  <c r="G8" i="42" s="1"/>
  <c r="G21" i="42" s="1"/>
  <c r="G37" i="42" s="1"/>
  <c r="H25" i="18"/>
  <c r="H26" i="18" s="1"/>
  <c r="H27" i="18" s="1"/>
  <c r="H14" i="28" s="1"/>
  <c r="J4" i="18"/>
  <c r="I11" i="18"/>
  <c r="I19" i="18"/>
  <c r="I24" i="18" s="1"/>
  <c r="G35" i="18"/>
  <c r="G39" i="18" s="1"/>
  <c r="G23" i="26"/>
  <c r="I9" i="26"/>
  <c r="I14" i="26" s="1"/>
  <c r="I8" i="28" s="1"/>
  <c r="I21" i="26"/>
  <c r="I11" i="19"/>
  <c r="I22" i="19"/>
  <c r="J8" i="20"/>
  <c r="K7" i="20"/>
  <c r="J3" i="20"/>
  <c r="J10" i="20" s="1"/>
  <c r="J3" i="26"/>
  <c r="H25" i="19"/>
  <c r="H26" i="19" s="1"/>
  <c r="I8" i="15"/>
  <c r="H15" i="22"/>
  <c r="H22" i="22" s="1"/>
  <c r="E17" i="15"/>
  <c r="E26" i="15" s="1"/>
  <c r="J4" i="22"/>
  <c r="I11" i="22"/>
  <c r="I13" i="22" s="1"/>
  <c r="I14" i="22"/>
  <c r="I20" i="22"/>
  <c r="G11" i="28"/>
  <c r="G26" i="22"/>
  <c r="J4" i="19"/>
  <c r="H17" i="15"/>
  <c r="H26" i="15" s="1"/>
  <c r="J4" i="14"/>
  <c r="J22" i="14" s="1"/>
  <c r="J11" i="14"/>
  <c r="J14" i="14" s="1"/>
  <c r="D24" i="20"/>
  <c r="D25" i="20" s="1"/>
  <c r="K3" i="28" l="1"/>
  <c r="I4" i="43"/>
  <c r="I27" i="26"/>
  <c r="J24" i="26"/>
  <c r="J9" i="26"/>
  <c r="J14" i="26" s="1"/>
  <c r="I8" i="18"/>
  <c r="I23" i="18" s="1"/>
  <c r="I25" i="18" s="1"/>
  <c r="I26" i="18" s="1"/>
  <c r="I27" i="18" s="1"/>
  <c r="I14" i="28" s="1"/>
  <c r="J33" i="18"/>
  <c r="J38" i="18" s="1"/>
  <c r="I38" i="18"/>
  <c r="I24" i="14"/>
  <c r="I28" i="14" s="1"/>
  <c r="I5" i="28"/>
  <c r="J4" i="42"/>
  <c r="J19" i="20"/>
  <c r="J24" i="20" s="1"/>
  <c r="J13" i="20"/>
  <c r="F49" i="28"/>
  <c r="D41" i="28"/>
  <c r="E6" i="42"/>
  <c r="G41" i="28"/>
  <c r="G43" i="28" s="1"/>
  <c r="G19" i="28" s="1"/>
  <c r="H6" i="42"/>
  <c r="H8" i="42" s="1"/>
  <c r="H21" i="42" s="1"/>
  <c r="H37" i="42" s="1"/>
  <c r="J27" i="14"/>
  <c r="J9" i="20"/>
  <c r="J12" i="20" s="1"/>
  <c r="K4" i="18"/>
  <c r="J11" i="18"/>
  <c r="J19" i="18"/>
  <c r="J24" i="18" s="1"/>
  <c r="H35" i="18"/>
  <c r="H39" i="18" s="1"/>
  <c r="I25" i="22"/>
  <c r="H11" i="28"/>
  <c r="H23" i="26"/>
  <c r="I23" i="26"/>
  <c r="J21" i="26"/>
  <c r="J11" i="19"/>
  <c r="J22" i="19"/>
  <c r="K8" i="20"/>
  <c r="K3" i="20"/>
  <c r="K10" i="20" s="1"/>
  <c r="K3" i="26"/>
  <c r="I25" i="19"/>
  <c r="I26" i="19" s="1"/>
  <c r="J8" i="15"/>
  <c r="I15" i="22"/>
  <c r="I22" i="22" s="1"/>
  <c r="I17" i="15"/>
  <c r="I26" i="15" s="1"/>
  <c r="K4" i="22"/>
  <c r="J11" i="22"/>
  <c r="J13" i="22" s="1"/>
  <c r="J14" i="22"/>
  <c r="J20" i="22"/>
  <c r="H26" i="22"/>
  <c r="K4" i="19"/>
  <c r="K4" i="14"/>
  <c r="K22" i="14" s="1"/>
  <c r="K11" i="14"/>
  <c r="K14" i="14" s="1"/>
  <c r="F9" i="20"/>
  <c r="F12" i="20" s="1"/>
  <c r="E9" i="20"/>
  <c r="L3" i="28" l="1"/>
  <c r="J4" i="43"/>
  <c r="J27" i="26"/>
  <c r="K24" i="26"/>
  <c r="D43" i="28"/>
  <c r="J8" i="28"/>
  <c r="K9" i="26"/>
  <c r="J8" i="18"/>
  <c r="J23" i="18" s="1"/>
  <c r="J25" i="18" s="1"/>
  <c r="J26" i="18" s="1"/>
  <c r="J27" i="18" s="1"/>
  <c r="J14" i="28" s="1"/>
  <c r="K33" i="18"/>
  <c r="K38" i="18" s="1"/>
  <c r="J24" i="14"/>
  <c r="J28" i="14" s="1"/>
  <c r="J5" i="28"/>
  <c r="K4" i="42"/>
  <c r="K19" i="20"/>
  <c r="K24" i="20" s="1"/>
  <c r="K13" i="20"/>
  <c r="G49" i="28"/>
  <c r="H41" i="28"/>
  <c r="H43" i="28" s="1"/>
  <c r="H19" i="28" s="1"/>
  <c r="I6" i="42"/>
  <c r="I8" i="42" s="1"/>
  <c r="I21" i="42" s="1"/>
  <c r="I37" i="42" s="1"/>
  <c r="K27" i="14"/>
  <c r="I35" i="18"/>
  <c r="I39" i="18" s="1"/>
  <c r="L4" i="18"/>
  <c r="K11" i="18"/>
  <c r="K19" i="18"/>
  <c r="K24" i="18" s="1"/>
  <c r="I11" i="28"/>
  <c r="J25" i="22"/>
  <c r="K21" i="26"/>
  <c r="K11" i="19"/>
  <c r="K22" i="19"/>
  <c r="L3" i="20"/>
  <c r="K9" i="20"/>
  <c r="K12" i="20" s="1"/>
  <c r="L3" i="26"/>
  <c r="J25" i="19"/>
  <c r="J26" i="19" s="1"/>
  <c r="K8" i="15"/>
  <c r="J17" i="15"/>
  <c r="J26" i="15" s="1"/>
  <c r="J15" i="22"/>
  <c r="J22" i="22" s="1"/>
  <c r="I26" i="22"/>
  <c r="L4" i="22"/>
  <c r="K11" i="22"/>
  <c r="K13" i="22" s="1"/>
  <c r="K14" i="22"/>
  <c r="K20" i="22"/>
  <c r="L4" i="19"/>
  <c r="L4" i="14"/>
  <c r="L22" i="14" s="1"/>
  <c r="E12" i="20"/>
  <c r="M3" i="28" l="1"/>
  <c r="L4" i="43" s="1"/>
  <c r="K4" i="43"/>
  <c r="K27" i="26"/>
  <c r="L24" i="26"/>
  <c r="D19" i="28"/>
  <c r="D21" i="28" s="1"/>
  <c r="D24" i="28" s="1"/>
  <c r="D49" i="28"/>
  <c r="K14" i="26"/>
  <c r="K8" i="28" s="1"/>
  <c r="L9" i="26"/>
  <c r="K8" i="18"/>
  <c r="K23" i="18" s="1"/>
  <c r="L33" i="18"/>
  <c r="K5" i="28"/>
  <c r="L19" i="20"/>
  <c r="L24" i="20" s="1"/>
  <c r="L4" i="42"/>
  <c r="H49" i="28"/>
  <c r="I41" i="28"/>
  <c r="J6" i="42"/>
  <c r="J8" i="42" s="1"/>
  <c r="J21" i="42" s="1"/>
  <c r="J37" i="42" s="1"/>
  <c r="L27" i="14"/>
  <c r="K25" i="18"/>
  <c r="L11" i="18"/>
  <c r="L19" i="18"/>
  <c r="J35" i="18"/>
  <c r="J39" i="18" s="1"/>
  <c r="K25" i="22"/>
  <c r="J23" i="26"/>
  <c r="L21" i="26"/>
  <c r="K25" i="19"/>
  <c r="K26" i="19" s="1"/>
  <c r="L11" i="19"/>
  <c r="L22" i="19"/>
  <c r="K24" i="14"/>
  <c r="K28" i="14" s="1"/>
  <c r="M3" i="26"/>
  <c r="M9" i="26" s="1"/>
  <c r="L8" i="15"/>
  <c r="K17" i="15"/>
  <c r="K26" i="15" s="1"/>
  <c r="K15" i="22"/>
  <c r="L23" i="22" s="1"/>
  <c r="M4" i="22"/>
  <c r="L20" i="22"/>
  <c r="L25" i="22" s="1"/>
  <c r="J26" i="22"/>
  <c r="J11" i="28"/>
  <c r="M4" i="19"/>
  <c r="M4" i="14"/>
  <c r="F14" i="20"/>
  <c r="F10" i="28" s="1"/>
  <c r="F21" i="28" s="1"/>
  <c r="F24" i="28" s="1"/>
  <c r="H9" i="20"/>
  <c r="H12" i="20" s="1"/>
  <c r="I9" i="20"/>
  <c r="I12" i="20" s="1"/>
  <c r="E14" i="20"/>
  <c r="E10" i="28" s="1"/>
  <c r="E21" i="28" s="1"/>
  <c r="E24" i="28" s="1"/>
  <c r="L27" i="26" l="1"/>
  <c r="M24" i="26"/>
  <c r="S37" i="42" s="1"/>
  <c r="D50" i="28" s="1"/>
  <c r="D53" i="28" s="1"/>
  <c r="D46" i="28"/>
  <c r="I43" i="28"/>
  <c r="M14" i="26"/>
  <c r="M8" i="28" s="1"/>
  <c r="L14" i="26"/>
  <c r="L8" i="28" s="1"/>
  <c r="L38" i="18"/>
  <c r="E95" i="28"/>
  <c r="L26" i="22"/>
  <c r="M4" i="42"/>
  <c r="J41" i="28"/>
  <c r="J43" i="28" s="1"/>
  <c r="J19" i="28" s="1"/>
  <c r="K6" i="42"/>
  <c r="K8" i="42" s="1"/>
  <c r="K21" i="42" s="1"/>
  <c r="K37" i="42" s="1"/>
  <c r="E87" i="28"/>
  <c r="K26" i="18"/>
  <c r="K27" i="18" s="1"/>
  <c r="K11" i="28"/>
  <c r="K22" i="22"/>
  <c r="K26" i="22" s="1"/>
  <c r="K23" i="26"/>
  <c r="M21" i="26"/>
  <c r="L25" i="19"/>
  <c r="L26" i="19" s="1"/>
  <c r="M11" i="19"/>
  <c r="M22" i="19"/>
  <c r="L28" i="14"/>
  <c r="B29" i="14" s="1"/>
  <c r="L21" i="20"/>
  <c r="K14" i="20"/>
  <c r="L22" i="20" s="1"/>
  <c r="E21" i="20"/>
  <c r="E25" i="20" s="1"/>
  <c r="F21" i="20"/>
  <c r="F25" i="20" s="1"/>
  <c r="L17" i="15"/>
  <c r="L26" i="15" s="1"/>
  <c r="M8" i="15"/>
  <c r="I14" i="20"/>
  <c r="I10" i="28" s="1"/>
  <c r="H14" i="20"/>
  <c r="H10" i="28" s="1"/>
  <c r="H21" i="28" s="1"/>
  <c r="H24" i="28" s="1"/>
  <c r="G14" i="20"/>
  <c r="G10" i="28" s="1"/>
  <c r="G21" i="28" s="1"/>
  <c r="G24" i="28" s="1"/>
  <c r="J14" i="20"/>
  <c r="J10" i="28" s="1"/>
  <c r="I19" i="28" l="1"/>
  <c r="I21" i="28" s="1"/>
  <c r="I24" i="28" s="1"/>
  <c r="I49" i="28"/>
  <c r="B27" i="22"/>
  <c r="L35" i="18"/>
  <c r="L14" i="28"/>
  <c r="L36" i="18"/>
  <c r="K14" i="28"/>
  <c r="K21" i="20"/>
  <c r="K25" i="20" s="1"/>
  <c r="K10" i="28"/>
  <c r="J21" i="28"/>
  <c r="J24" i="28" s="1"/>
  <c r="M27" i="26"/>
  <c r="N4" i="42"/>
  <c r="O4" i="42" s="1"/>
  <c r="J49" i="28"/>
  <c r="K41" i="28"/>
  <c r="K43" i="28" s="1"/>
  <c r="K19" i="28" s="1"/>
  <c r="L6" i="42"/>
  <c r="E88" i="28"/>
  <c r="K35" i="18"/>
  <c r="K39" i="18" s="1"/>
  <c r="L22" i="22"/>
  <c r="L11" i="28"/>
  <c r="L23" i="26"/>
  <c r="M25" i="19"/>
  <c r="M26" i="19" s="1"/>
  <c r="B28" i="19" s="1"/>
  <c r="M17" i="15"/>
  <c r="M26" i="15" s="1"/>
  <c r="E46" i="28"/>
  <c r="H21" i="20"/>
  <c r="H25" i="20" s="1"/>
  <c r="I21" i="20"/>
  <c r="I25" i="20" s="1"/>
  <c r="J21" i="20"/>
  <c r="J25" i="20" s="1"/>
  <c r="G21" i="20"/>
  <c r="G25" i="20" s="1"/>
  <c r="N8" i="15"/>
  <c r="K103" i="28" l="1"/>
  <c r="L25" i="20"/>
  <c r="B26" i="20" s="1"/>
  <c r="L39" i="18"/>
  <c r="B40" i="18" s="1"/>
  <c r="K21" i="28"/>
  <c r="K24" i="28" s="1"/>
  <c r="J28" i="26"/>
  <c r="K28" i="26"/>
  <c r="N17" i="42"/>
  <c r="L28" i="26"/>
  <c r="C17" i="42"/>
  <c r="K49" i="28"/>
  <c r="L41" i="28"/>
  <c r="L43" i="28" s="1"/>
  <c r="L19" i="28" s="1"/>
  <c r="M6" i="42"/>
  <c r="E90" i="28"/>
  <c r="M11" i="28"/>
  <c r="M23" i="26"/>
  <c r="B29" i="19"/>
  <c r="G50" i="28"/>
  <c r="G46" i="28"/>
  <c r="J46" i="28"/>
  <c r="J50" i="28"/>
  <c r="I46" i="28"/>
  <c r="I50" i="28"/>
  <c r="H46" i="28"/>
  <c r="H50" i="28"/>
  <c r="N17" i="15"/>
  <c r="M25" i="26" l="1"/>
  <c r="B27" i="20"/>
  <c r="L21" i="28"/>
  <c r="L24" i="28" s="1"/>
  <c r="L17" i="42"/>
  <c r="F28" i="26"/>
  <c r="G17" i="42"/>
  <c r="G18" i="42" s="1"/>
  <c r="E28" i="26"/>
  <c r="F17" i="42"/>
  <c r="F8" i="42" s="1"/>
  <c r="D28" i="26"/>
  <c r="E17" i="42"/>
  <c r="E8" i="42" s="1"/>
  <c r="I28" i="26"/>
  <c r="J22" i="42" s="1"/>
  <c r="J17" i="42"/>
  <c r="J18" i="42" s="1"/>
  <c r="G28" i="26"/>
  <c r="H17" i="42"/>
  <c r="H18" i="42" s="1"/>
  <c r="K17" i="42"/>
  <c r="K18" i="42" s="1"/>
  <c r="M17" i="42"/>
  <c r="M18" i="42" s="1"/>
  <c r="H28" i="26"/>
  <c r="I17" i="42"/>
  <c r="I18" i="42" s="1"/>
  <c r="B28" i="22"/>
  <c r="L49" i="28"/>
  <c r="K46" i="28"/>
  <c r="B30" i="14"/>
  <c r="N26" i="15"/>
  <c r="C27" i="15" s="1"/>
  <c r="B41" i="18"/>
  <c r="K50" i="28"/>
  <c r="M26" i="26" l="1"/>
  <c r="M48" i="28" s="1"/>
  <c r="M47" i="28"/>
  <c r="M28" i="26"/>
  <c r="E18" i="42"/>
  <c r="B29" i="26"/>
  <c r="L50" i="28"/>
  <c r="B30" i="26"/>
  <c r="L46" i="28"/>
  <c r="F18" i="42"/>
  <c r="F21" i="42"/>
  <c r="F37" i="42" s="1"/>
  <c r="M41" i="28"/>
  <c r="M43" i="28" s="1"/>
  <c r="M19" i="28" s="1"/>
  <c r="N6" i="42"/>
  <c r="O6" i="42" s="1"/>
  <c r="C105" i="28"/>
  <c r="M22" i="28" l="1"/>
  <c r="M23" i="28" s="1"/>
  <c r="L5" i="43"/>
  <c r="M5" i="43" s="1"/>
  <c r="P4" i="42"/>
  <c r="S28" i="42" s="1"/>
  <c r="N18" i="42"/>
  <c r="C106" i="28"/>
  <c r="F107" i="28" s="1"/>
  <c r="M21" i="28"/>
  <c r="M24" i="28" s="1"/>
  <c r="M49" i="28"/>
  <c r="I56" i="28" l="1"/>
  <c r="T29" i="42"/>
  <c r="M100" i="28" s="1"/>
  <c r="T31" i="42"/>
  <c r="M101" i="28" s="1"/>
  <c r="T32" i="42"/>
  <c r="M93" i="28" s="1"/>
  <c r="T36" i="42"/>
  <c r="M98" i="28" s="1"/>
  <c r="T33" i="42"/>
  <c r="M102" i="28" s="1"/>
  <c r="T30" i="42"/>
  <c r="M99" i="28" s="1"/>
  <c r="T35" i="42"/>
  <c r="M97" i="28" s="1"/>
  <c r="T34" i="42"/>
  <c r="M96" i="28" s="1"/>
  <c r="T37" i="42"/>
  <c r="T39" i="42"/>
  <c r="M50" i="28"/>
  <c r="M46" i="28"/>
  <c r="F50" i="28"/>
  <c r="F46" i="28"/>
  <c r="M103" i="28" l="1"/>
  <c r="E50" i="28"/>
  <c r="D55" i="28" s="1"/>
  <c r="T28" i="42"/>
  <c r="M92" i="28" s="1"/>
  <c r="K92" i="28"/>
  <c r="S38" i="42"/>
  <c r="K88" i="28" s="1"/>
  <c r="C8" i="42"/>
  <c r="H53" i="28" l="1"/>
  <c r="K53" i="28"/>
  <c r="M53" i="28"/>
  <c r="J53" i="28"/>
  <c r="F53" i="28"/>
  <c r="E53" i="28"/>
  <c r="I53" i="28"/>
  <c r="G53" i="28"/>
  <c r="L53" i="28"/>
  <c r="L8" i="42"/>
  <c r="L18" i="42" s="1"/>
  <c r="O18" i="42" s="1"/>
  <c r="D54" i="28"/>
  <c r="T38" i="42"/>
  <c r="M88" i="28" s="1"/>
  <c r="K106" i="28"/>
  <c r="C18" i="42"/>
  <c r="S27" i="42"/>
  <c r="E21" i="42"/>
  <c r="E37" i="42" s="1"/>
  <c r="L21" i="42" l="1"/>
  <c r="L37" i="42" s="1"/>
  <c r="E23" i="42"/>
  <c r="F23" i="42" l="1"/>
  <c r="E24" i="42"/>
  <c r="E36" i="42" s="1"/>
  <c r="D52" i="28" s="1"/>
  <c r="D51" i="28" s="1"/>
  <c r="F24" i="42" l="1"/>
  <c r="F36" i="42" s="1"/>
  <c r="E52" i="28" s="1"/>
  <c r="E51" i="28" s="1"/>
  <c r="G33" i="42"/>
  <c r="G23" i="42" l="1"/>
  <c r="H33" i="42" l="1"/>
  <c r="H23" i="42"/>
  <c r="G24" i="42"/>
  <c r="G36" i="42" s="1"/>
  <c r="F52" i="28" s="1"/>
  <c r="F51" i="28" s="1"/>
  <c r="I23" i="42" l="1"/>
  <c r="H24" i="42"/>
  <c r="H36" i="42" s="1"/>
  <c r="G52" i="28" s="1"/>
  <c r="G51" i="28" s="1"/>
  <c r="I33" i="42"/>
  <c r="I24" i="42" l="1"/>
  <c r="I36" i="42" s="1"/>
  <c r="H52" i="28" s="1"/>
  <c r="H51" i="28" s="1"/>
  <c r="J32" i="42"/>
  <c r="J33" i="42" s="1"/>
  <c r="J23" i="42"/>
  <c r="K32" i="42" l="1"/>
  <c r="K33" i="42" s="1"/>
  <c r="K23" i="42"/>
  <c r="J24" i="42"/>
  <c r="J36" i="42" s="1"/>
  <c r="I52" i="28" s="1"/>
  <c r="I51" i="28" s="1"/>
  <c r="L31" i="42" l="1"/>
  <c r="L32" i="42" s="1"/>
  <c r="L23" i="42"/>
  <c r="M23" i="42" s="1"/>
  <c r="N22" i="42" s="1"/>
  <c r="K24" i="42"/>
  <c r="K36" i="42" s="1"/>
  <c r="J52" i="28" s="1"/>
  <c r="J51" i="28" s="1"/>
  <c r="M31" i="42" l="1"/>
  <c r="L33" i="42"/>
  <c r="L24" i="42"/>
  <c r="L36" i="42" l="1"/>
  <c r="K52" i="28" s="1"/>
  <c r="K51" i="28" s="1"/>
  <c r="N23" i="42"/>
  <c r="M24" i="42"/>
  <c r="N24" i="42" l="1"/>
  <c r="M32" i="42"/>
  <c r="M33" i="42" l="1"/>
  <c r="M36" i="42" s="1"/>
  <c r="L52" i="28" s="1"/>
  <c r="L51" i="28" s="1"/>
  <c r="N32" i="42"/>
  <c r="N33" i="42" l="1"/>
  <c r="N36" i="42" s="1"/>
  <c r="M52" i="28" s="1"/>
  <c r="M51" i="28" s="1"/>
  <c r="D56" i="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tc={DB4DAFD9-38C0-4AF2-B987-8F68A9AE1A7E}</author>
  </authors>
  <commentList>
    <comment ref="E24" authorId="0" shapeId="0" xr:uid="{DB4DAFD9-38C0-4AF2-B987-8F68A9AE1A7E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many retail open, *0.2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tc={005D3338-C2CB-49FC-91F2-E2792FDAF640}</author>
  </authors>
  <commentList>
    <comment ref="F25" authorId="0" shapeId="0" xr:uid="{005D3338-C2CB-49FC-91F2-E2792FDAF640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much retail open yet. *0.5</t>
      </text>
    </comment>
  </commentList>
</comments>
</file>

<file path=xl/sharedStrings.xml><?xml version="1.0" encoding="utf-8"?>
<sst xmlns="http://schemas.openxmlformats.org/spreadsheetml/2006/main" count="746" uniqueCount="311">
  <si>
    <t>Summary Pro Forma</t>
  </si>
  <si>
    <t>Team</t>
  </si>
  <si>
    <t>Year 0</t>
  </si>
  <si>
    <t>Phase I</t>
  </si>
  <si>
    <t xml:space="preserve">Net Operating Income </t>
  </si>
  <si>
    <t>Market-rate</t>
  </si>
  <si>
    <t>Rental Housing</t>
  </si>
  <si>
    <t>For-Sale Housing</t>
  </si>
  <si>
    <t>Workforce</t>
  </si>
  <si>
    <t>Affordable</t>
  </si>
  <si>
    <t>Office/Commercial</t>
  </si>
  <si>
    <t>Market-rate Retail</t>
  </si>
  <si>
    <t>Affordable Retail</t>
  </si>
  <si>
    <t>Hotel</t>
  </si>
  <si>
    <t>Structured Parking</t>
  </si>
  <si>
    <t>Surface Parking</t>
  </si>
  <si>
    <t>Underground Parking</t>
  </si>
  <si>
    <t>Demolition</t>
  </si>
  <si>
    <t>Remediation</t>
  </si>
  <si>
    <t>Development Fees</t>
  </si>
  <si>
    <t>Other</t>
  </si>
  <si>
    <t>Total Net Operating Income</t>
  </si>
  <si>
    <t>Income from Sales Proceeds</t>
  </si>
  <si>
    <t>Total Income</t>
  </si>
  <si>
    <t>Development Costs</t>
  </si>
  <si>
    <t>Retail (ALL)</t>
  </si>
  <si>
    <t>Land Acquisition</t>
  </si>
  <si>
    <t>Total Infrastructure</t>
  </si>
  <si>
    <t>Indirect costs</t>
  </si>
  <si>
    <t>Total Development Costs</t>
  </si>
  <si>
    <t>Annual Cash Flow</t>
  </si>
  <si>
    <t>Net Operating Income</t>
  </si>
  <si>
    <t xml:space="preserve">Total Asset Value </t>
  </si>
  <si>
    <t>Total Costs of Sale</t>
  </si>
  <si>
    <t>Net Cash Flow</t>
  </si>
  <si>
    <t>Leveraged Net Cash Flow</t>
  </si>
  <si>
    <t>Debt Service</t>
  </si>
  <si>
    <t>Net Present Value</t>
  </si>
  <si>
    <t>Loan to Value Ratio (LVR)</t>
  </si>
  <si>
    <t>Unleveraged IRR Before Taxes</t>
  </si>
  <si>
    <t>Current Site Value (start of Year 0)</t>
  </si>
  <si>
    <t>Leveraged IRR Before Taxes</t>
  </si>
  <si>
    <t>Projected Site Value (end of Year 10)</t>
  </si>
  <si>
    <t>2. Multiyear Development Program</t>
  </si>
  <si>
    <t>Year-by-Year Cumulative Absorption</t>
  </si>
  <si>
    <t>Total Buildout</t>
  </si>
  <si>
    <t>Project Buildout by Development Units</t>
  </si>
  <si>
    <t>(units)</t>
  </si>
  <si>
    <t>(rooms)</t>
  </si>
  <si>
    <t>(spaces)</t>
  </si>
  <si>
    <t>Project Buildout by Area</t>
  </si>
  <si>
    <t>(s.f.)</t>
  </si>
  <si>
    <t>Total</t>
  </si>
  <si>
    <t>3. Unit Development and Infrastructure Costs</t>
  </si>
  <si>
    <t>4. Equity and Financing Sources</t>
  </si>
  <si>
    <t>Unit Cost</t>
  </si>
  <si>
    <t>Total Costs</t>
  </si>
  <si>
    <t>Amount</t>
  </si>
  <si>
    <t>($ per unit)</t>
  </si>
  <si>
    <t>Equity Sources (total)</t>
  </si>
  <si>
    <t>($ per s.f.)</t>
  </si>
  <si>
    <t>Financing Sources (total)</t>
  </si>
  <si>
    <t>($ per room)</t>
  </si>
  <si>
    <t>($ per space)</t>
  </si>
  <si>
    <t>Infrastructure Costs</t>
  </si>
  <si>
    <t>Public</t>
  </si>
  <si>
    <t>Private</t>
  </si>
  <si>
    <t>Roads</t>
  </si>
  <si>
    <t>Utilities</t>
  </si>
  <si>
    <t>Public Subsidies (total, if any)</t>
  </si>
  <si>
    <t>Other Hardscaping (not incl. surf. pkg.)</t>
  </si>
  <si>
    <t>Landscaping</t>
  </si>
  <si>
    <t>Other Amenities</t>
  </si>
  <si>
    <t>Acquisition Taxes and Fees</t>
  </si>
  <si>
    <t>Total Infrastructure Costs</t>
  </si>
  <si>
    <t>factors</t>
  </si>
  <si>
    <t>Inflation Factor</t>
  </si>
  <si>
    <t xml:space="preserve">Commercial Infrastructure </t>
  </si>
  <si>
    <t>Retail</t>
  </si>
  <si>
    <t>Subtotal</t>
  </si>
  <si>
    <t xml:space="preserve">Other Infrastructure </t>
  </si>
  <si>
    <t>Park/Landscaping</t>
  </si>
  <si>
    <t xml:space="preserve">Total Infrastructure Costs </t>
  </si>
  <si>
    <t>Net Present Value of Costs</t>
  </si>
  <si>
    <t>Revenue Assumptions</t>
  </si>
  <si>
    <t>Projected Unit Absorption</t>
  </si>
  <si>
    <t>Average Unit Size</t>
  </si>
  <si>
    <t>Net Rentable Area</t>
  </si>
  <si>
    <t>Monthly Rent per s.f.</t>
  </si>
  <si>
    <t>Occupancy Factor</t>
  </si>
  <si>
    <t>Gross Lease Revenues</t>
  </si>
  <si>
    <t>Annual Operating Expenses per s.f.</t>
  </si>
  <si>
    <t>Percent Built by Year</t>
  </si>
  <si>
    <t>Asset Value</t>
  </si>
  <si>
    <t>Costs of Sale</t>
  </si>
  <si>
    <t>Assumptions</t>
  </si>
  <si>
    <t>Number of Units Sold</t>
  </si>
  <si>
    <t>Net Usable Area</t>
  </si>
  <si>
    <t>Sale Price per s.f.</t>
  </si>
  <si>
    <t>Sale Revenues</t>
  </si>
  <si>
    <t>Builder Profit</t>
  </si>
  <si>
    <t>Cost of Sales</t>
  </si>
  <si>
    <t>Equity</t>
  </si>
  <si>
    <t>Built</t>
  </si>
  <si>
    <t>GLA Absorbed</t>
  </si>
  <si>
    <t>Vacancy Factor</t>
  </si>
  <si>
    <t>Leasing Revenues</t>
  </si>
  <si>
    <t>Operations and Maintenance Expenser per s.f.</t>
  </si>
  <si>
    <t>Operations and Maintenance Expenses per s.f.</t>
  </si>
  <si>
    <t>Structured Parking Spaces</t>
  </si>
  <si>
    <t>Monthly Parking Fee</t>
  </si>
  <si>
    <t>Allocation to Monthly Use</t>
  </si>
  <si>
    <t>Percent Occupancy by Monthly Contracts</t>
  </si>
  <si>
    <t>Nonwork Days</t>
  </si>
  <si>
    <t>Daily Parking Hours</t>
  </si>
  <si>
    <t>Percent Utilization</t>
  </si>
  <si>
    <t>Work Days</t>
  </si>
  <si>
    <t>Hourly Parking Rate</t>
  </si>
  <si>
    <t>Expenses</t>
  </si>
  <si>
    <t>Operating Expenses (Percent of Gross Revenue)</t>
  </si>
  <si>
    <t>Parking Revenue</t>
  </si>
  <si>
    <t>Monthly Parking</t>
  </si>
  <si>
    <t>Hourly Parking</t>
  </si>
  <si>
    <t>Total Parking Revenue</t>
  </si>
  <si>
    <t>2022-2023</t>
  </si>
  <si>
    <t>Block</t>
  </si>
  <si>
    <t>NO</t>
  </si>
  <si>
    <t>Parcel#</t>
  </si>
  <si>
    <t>Lot  Size</t>
  </si>
  <si>
    <t>Building Size</t>
  </si>
  <si>
    <t>Land Use Code</t>
  </si>
  <si>
    <t>Land Value</t>
  </si>
  <si>
    <t>Improvements</t>
  </si>
  <si>
    <t>New Construction</t>
  </si>
  <si>
    <t>Total Market Value</t>
  </si>
  <si>
    <t>Total Assessed Value</t>
  </si>
  <si>
    <t>Total Taxable Value</t>
  </si>
  <si>
    <t>A</t>
  </si>
  <si>
    <t>B</t>
  </si>
  <si>
    <t>E</t>
  </si>
  <si>
    <t>G</t>
  </si>
  <si>
    <t>Office</t>
  </si>
  <si>
    <t>1-217-27-5</t>
  </si>
  <si>
    <t>0300- 	Exempt Public Agency</t>
  </si>
  <si>
    <t> 1-217-43</t>
  </si>
  <si>
    <t>7310 - Condominium - residential live/work unit</t>
  </si>
  <si>
    <t>1-217-18-4</t>
  </si>
  <si>
    <t>1-217-25-2</t>
  </si>
  <si>
    <t>1-217-24-2</t>
  </si>
  <si>
    <t>1-217-23-1</t>
  </si>
  <si>
    <t>1-217-23-3</t>
  </si>
  <si>
    <t>2500 - 2 units, lesser quality than 2200 or unknown legal</t>
  </si>
  <si>
    <t>Residntial</t>
  </si>
  <si>
    <t>1-217-19-1</t>
  </si>
  <si>
    <t>1-217-20</t>
  </si>
  <si>
    <t>2400 - Four living units; e.g. fourplex or triplex w/SFR</t>
  </si>
  <si>
    <t>1-217-21</t>
  </si>
  <si>
    <t>1100 - 	Single family residential homes used as such</t>
  </si>
  <si>
    <t>1-217-22</t>
  </si>
  <si>
    <t>2600 - 	3 units, lesser quality than 2300 or unknown legal</t>
  </si>
  <si>
    <t>1-209-5</t>
  </si>
  <si>
    <t>3200 - Store/Office with Apts/Lofts</t>
  </si>
  <si>
    <t>1-209-7</t>
  </si>
  <si>
    <t>1-209-18</t>
  </si>
  <si>
    <t>2200 -  Double or duplex type - two units</t>
  </si>
  <si>
    <t>1-209-17</t>
  </si>
  <si>
    <t>1-209-16</t>
  </si>
  <si>
    <t>1-209-8-1</t>
  </si>
  <si>
    <t>8901 - 	SRO Hotel</t>
  </si>
  <si>
    <t>1-209-9</t>
  </si>
  <si>
    <t>8300 - parkging lot</t>
  </si>
  <si>
    <t>1-209-10</t>
  </si>
  <si>
    <t>1-209-11</t>
  </si>
  <si>
    <t>1-209-15</t>
  </si>
  <si>
    <t>3100 - Single-tenant Retail Store</t>
  </si>
  <si>
    <t>1-209-14-1</t>
  </si>
  <si>
    <t>3600 - Restaurant - small or in-line walk-in restaurant / café</t>
  </si>
  <si>
    <t>3000- Vacant commercial land (may include misc. imps)</t>
  </si>
  <si>
    <t>1-129-20</t>
  </si>
  <si>
    <t>1150 - Historical residential</t>
  </si>
  <si>
    <t>3200- Store/Office with Apts/Lofts</t>
  </si>
  <si>
    <t>1-129-21</t>
  </si>
  <si>
    <t>1-129-22</t>
  </si>
  <si>
    <t>1-129-16</t>
  </si>
  <si>
    <t>1-129-17</t>
  </si>
  <si>
    <t>1-129-18</t>
  </si>
  <si>
    <t>9400 - 	One to five story office building</t>
  </si>
  <si>
    <t>9401 - 	One to five story office building</t>
  </si>
  <si>
    <t>1-129-19</t>
  </si>
  <si>
    <t>1-129-7-1</t>
  </si>
  <si>
    <t>reuse?</t>
  </si>
  <si>
    <t>1-221-14-3</t>
  </si>
  <si>
    <t>7000- Vacant apartment land, capable of 5 or more units</t>
  </si>
  <si>
    <t>1-221-14-4</t>
  </si>
  <si>
    <t>1-221-14-2</t>
  </si>
  <si>
    <t>1-221-14-5</t>
  </si>
  <si>
    <t>SF</t>
  </si>
  <si>
    <t>`</t>
  </si>
  <si>
    <t>Phase II</t>
  </si>
  <si>
    <t>Phare I</t>
  </si>
  <si>
    <t>Phare III</t>
  </si>
  <si>
    <t>Phare II</t>
  </si>
  <si>
    <t>Parcel I</t>
  </si>
  <si>
    <t>Parcel II</t>
  </si>
  <si>
    <t>Parcel III</t>
  </si>
  <si>
    <t>Parcel IV</t>
  </si>
  <si>
    <t>Community Space</t>
  </si>
  <si>
    <t>Total Unit</t>
  </si>
  <si>
    <t>Average Size</t>
  </si>
  <si>
    <t>% sf</t>
  </si>
  <si>
    <t>% unit</t>
  </si>
  <si>
    <t>Afforad rate</t>
  </si>
  <si>
    <t>Market R</t>
  </si>
  <si>
    <t>Market S</t>
  </si>
  <si>
    <t>Afforard R</t>
  </si>
  <si>
    <t>office</t>
  </si>
  <si>
    <t>retail</t>
  </si>
  <si>
    <t>Market-rate Rental</t>
  </si>
  <si>
    <t>Affordable Rental Housing</t>
  </si>
  <si>
    <t>Market-rate Sale</t>
  </si>
  <si>
    <t>Unit Built by Year</t>
  </si>
  <si>
    <t>Phase III</t>
  </si>
  <si>
    <t>Built by Year Units</t>
  </si>
  <si>
    <t>Yearly rent per s.f</t>
  </si>
  <si>
    <t>Parking - office</t>
  </si>
  <si>
    <t>Parking - retail</t>
  </si>
  <si>
    <t xml:space="preserve">Spaces Built by Year </t>
  </si>
  <si>
    <t>Office/Commercial s.f</t>
  </si>
  <si>
    <t>Retail s.f</t>
  </si>
  <si>
    <t>Number of Spaces hour spaces</t>
  </si>
  <si>
    <t xml:space="preserve">Yearly Income per Hourly Parking </t>
  </si>
  <si>
    <t>UnderBridge</t>
  </si>
  <si>
    <t>Inflation Factor for income</t>
  </si>
  <si>
    <t>Inflation Factor for cost</t>
  </si>
  <si>
    <t>Parcel V</t>
  </si>
  <si>
    <t xml:space="preserve">Parking - residential </t>
  </si>
  <si>
    <t>2022 5122</t>
  </si>
  <si>
    <t>Affordable retail lease per s.f</t>
  </si>
  <si>
    <t>Lease per s.f.</t>
  </si>
  <si>
    <t>Affordable retail percent</t>
  </si>
  <si>
    <t>Parking - community space</t>
  </si>
  <si>
    <t>Levered cash flow</t>
  </si>
  <si>
    <t>Annual Operating Expenses s.f</t>
  </si>
  <si>
    <t>Built s.f</t>
  </si>
  <si>
    <t>Rentable percent</t>
  </si>
  <si>
    <t>Total Parking</t>
  </si>
  <si>
    <t>Parking Spaces</t>
  </si>
  <si>
    <t>Development Costs 30000 psf</t>
  </si>
  <si>
    <t>Low Income Investment Fund (LIIF)</t>
  </si>
  <si>
    <t>Qualified Opportunity Fund (QOF)</t>
  </si>
  <si>
    <t>Infrastructure Costs 300 punit</t>
  </si>
  <si>
    <t>LIHTC Equity</t>
  </si>
  <si>
    <t>Construction Loan</t>
  </si>
  <si>
    <t>climate resilient fund</t>
  </si>
  <si>
    <t>Developer Equity</t>
  </si>
  <si>
    <t>Development Cost</t>
  </si>
  <si>
    <t>Land Cost</t>
  </si>
  <si>
    <t>Infrastureture Cost</t>
  </si>
  <si>
    <t>Capital Stack</t>
  </si>
  <si>
    <t>% LTC</t>
  </si>
  <si>
    <t>interest rate</t>
  </si>
  <si>
    <t>finanacing fee</t>
  </si>
  <si>
    <t>Commericial Equity Financing</t>
  </si>
  <si>
    <t>Affordable Hosing Trust Fund Loan</t>
  </si>
  <si>
    <t>Enhanced Infrastructure Financing District Loan</t>
  </si>
  <si>
    <t>Infill Infrastructure Grant</t>
  </si>
  <si>
    <t>LIHTC</t>
  </si>
  <si>
    <t xml:space="preserve">Added to loan </t>
  </si>
  <si>
    <t>Paid off</t>
  </si>
  <si>
    <t>Loan balance</t>
  </si>
  <si>
    <t>Interest</t>
  </si>
  <si>
    <t>Cost of sale</t>
  </si>
  <si>
    <t>defer tax to 2026</t>
  </si>
  <si>
    <t>Enhanced Infrastructure Financing District Loan (EIFD)</t>
  </si>
  <si>
    <t>Commercial Equity Loan</t>
  </si>
  <si>
    <t>California Roars Back</t>
  </si>
  <si>
    <t>Community Economic Resilience Fund</t>
  </si>
  <si>
    <t>include in development</t>
  </si>
  <si>
    <t>Affordable Leasing Revenues</t>
  </si>
  <si>
    <t>Total debt interest</t>
  </si>
  <si>
    <t>outstanding debt</t>
  </si>
  <si>
    <t>Infrastructure Costs 20 psf</t>
  </si>
  <si>
    <t>Infrastructure Costs 450 psf</t>
  </si>
  <si>
    <t>check -</t>
  </si>
  <si>
    <t>Climate resilient fund</t>
  </si>
  <si>
    <t>s</t>
  </si>
  <si>
    <t>total parking</t>
  </si>
  <si>
    <t>%</t>
  </si>
  <si>
    <t>Total/catogery</t>
  </si>
  <si>
    <t>Infrastructure Costst 40 psf</t>
  </si>
  <si>
    <t>Development Costs 500 psf</t>
  </si>
  <si>
    <t>Land Lease/FAR</t>
  </si>
  <si>
    <t xml:space="preserve">Green/Blue Corridor </t>
  </si>
  <si>
    <t>Development Costs 220 psf</t>
  </si>
  <si>
    <t>Development Costs 17000 punit</t>
  </si>
  <si>
    <t xml:space="preserve">Community Benefit Trust </t>
  </si>
  <si>
    <t xml:space="preserve">community benefit trust </t>
  </si>
  <si>
    <t>FAR 500 million</t>
  </si>
  <si>
    <t>Prinicipal</t>
  </si>
  <si>
    <t>FAR Calculation</t>
  </si>
  <si>
    <t xml:space="preserve">Bound interest </t>
  </si>
  <si>
    <t>Duration(month)</t>
  </si>
  <si>
    <t>Monthly</t>
  </si>
  <si>
    <t xml:space="preserve">Annually </t>
  </si>
  <si>
    <t>https://homeguides.sfgate.com/calculate-payments-fixed-rate-mortgage-2963.html</t>
  </si>
  <si>
    <t xml:space="preserve"> </t>
  </si>
  <si>
    <t>Infrastructure Costs per 40 psf</t>
  </si>
  <si>
    <t>Development Costs 300 psf</t>
  </si>
  <si>
    <t>Development Costs 450 psf</t>
  </si>
  <si>
    <t>Development Costs per 420 psf</t>
  </si>
  <si>
    <t>Solar Panels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</si>
</sst>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_(* #,##0.0_);_(* \(#,##0.0\);_(* &quot;-&quot;?_);_(@_)"/>
    <numFmt numFmtId="167" formatCode="_(* #,##0_);_(* \(#,##0\);_(* &quot;-&quot;?_);_(@_)"/>
    <numFmt numFmtId="168" formatCode="0.0%"/>
    <numFmt numFmtId="169" formatCode="_(* #,##0.0_);_(* \(#,##0.0\);_(* &quot;-&quot;??_);_(@_)"/>
    <numFmt numFmtId="170" formatCode="0.0000%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12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name val="Arial"/>
      <family val="2"/>
    </font>
    <font>
      <sz val="8"/>
      <color rgb="FF323232"/>
      <name val="Arial"/>
      <family val="2"/>
    </font>
    <font>
      <b/>
      <sz val="11"/>
      <color rgb="FF000000"/>
      <name val="Arial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3"/>
      <color rgb="FF111111"/>
      <name val="Montserrat-regular"/>
    </font>
    <font>
      <sz val="12"/>
      <color rgb="FF1A1A1A"/>
      <name val="Arial"/>
      <family val="2"/>
    </font>
    <font>
      <sz val="11"/>
      <color rgb="FF222222"/>
      <name val="Merriweather"/>
    </font>
    <font>
      <sz val="12"/>
      <color rgb="FF666666"/>
      <name val="Arial"/>
      <family val="2"/>
    </font>
    <font>
      <sz val="10"/>
      <color theme="9" tint="-0.249977111117893"/>
      <name val="Arial Narrow"/>
      <family val="2"/>
    </font>
    <font>
      <sz val="10"/>
      <color theme="9" tint="-0.249977111117893"/>
      <name val="Arial"/>
      <family val="2"/>
    </font>
    <font>
      <b/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556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EB7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theme="4" tint="0.59999389629810485"/>
        <bgColor rgb="FF000000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9" tint="0.39997558519241921"/>
      </left>
      <right/>
      <top/>
      <bottom/>
      <diagonal/>
    </border>
    <border>
      <left/>
      <right style="thin">
        <color theme="6" tint="0.59999389629810485"/>
      </right>
      <top style="thin">
        <color theme="6" tint="0.59999389629810485"/>
      </top>
      <bottom/>
      <diagonal/>
    </border>
    <border>
      <left/>
      <right style="thin">
        <color theme="6" tint="0.59999389629810485"/>
      </right>
      <top/>
      <bottom/>
      <diagonal/>
    </border>
    <border>
      <left/>
      <right style="thin">
        <color theme="6" tint="0.59999389629810485"/>
      </right>
      <top/>
      <bottom style="thin">
        <color theme="6" tint="0.59999389629810485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0" fontId="16" fillId="0" borderId="0"/>
  </cellStyleXfs>
  <cellXfs count="77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9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4" fillId="0" borderId="4" xfId="0" applyFont="1" applyBorder="1"/>
    <xf numFmtId="9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3" fillId="0" borderId="5" xfId="0" applyFont="1" applyBorder="1" applyAlignment="1">
      <alignment horizontal="right"/>
    </xf>
    <xf numFmtId="0" fontId="4" fillId="0" borderId="5" xfId="0" applyFont="1" applyBorder="1"/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9" fontId="3" fillId="0" borderId="3" xfId="0" applyNumberFormat="1" applyFont="1" applyFill="1" applyBorder="1" applyAlignment="1">
      <alignment horizontal="center"/>
    </xf>
    <xf numFmtId="9" fontId="3" fillId="0" borderId="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right" wrapText="1"/>
    </xf>
    <xf numFmtId="9" fontId="3" fillId="0" borderId="3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5" xfId="0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" xfId="0" applyFont="1" applyFill="1" applyBorder="1"/>
    <xf numFmtId="10" fontId="3" fillId="0" borderId="5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9" fontId="3" fillId="0" borderId="5" xfId="0" applyNumberFormat="1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0" fontId="4" fillId="0" borderId="5" xfId="0" applyFont="1" applyFill="1" applyBorder="1"/>
    <xf numFmtId="10" fontId="3" fillId="0" borderId="5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9" fontId="3" fillId="0" borderId="6" xfId="0" applyNumberFormat="1" applyFont="1" applyFill="1" applyBorder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10" fontId="3" fillId="0" borderId="7" xfId="0" applyNumberFormat="1" applyFont="1" applyFill="1" applyBorder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0" fontId="3" fillId="0" borderId="0" xfId="1" applyFont="1" applyAlignment="1">
      <alignment vertical="center"/>
    </xf>
    <xf numFmtId="0" fontId="3" fillId="0" borderId="10" xfId="1" applyFont="1" applyBorder="1"/>
    <xf numFmtId="0" fontId="3" fillId="0" borderId="10" xfId="1" applyFont="1" applyBorder="1" applyAlignment="1">
      <alignment horizontal="left"/>
    </xf>
    <xf numFmtId="0" fontId="3" fillId="0" borderId="0" xfId="1" applyFont="1"/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3" fillId="0" borderId="13" xfId="1" applyFont="1" applyBorder="1"/>
    <xf numFmtId="0" fontId="3" fillId="0" borderId="2" xfId="1" applyFont="1" applyBorder="1"/>
    <xf numFmtId="0" fontId="3" fillId="0" borderId="3" xfId="1" applyFont="1" applyBorder="1" applyAlignment="1">
      <alignment horizontal="center"/>
    </xf>
    <xf numFmtId="0" fontId="3" fillId="0" borderId="14" xfId="1" applyFont="1" applyFill="1" applyBorder="1"/>
    <xf numFmtId="0" fontId="3" fillId="0" borderId="3" xfId="1" applyFont="1" applyFill="1" applyBorder="1"/>
    <xf numFmtId="0" fontId="3" fillId="0" borderId="1" xfId="1" applyFont="1" applyFill="1" applyBorder="1"/>
    <xf numFmtId="0" fontId="4" fillId="0" borderId="4" xfId="1" applyFont="1" applyBorder="1"/>
    <xf numFmtId="0" fontId="3" fillId="0" borderId="7" xfId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9" fontId="3" fillId="0" borderId="3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right"/>
    </xf>
    <xf numFmtId="0" fontId="4" fillId="0" borderId="6" xfId="1" applyFont="1" applyBorder="1"/>
    <xf numFmtId="0" fontId="3" fillId="0" borderId="6" xfId="1" applyFont="1" applyBorder="1" applyAlignment="1">
      <alignment horizontal="center"/>
    </xf>
    <xf numFmtId="0" fontId="3" fillId="0" borderId="6" xfId="1" applyFont="1" applyFill="1" applyBorder="1"/>
    <xf numFmtId="0" fontId="4" fillId="0" borderId="1" xfId="1" applyFont="1" applyBorder="1"/>
    <xf numFmtId="0" fontId="4" fillId="0" borderId="17" xfId="1" applyFont="1" applyFill="1" applyBorder="1"/>
    <xf numFmtId="0" fontId="3" fillId="0" borderId="9" xfId="1" applyFont="1" applyFill="1" applyBorder="1"/>
    <xf numFmtId="0" fontId="3" fillId="0" borderId="18" xfId="1" applyFont="1" applyFill="1" applyBorder="1"/>
    <xf numFmtId="0" fontId="3" fillId="0" borderId="0" xfId="1" applyFont="1" applyAlignment="1">
      <alignment horizontal="center"/>
    </xf>
    <xf numFmtId="0" fontId="4" fillId="0" borderId="0" xfId="1" applyFont="1" applyBorder="1" applyAlignment="1">
      <alignment horizontal="left" vertical="center"/>
    </xf>
    <xf numFmtId="0" fontId="3" fillId="0" borderId="2" xfId="1" applyFont="1" applyBorder="1" applyAlignment="1">
      <alignment horizontal="center"/>
    </xf>
    <xf numFmtId="0" fontId="3" fillId="0" borderId="20" xfId="1" applyFont="1" applyFill="1" applyBorder="1"/>
    <xf numFmtId="0" fontId="3" fillId="0" borderId="5" xfId="1" applyFont="1" applyFill="1" applyBorder="1"/>
    <xf numFmtId="0" fontId="3" fillId="0" borderId="13" xfId="1" applyFont="1" applyFill="1" applyBorder="1"/>
    <xf numFmtId="0" fontId="3" fillId="0" borderId="2" xfId="1" applyFont="1" applyFill="1" applyBorder="1"/>
    <xf numFmtId="0" fontId="3" fillId="0" borderId="21" xfId="1" applyFont="1" applyBorder="1" applyAlignment="1">
      <alignment horizont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wrapText="1"/>
    </xf>
    <xf numFmtId="0" fontId="3" fillId="0" borderId="2" xfId="1" applyFont="1" applyBorder="1" applyAlignment="1">
      <alignment horizontal="right"/>
    </xf>
    <xf numFmtId="0" fontId="3" fillId="0" borderId="3" xfId="1" applyFont="1" applyBorder="1"/>
    <xf numFmtId="0" fontId="3" fillId="0" borderId="5" xfId="1" applyFont="1" applyBorder="1"/>
    <xf numFmtId="0" fontId="3" fillId="0" borderId="0" xfId="1" applyFont="1" applyBorder="1"/>
    <xf numFmtId="0" fontId="4" fillId="0" borderId="8" xfId="1" applyFont="1" applyFill="1" applyBorder="1"/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10" fillId="0" borderId="3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7" fillId="2" borderId="8" xfId="1" applyFont="1" applyFill="1" applyBorder="1" applyAlignment="1">
      <alignment horizontal="right" vertical="center"/>
    </xf>
    <xf numFmtId="0" fontId="7" fillId="2" borderId="9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" fillId="0" borderId="0" xfId="0" applyFont="1"/>
    <xf numFmtId="0" fontId="3" fillId="0" borderId="3" xfId="1" applyFont="1" applyBorder="1" applyAlignment="1">
      <alignment horizontal="right"/>
    </xf>
    <xf numFmtId="0" fontId="3" fillId="0" borderId="5" xfId="1" applyFont="1" applyBorder="1" applyAlignment="1">
      <alignment horizont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3" fillId="0" borderId="5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9" fillId="0" borderId="0" xfId="3" applyFont="1"/>
    <xf numFmtId="1" fontId="12" fillId="3" borderId="25" xfId="3" applyNumberFormat="1" applyFont="1" applyFill="1" applyBorder="1"/>
    <xf numFmtId="4" fontId="13" fillId="0" borderId="0" xfId="0" applyNumberFormat="1" applyFont="1"/>
    <xf numFmtId="0" fontId="13" fillId="0" borderId="0" xfId="0" applyFont="1"/>
    <xf numFmtId="0" fontId="13" fillId="4" borderId="26" xfId="0" applyFont="1" applyFill="1" applyBorder="1" applyAlignment="1">
      <alignment horizontal="left" vertical="center" wrapText="1"/>
    </xf>
    <xf numFmtId="1" fontId="0" fillId="0" borderId="0" xfId="0" applyNumberFormat="1"/>
    <xf numFmtId="1" fontId="13" fillId="0" borderId="0" xfId="0" applyNumberFormat="1" applyFont="1"/>
    <xf numFmtId="3" fontId="0" fillId="0" borderId="0" xfId="0" applyNumberFormat="1"/>
    <xf numFmtId="3" fontId="13" fillId="0" borderId="0" xfId="0" applyNumberFormat="1" applyFont="1"/>
    <xf numFmtId="0" fontId="9" fillId="0" borderId="0" xfId="0" applyFont="1"/>
    <xf numFmtId="6" fontId="13" fillId="0" borderId="0" xfId="0" applyNumberFormat="1" applyFont="1"/>
    <xf numFmtId="0" fontId="13" fillId="4" borderId="0" xfId="0" applyFont="1" applyFill="1" applyBorder="1" applyAlignment="1">
      <alignment horizontal="left" vertical="center" wrapText="1"/>
    </xf>
    <xf numFmtId="164" fontId="0" fillId="0" borderId="0" xfId="2" applyNumberFormat="1" applyFont="1"/>
    <xf numFmtId="164" fontId="0" fillId="0" borderId="0" xfId="0" applyNumberFormat="1"/>
    <xf numFmtId="9" fontId="3" fillId="0" borderId="3" xfId="0" applyNumberFormat="1" applyFont="1" applyFill="1" applyBorder="1" applyAlignment="1">
      <alignment horizontal="right"/>
    </xf>
    <xf numFmtId="9" fontId="3" fillId="0" borderId="0" xfId="0" applyNumberFormat="1" applyFont="1"/>
    <xf numFmtId="9" fontId="3" fillId="0" borderId="0" xfId="0" applyNumberFormat="1" applyFont="1" applyAlignment="1">
      <alignment horizontal="center"/>
    </xf>
    <xf numFmtId="43" fontId="3" fillId="0" borderId="0" xfId="0" applyNumberFormat="1" applyFont="1"/>
    <xf numFmtId="165" fontId="3" fillId="0" borderId="4" xfId="0" applyNumberFormat="1" applyFont="1" applyFill="1" applyBorder="1" applyAlignment="1">
      <alignment horizontal="center"/>
    </xf>
    <xf numFmtId="8" fontId="3" fillId="0" borderId="3" xfId="0" applyNumberFormat="1" applyFont="1" applyFill="1" applyBorder="1" applyAlignment="1">
      <alignment horizontal="center"/>
    </xf>
    <xf numFmtId="164" fontId="3" fillId="0" borderId="0" xfId="2" applyNumberFormat="1" applyFont="1"/>
    <xf numFmtId="9" fontId="3" fillId="0" borderId="0" xfId="4" applyFont="1"/>
    <xf numFmtId="9" fontId="3" fillId="0" borderId="0" xfId="4" applyFont="1" applyAlignment="1">
      <alignment horizontal="center"/>
    </xf>
    <xf numFmtId="167" fontId="3" fillId="0" borderId="0" xfId="0" applyNumberFormat="1" applyFont="1" applyAlignment="1">
      <alignment horizontal="center"/>
    </xf>
    <xf numFmtId="164" fontId="3" fillId="0" borderId="0" xfId="0" applyNumberFormat="1" applyFont="1"/>
    <xf numFmtId="6" fontId="3" fillId="0" borderId="2" xfId="0" applyNumberFormat="1" applyFont="1" applyFill="1" applyBorder="1" applyAlignment="1">
      <alignment horizontal="center"/>
    </xf>
    <xf numFmtId="9" fontId="14" fillId="0" borderId="3" xfId="0" applyNumberFormat="1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0" fontId="1" fillId="0" borderId="0" xfId="0" applyFont="1" applyFill="1" applyBorder="1"/>
    <xf numFmtId="164" fontId="1" fillId="0" borderId="0" xfId="2" applyNumberFormat="1" applyFont="1"/>
    <xf numFmtId="9" fontId="0" fillId="0" borderId="0" xfId="4" applyFont="1"/>
    <xf numFmtId="9" fontId="1" fillId="0" borderId="0" xfId="4" applyFont="1"/>
    <xf numFmtId="43" fontId="0" fillId="0" borderId="0" xfId="0" applyNumberFormat="1"/>
    <xf numFmtId="168" fontId="0" fillId="0" borderId="0" xfId="4" applyNumberFormat="1" applyFont="1"/>
    <xf numFmtId="2" fontId="0" fillId="0" borderId="0" xfId="4" applyNumberFormat="1" applyFont="1"/>
    <xf numFmtId="0" fontId="0" fillId="0" borderId="0" xfId="0" applyFill="1"/>
    <xf numFmtId="1" fontId="3" fillId="0" borderId="2" xfId="0" applyNumberFormat="1" applyFont="1" applyFill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8" fontId="3" fillId="0" borderId="2" xfId="0" applyNumberFormat="1" applyFont="1" applyFill="1" applyBorder="1" applyAlignment="1">
      <alignment horizontal="center"/>
    </xf>
    <xf numFmtId="0" fontId="3" fillId="0" borderId="3" xfId="1" applyFont="1" applyBorder="1" applyAlignment="1"/>
    <xf numFmtId="0" fontId="4" fillId="0" borderId="5" xfId="1" applyFont="1" applyBorder="1" applyAlignment="1">
      <alignment horizontal="center"/>
    </xf>
    <xf numFmtId="0" fontId="3" fillId="0" borderId="4" xfId="1" applyFont="1" applyBorder="1" applyAlignment="1"/>
    <xf numFmtId="0" fontId="3" fillId="0" borderId="6" xfId="1" applyFont="1" applyFill="1" applyBorder="1" applyAlignment="1"/>
    <xf numFmtId="0" fontId="3" fillId="0" borderId="5" xfId="1" applyFont="1" applyBorder="1" applyAlignment="1"/>
    <xf numFmtId="0" fontId="3" fillId="0" borderId="2" xfId="1" applyFont="1" applyBorder="1" applyAlignment="1"/>
    <xf numFmtId="0" fontId="1" fillId="0" borderId="1" xfId="1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167" fontId="3" fillId="0" borderId="0" xfId="0" applyNumberFormat="1" applyFont="1"/>
    <xf numFmtId="0" fontId="4" fillId="6" borderId="2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2" fontId="3" fillId="6" borderId="6" xfId="0" applyNumberFormat="1" applyFont="1" applyFill="1" applyBorder="1" applyAlignment="1">
      <alignment horizontal="center"/>
    </xf>
    <xf numFmtId="0" fontId="3" fillId="6" borderId="2" xfId="0" applyFont="1" applyFill="1" applyBorder="1"/>
    <xf numFmtId="164" fontId="3" fillId="0" borderId="2" xfId="2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wrapText="1"/>
    </xf>
    <xf numFmtId="2" fontId="14" fillId="0" borderId="3" xfId="0" applyNumberFormat="1" applyFont="1" applyFill="1" applyBorder="1" applyAlignment="1">
      <alignment horizontal="center" wrapText="1"/>
    </xf>
    <xf numFmtId="169" fontId="0" fillId="0" borderId="0" xfId="0" applyNumberFormat="1"/>
    <xf numFmtId="169" fontId="0" fillId="0" borderId="0" xfId="0" applyNumberFormat="1" applyFill="1"/>
    <xf numFmtId="164" fontId="3" fillId="0" borderId="7" xfId="2" applyNumberFormat="1" applyFont="1" applyFill="1" applyBorder="1" applyAlignment="1">
      <alignment horizontal="right"/>
    </xf>
    <xf numFmtId="0" fontId="14" fillId="0" borderId="0" xfId="0" applyFont="1"/>
    <xf numFmtId="0" fontId="3" fillId="0" borderId="2" xfId="0" applyFont="1" applyBorder="1" applyAlignment="1">
      <alignment horizontal="center"/>
    </xf>
    <xf numFmtId="10" fontId="3" fillId="5" borderId="3" xfId="0" applyNumberFormat="1" applyFont="1" applyFill="1" applyBorder="1" applyAlignment="1">
      <alignment horizontal="center"/>
    </xf>
    <xf numFmtId="164" fontId="3" fillId="6" borderId="3" xfId="2" applyNumberFormat="1" applyFont="1" applyFill="1" applyBorder="1"/>
    <xf numFmtId="164" fontId="3" fillId="5" borderId="3" xfId="2" applyNumberFormat="1" applyFont="1" applyFill="1" applyBorder="1"/>
    <xf numFmtId="164" fontId="3" fillId="6" borderId="7" xfId="2" applyNumberFormat="1" applyFont="1" applyFill="1" applyBorder="1"/>
    <xf numFmtId="164" fontId="3" fillId="6" borderId="5" xfId="2" applyNumberFormat="1" applyFont="1" applyFill="1" applyBorder="1"/>
    <xf numFmtId="164" fontId="3" fillId="6" borderId="2" xfId="2" applyNumberFormat="1" applyFont="1" applyFill="1" applyBorder="1"/>
    <xf numFmtId="0" fontId="6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9" fontId="0" fillId="0" borderId="0" xfId="0" applyNumberFormat="1"/>
    <xf numFmtId="9" fontId="3" fillId="0" borderId="7" xfId="4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10" xfId="0" applyFont="1" applyBorder="1"/>
    <xf numFmtId="164" fontId="3" fillId="0" borderId="3" xfId="0" applyNumberFormat="1" applyFont="1" applyBorder="1"/>
    <xf numFmtId="9" fontId="3" fillId="0" borderId="1" xfId="4" applyFont="1" applyBorder="1" applyAlignment="1">
      <alignment horizontal="center"/>
    </xf>
    <xf numFmtId="8" fontId="3" fillId="0" borderId="5" xfId="0" applyNumberFormat="1" applyFont="1" applyFill="1" applyBorder="1" applyAlignment="1">
      <alignment horizontal="center"/>
    </xf>
    <xf numFmtId="164" fontId="3" fillId="0" borderId="1" xfId="2" applyNumberFormat="1" applyFont="1" applyFill="1" applyBorder="1"/>
    <xf numFmtId="9" fontId="14" fillId="0" borderId="2" xfId="0" applyNumberFormat="1" applyFont="1" applyFill="1" applyBorder="1" applyAlignment="1">
      <alignment horizontal="center"/>
    </xf>
    <xf numFmtId="170" fontId="3" fillId="0" borderId="0" xfId="4" applyNumberFormat="1" applyFont="1"/>
    <xf numFmtId="0" fontId="3" fillId="0" borderId="3" xfId="1" applyFont="1" applyFill="1" applyBorder="1" applyAlignment="1">
      <alignment horizontal="right"/>
    </xf>
    <xf numFmtId="0" fontId="6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3" fillId="0" borderId="4" xfId="1" applyFont="1" applyFill="1" applyBorder="1" applyAlignment="1">
      <alignment horizontal="right"/>
    </xf>
    <xf numFmtId="0" fontId="3" fillId="5" borderId="3" xfId="1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9" fontId="0" fillId="0" borderId="0" xfId="4" applyFont="1" applyFill="1"/>
    <xf numFmtId="164" fontId="0" fillId="0" borderId="0" xfId="0" applyNumberFormat="1" applyFill="1"/>
    <xf numFmtId="0" fontId="7" fillId="2" borderId="9" xfId="1" applyFont="1" applyFill="1" applyBorder="1" applyAlignment="1">
      <alignment horizontal="center" vertical="center"/>
    </xf>
    <xf numFmtId="0" fontId="1" fillId="0" borderId="0" xfId="0" applyFont="1" applyFill="1"/>
    <xf numFmtId="43" fontId="0" fillId="0" borderId="0" xfId="0" applyNumberFormat="1" applyFill="1"/>
    <xf numFmtId="9" fontId="1" fillId="0" borderId="0" xfId="4" applyFont="1" applyFill="1"/>
    <xf numFmtId="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15" fillId="0" borderId="0" xfId="0" applyFont="1" applyBorder="1"/>
    <xf numFmtId="38" fontId="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164" fontId="1" fillId="0" borderId="0" xfId="2" applyNumberFormat="1" applyFont="1" applyBorder="1"/>
    <xf numFmtId="9" fontId="1" fillId="0" borderId="0" xfId="4" applyFont="1" applyBorder="1"/>
    <xf numFmtId="164" fontId="0" fillId="0" borderId="0" xfId="2" applyNumberFormat="1" applyFont="1" applyBorder="1"/>
    <xf numFmtId="9" fontId="0" fillId="0" borderId="0" xfId="4" applyFont="1" applyBorder="1"/>
    <xf numFmtId="169" fontId="0" fillId="0" borderId="0" xfId="2" applyNumberFormat="1" applyFont="1" applyBorder="1"/>
    <xf numFmtId="0" fontId="0" fillId="0" borderId="27" xfId="0" applyBorder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9" fontId="3" fillId="0" borderId="5" xfId="0" applyNumberFormat="1" applyFont="1" applyFill="1" applyBorder="1" applyAlignment="1">
      <alignment horizontal="right"/>
    </xf>
    <xf numFmtId="6" fontId="1" fillId="0" borderId="0" xfId="0" applyNumberFormat="1" applyFont="1"/>
    <xf numFmtId="0" fontId="14" fillId="0" borderId="3" xfId="0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1" fontId="3" fillId="0" borderId="14" xfId="1" applyNumberFormat="1" applyFont="1" applyFill="1" applyBorder="1"/>
    <xf numFmtId="1" fontId="3" fillId="0" borderId="19" xfId="1" applyNumberFormat="1" applyFont="1" applyFill="1" applyBorder="1"/>
    <xf numFmtId="1" fontId="3" fillId="0" borderId="20" xfId="1" applyNumberFormat="1" applyFont="1" applyFill="1" applyBorder="1"/>
    <xf numFmtId="0" fontId="3" fillId="0" borderId="3" xfId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2" fontId="3" fillId="7" borderId="6" xfId="0" applyNumberFormat="1" applyFont="1" applyFill="1" applyBorder="1" applyAlignment="1">
      <alignment horizontal="center"/>
    </xf>
    <xf numFmtId="0" fontId="3" fillId="7" borderId="2" xfId="0" applyFont="1" applyFill="1" applyBorder="1"/>
    <xf numFmtId="164" fontId="3" fillId="7" borderId="3" xfId="2" applyNumberFormat="1" applyFont="1" applyFill="1" applyBorder="1"/>
    <xf numFmtId="164" fontId="3" fillId="7" borderId="7" xfId="2" applyNumberFormat="1" applyFont="1" applyFill="1" applyBorder="1"/>
    <xf numFmtId="164" fontId="3" fillId="7" borderId="5" xfId="2" applyNumberFormat="1" applyFont="1" applyFill="1" applyBorder="1"/>
    <xf numFmtId="164" fontId="3" fillId="7" borderId="2" xfId="2" applyNumberFormat="1" applyFont="1" applyFill="1" applyBorder="1"/>
    <xf numFmtId="0" fontId="3" fillId="5" borderId="0" xfId="1" applyFont="1" applyFill="1" applyAlignment="1">
      <alignment horizontal="center"/>
    </xf>
    <xf numFmtId="0" fontId="3" fillId="5" borderId="22" xfId="1" applyFont="1" applyFill="1" applyBorder="1" applyAlignment="1">
      <alignment horizontal="right" vertical="center"/>
    </xf>
    <xf numFmtId="164" fontId="1" fillId="5" borderId="3" xfId="2" applyNumberFormat="1" applyFont="1" applyFill="1" applyBorder="1" applyAlignment="1"/>
    <xf numFmtId="0" fontId="3" fillId="5" borderId="3" xfId="1" applyFont="1" applyFill="1" applyBorder="1" applyAlignment="1">
      <alignment horizontal="center"/>
    </xf>
    <xf numFmtId="0" fontId="3" fillId="5" borderId="14" xfId="1" applyFont="1" applyFill="1" applyBorder="1"/>
    <xf numFmtId="0" fontId="3" fillId="5" borderId="3" xfId="1" applyFont="1" applyFill="1" applyBorder="1"/>
    <xf numFmtId="0" fontId="3" fillId="5" borderId="3" xfId="1" applyFont="1" applyFill="1" applyBorder="1" applyAlignment="1"/>
    <xf numFmtId="0" fontId="3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1" fontId="0" fillId="0" borderId="0" xfId="0" applyNumberFormat="1" applyBorder="1" applyAlignment="1">
      <alignment horizontal="center"/>
    </xf>
    <xf numFmtId="6" fontId="3" fillId="0" borderId="0" xfId="1" applyNumberFormat="1" applyFont="1"/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8" fontId="3" fillId="0" borderId="14" xfId="2" applyNumberFormat="1" applyFont="1" applyFill="1" applyBorder="1"/>
    <xf numFmtId="38" fontId="3" fillId="0" borderId="3" xfId="2" applyNumberFormat="1" applyFont="1" applyFill="1" applyBorder="1"/>
    <xf numFmtId="38" fontId="3" fillId="0" borderId="12" xfId="2" applyNumberFormat="1" applyFont="1" applyFill="1" applyBorder="1"/>
    <xf numFmtId="38" fontId="3" fillId="0" borderId="16" xfId="2" applyNumberFormat="1" applyFont="1" applyFill="1" applyBorder="1"/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5" borderId="3" xfId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43" fontId="3" fillId="0" borderId="0" xfId="1" applyNumberFormat="1" applyFont="1"/>
    <xf numFmtId="0" fontId="3" fillId="0" borderId="3" xfId="1" applyFont="1" applyFill="1" applyBorder="1" applyAlignment="1">
      <alignment horizontal="right"/>
    </xf>
    <xf numFmtId="0" fontId="1" fillId="0" borderId="4" xfId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6" fontId="1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/>
    </xf>
    <xf numFmtId="9" fontId="3" fillId="0" borderId="1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9" fontId="14" fillId="0" borderId="5" xfId="0" applyNumberFormat="1" applyFont="1" applyFill="1" applyBorder="1" applyAlignment="1">
      <alignment horizontal="center"/>
    </xf>
    <xf numFmtId="164" fontId="1" fillId="0" borderId="0" xfId="0" applyNumberFormat="1" applyFont="1"/>
    <xf numFmtId="164" fontId="0" fillId="8" borderId="0" xfId="0" applyNumberFormat="1" applyFill="1" applyBorder="1"/>
    <xf numFmtId="164" fontId="3" fillId="0" borderId="0" xfId="2" applyNumberFormat="1" applyFont="1" applyFill="1" applyBorder="1" applyAlignment="1">
      <alignment horizontal="center"/>
    </xf>
    <xf numFmtId="0" fontId="3" fillId="0" borderId="3" xfId="0" applyFont="1" applyFill="1" applyBorder="1"/>
    <xf numFmtId="1" fontId="3" fillId="0" borderId="0" xfId="0" applyNumberFormat="1" applyFont="1" applyFill="1" applyBorder="1" applyAlignment="1">
      <alignment horizontal="center"/>
    </xf>
    <xf numFmtId="38" fontId="3" fillId="8" borderId="0" xfId="2" applyNumberFormat="1" applyFont="1" applyFill="1" applyBorder="1" applyAlignment="1">
      <alignment horizontal="right"/>
    </xf>
    <xf numFmtId="6" fontId="3" fillId="0" borderId="0" xfId="0" applyNumberFormat="1" applyFont="1" applyFill="1" applyBorder="1" applyAlignment="1">
      <alignment horizontal="center"/>
    </xf>
    <xf numFmtId="10" fontId="3" fillId="0" borderId="12" xfId="1" applyNumberFormat="1" applyFont="1" applyFill="1" applyBorder="1"/>
    <xf numFmtId="0" fontId="4" fillId="8" borderId="2" xfId="0" applyFont="1" applyFill="1" applyBorder="1" applyAlignment="1">
      <alignment horizontal="center"/>
    </xf>
    <xf numFmtId="0" fontId="8" fillId="8" borderId="2" xfId="1" applyFont="1" applyFill="1" applyBorder="1"/>
    <xf numFmtId="0" fontId="4" fillId="8" borderId="12" xfId="1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2" fontId="3" fillId="8" borderId="6" xfId="0" applyNumberFormat="1" applyFont="1" applyFill="1" applyBorder="1" applyAlignment="1">
      <alignment horizontal="center"/>
    </xf>
    <xf numFmtId="0" fontId="3" fillId="8" borderId="2" xfId="0" applyFont="1" applyFill="1" applyBorder="1"/>
    <xf numFmtId="164" fontId="3" fillId="8" borderId="3" xfId="2" applyNumberFormat="1" applyFont="1" applyFill="1" applyBorder="1"/>
    <xf numFmtId="164" fontId="3" fillId="8" borderId="7" xfId="2" applyNumberFormat="1" applyFont="1" applyFill="1" applyBorder="1"/>
    <xf numFmtId="164" fontId="3" fillId="8" borderId="5" xfId="2" applyNumberFormat="1" applyFont="1" applyFill="1" applyBorder="1"/>
    <xf numFmtId="164" fontId="3" fillId="8" borderId="2" xfId="2" applyNumberFormat="1" applyFont="1" applyFill="1" applyBorder="1"/>
    <xf numFmtId="38" fontId="23" fillId="8" borderId="0" xfId="2" applyNumberFormat="1" applyFont="1" applyFill="1" applyBorder="1" applyAlignment="1">
      <alignment horizontal="right"/>
    </xf>
    <xf numFmtId="0" fontId="4" fillId="8" borderId="2" xfId="0" applyFont="1" applyFill="1" applyBorder="1"/>
    <xf numFmtId="0" fontId="4" fillId="8" borderId="1" xfId="0" applyFont="1" applyFill="1" applyBorder="1" applyAlignment="1">
      <alignment horizontal="center"/>
    </xf>
    <xf numFmtId="164" fontId="3" fillId="8" borderId="3" xfId="2" applyNumberFormat="1" applyFont="1" applyFill="1" applyBorder="1" applyAlignment="1">
      <alignment horizontal="right"/>
    </xf>
    <xf numFmtId="164" fontId="3" fillId="8" borderId="5" xfId="2" applyNumberFormat="1" applyFont="1" applyFill="1" applyBorder="1" applyAlignment="1">
      <alignment horizontal="right"/>
    </xf>
    <xf numFmtId="164" fontId="3" fillId="8" borderId="10" xfId="0" applyNumberFormat="1" applyFont="1" applyFill="1" applyBorder="1" applyAlignment="1">
      <alignment horizontal="right"/>
    </xf>
    <xf numFmtId="164" fontId="3" fillId="8" borderId="10" xfId="2" applyNumberFormat="1" applyFont="1" applyFill="1" applyBorder="1" applyAlignment="1">
      <alignment horizontal="right"/>
    </xf>
    <xf numFmtId="164" fontId="3" fillId="8" borderId="0" xfId="0" applyNumberFormat="1" applyFont="1" applyFill="1" applyBorder="1" applyAlignment="1">
      <alignment horizontal="right"/>
    </xf>
    <xf numFmtId="164" fontId="3" fillId="8" borderId="0" xfId="2" applyNumberFormat="1" applyFont="1" applyFill="1" applyBorder="1" applyAlignment="1">
      <alignment horizontal="right"/>
    </xf>
    <xf numFmtId="1" fontId="3" fillId="8" borderId="0" xfId="4" applyNumberFormat="1" applyFont="1" applyFill="1" applyBorder="1" applyAlignment="1">
      <alignment horizontal="right"/>
    </xf>
    <xf numFmtId="9" fontId="3" fillId="8" borderId="0" xfId="0" applyNumberFormat="1" applyFont="1" applyFill="1" applyBorder="1" applyAlignment="1">
      <alignment horizontal="right"/>
    </xf>
    <xf numFmtId="164" fontId="3" fillId="8" borderId="1" xfId="0" applyNumberFormat="1" applyFont="1" applyFill="1" applyBorder="1"/>
    <xf numFmtId="0" fontId="3" fillId="8" borderId="0" xfId="0" applyFont="1" applyFill="1"/>
    <xf numFmtId="38" fontId="3" fillId="8" borderId="0" xfId="0" applyNumberFormat="1" applyFont="1" applyFill="1" applyBorder="1" applyAlignment="1">
      <alignment horizontal="right"/>
    </xf>
    <xf numFmtId="0" fontId="0" fillId="8" borderId="0" xfId="0" applyFill="1" applyBorder="1"/>
    <xf numFmtId="164" fontId="0" fillId="8" borderId="0" xfId="0" applyNumberFormat="1" applyFill="1"/>
    <xf numFmtId="0" fontId="3" fillId="8" borderId="0" xfId="0" applyFont="1" applyFill="1" applyBorder="1"/>
    <xf numFmtId="2" fontId="3" fillId="8" borderId="3" xfId="0" applyNumberFormat="1" applyFont="1" applyFill="1" applyBorder="1" applyAlignment="1">
      <alignment horizontal="center"/>
    </xf>
    <xf numFmtId="2" fontId="3" fillId="8" borderId="0" xfId="0" applyNumberFormat="1" applyFont="1" applyFill="1" applyBorder="1" applyAlignment="1">
      <alignment horizontal="center"/>
    </xf>
    <xf numFmtId="2" fontId="3" fillId="8" borderId="2" xfId="0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right"/>
    </xf>
    <xf numFmtId="0" fontId="3" fillId="8" borderId="3" xfId="0" applyFont="1" applyFill="1" applyBorder="1" applyAlignment="1">
      <alignment horizontal="right"/>
    </xf>
    <xf numFmtId="2" fontId="3" fillId="8" borderId="3" xfId="0" applyNumberFormat="1" applyFont="1" applyFill="1" applyBorder="1" applyAlignment="1">
      <alignment horizontal="right"/>
    </xf>
    <xf numFmtId="0" fontId="3" fillId="8" borderId="5" xfId="0" applyFont="1" applyFill="1" applyBorder="1" applyAlignment="1">
      <alignment horizontal="right"/>
    </xf>
    <xf numFmtId="9" fontId="3" fillId="8" borderId="3" xfId="0" applyNumberFormat="1" applyFont="1" applyFill="1" applyBorder="1" applyAlignment="1">
      <alignment horizontal="right"/>
    </xf>
    <xf numFmtId="43" fontId="3" fillId="8" borderId="3" xfId="0" applyNumberFormat="1" applyFont="1" applyFill="1" applyBorder="1" applyAlignment="1">
      <alignment horizontal="right"/>
    </xf>
    <xf numFmtId="9" fontId="3" fillId="8" borderId="5" xfId="0" applyNumberFormat="1" applyFont="1" applyFill="1" applyBorder="1" applyAlignment="1">
      <alignment horizontal="right"/>
    </xf>
    <xf numFmtId="164" fontId="3" fillId="8" borderId="5" xfId="0" applyNumberFormat="1" applyFont="1" applyFill="1" applyBorder="1" applyAlignment="1">
      <alignment horizontal="right"/>
    </xf>
    <xf numFmtId="164" fontId="3" fillId="8" borderId="3" xfId="0" applyNumberFormat="1" applyFont="1" applyFill="1" applyBorder="1" applyAlignment="1">
      <alignment horizontal="right"/>
    </xf>
    <xf numFmtId="0" fontId="3" fillId="8" borderId="7" xfId="0" applyFont="1" applyFill="1" applyBorder="1" applyAlignment="1">
      <alignment horizontal="right"/>
    </xf>
    <xf numFmtId="38" fontId="3" fillId="8" borderId="4" xfId="2" applyNumberFormat="1" applyFont="1" applyFill="1" applyBorder="1" applyAlignment="1">
      <alignment horizontal="right"/>
    </xf>
    <xf numFmtId="38" fontId="3" fillId="8" borderId="3" xfId="2" applyNumberFormat="1" applyFont="1" applyFill="1" applyBorder="1" applyAlignment="1">
      <alignment horizontal="right"/>
    </xf>
    <xf numFmtId="38" fontId="3" fillId="8" borderId="5" xfId="2" applyNumberFormat="1" applyFont="1" applyFill="1" applyBorder="1" applyAlignment="1">
      <alignment horizontal="center"/>
    </xf>
    <xf numFmtId="164" fontId="3" fillId="8" borderId="2" xfId="2" applyNumberFormat="1" applyFont="1" applyFill="1" applyBorder="1" applyAlignment="1">
      <alignment horizontal="right"/>
    </xf>
    <xf numFmtId="2" fontId="3" fillId="8" borderId="5" xfId="0" applyNumberFormat="1" applyFont="1" applyFill="1" applyBorder="1" applyAlignment="1">
      <alignment horizontal="right"/>
    </xf>
    <xf numFmtId="1" fontId="3" fillId="8" borderId="3" xfId="4" applyNumberFormat="1" applyFont="1" applyFill="1" applyBorder="1" applyAlignment="1">
      <alignment horizontal="right"/>
    </xf>
    <xf numFmtId="38" fontId="3" fillId="8" borderId="3" xfId="0" applyNumberFormat="1" applyFont="1" applyFill="1" applyBorder="1" applyAlignment="1">
      <alignment horizontal="right"/>
    </xf>
    <xf numFmtId="38" fontId="3" fillId="8" borderId="5" xfId="0" applyNumberFormat="1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164" fontId="3" fillId="8" borderId="3" xfId="2" applyNumberFormat="1" applyFont="1" applyFill="1" applyBorder="1" applyAlignment="1">
      <alignment horizontal="center"/>
    </xf>
    <xf numFmtId="43" fontId="3" fillId="8" borderId="3" xfId="2" applyNumberFormat="1" applyFont="1" applyFill="1" applyBorder="1" applyAlignment="1">
      <alignment horizontal="right"/>
    </xf>
    <xf numFmtId="164" fontId="3" fillId="8" borderId="6" xfId="2" applyNumberFormat="1" applyFont="1" applyFill="1" applyBorder="1" applyAlignment="1">
      <alignment horizontal="right"/>
    </xf>
    <xf numFmtId="9" fontId="3" fillId="8" borderId="3" xfId="4" applyFont="1" applyFill="1" applyBorder="1" applyAlignment="1">
      <alignment horizontal="right"/>
    </xf>
    <xf numFmtId="164" fontId="3" fillId="8" borderId="7" xfId="2" applyNumberFormat="1" applyFont="1" applyFill="1" applyBorder="1" applyAlignment="1">
      <alignment horizontal="right"/>
    </xf>
    <xf numFmtId="0" fontId="4" fillId="0" borderId="7" xfId="0" applyFont="1" applyBorder="1"/>
    <xf numFmtId="164" fontId="3" fillId="0" borderId="7" xfId="0" applyNumberFormat="1" applyFont="1" applyFill="1" applyBorder="1" applyAlignment="1">
      <alignment horizontal="center"/>
    </xf>
    <xf numFmtId="1" fontId="3" fillId="8" borderId="2" xfId="0" applyNumberFormat="1" applyFont="1" applyFill="1" applyBorder="1" applyAlignment="1">
      <alignment horizontal="center"/>
    </xf>
    <xf numFmtId="164" fontId="3" fillId="8" borderId="2" xfId="0" applyNumberFormat="1" applyFont="1" applyFill="1" applyBorder="1" applyAlignment="1">
      <alignment horizontal="right"/>
    </xf>
    <xf numFmtId="1" fontId="3" fillId="8" borderId="2" xfId="0" applyNumberFormat="1" applyFont="1" applyFill="1" applyBorder="1" applyAlignment="1">
      <alignment horizontal="right"/>
    </xf>
    <xf numFmtId="1" fontId="3" fillId="8" borderId="3" xfId="0" applyNumberFormat="1" applyFont="1" applyFill="1" applyBorder="1" applyAlignment="1">
      <alignment horizontal="right"/>
    </xf>
    <xf numFmtId="6" fontId="3" fillId="8" borderId="5" xfId="0" applyNumberFormat="1" applyFont="1" applyFill="1" applyBorder="1" applyAlignment="1">
      <alignment horizontal="right"/>
    </xf>
    <xf numFmtId="6" fontId="3" fillId="8" borderId="3" xfId="0" applyNumberFormat="1" applyFont="1" applyFill="1" applyBorder="1" applyAlignment="1">
      <alignment horizontal="right"/>
    </xf>
    <xf numFmtId="6" fontId="3" fillId="8" borderId="7" xfId="0" applyNumberFormat="1" applyFont="1" applyFill="1" applyBorder="1" applyAlignment="1">
      <alignment horizontal="right"/>
    </xf>
    <xf numFmtId="0" fontId="3" fillId="8" borderId="4" xfId="0" applyFont="1" applyFill="1" applyBorder="1" applyAlignment="1">
      <alignment horizontal="right"/>
    </xf>
    <xf numFmtId="8" fontId="3" fillId="8" borderId="3" xfId="0" applyNumberFormat="1" applyFont="1" applyFill="1" applyBorder="1" applyAlignment="1">
      <alignment horizontal="right"/>
    </xf>
    <xf numFmtId="8" fontId="3" fillId="8" borderId="5" xfId="0" applyNumberFormat="1" applyFont="1" applyFill="1" applyBorder="1" applyAlignment="1">
      <alignment horizontal="right"/>
    </xf>
    <xf numFmtId="38" fontId="3" fillId="8" borderId="5" xfId="2" applyNumberFormat="1" applyFont="1" applyFill="1" applyBorder="1" applyAlignment="1">
      <alignment horizontal="right"/>
    </xf>
    <xf numFmtId="0" fontId="3" fillId="8" borderId="4" xfId="0" applyFont="1" applyFill="1" applyBorder="1"/>
    <xf numFmtId="9" fontId="3" fillId="8" borderId="4" xfId="0" applyNumberFormat="1" applyFont="1" applyFill="1" applyBorder="1"/>
    <xf numFmtId="9" fontId="3" fillId="8" borderId="3" xfId="0" applyNumberFormat="1" applyFont="1" applyFill="1" applyBorder="1"/>
    <xf numFmtId="1" fontId="3" fillId="8" borderId="3" xfId="0" applyNumberFormat="1" applyFont="1" applyFill="1" applyBorder="1"/>
    <xf numFmtId="0" fontId="3" fillId="8" borderId="3" xfId="0" applyFont="1" applyFill="1" applyBorder="1"/>
    <xf numFmtId="2" fontId="3" fillId="8" borderId="3" xfId="0" applyNumberFormat="1" applyFont="1" applyFill="1" applyBorder="1"/>
    <xf numFmtId="0" fontId="3" fillId="8" borderId="7" xfId="0" applyFont="1" applyFill="1" applyBorder="1"/>
    <xf numFmtId="0" fontId="3" fillId="8" borderId="1" xfId="0" applyFont="1" applyFill="1" applyBorder="1"/>
    <xf numFmtId="164" fontId="3" fillId="8" borderId="3" xfId="0" applyNumberFormat="1" applyFont="1" applyFill="1" applyBorder="1"/>
    <xf numFmtId="1" fontId="3" fillId="8" borderId="2" xfId="0" applyNumberFormat="1" applyFont="1" applyFill="1" applyBorder="1"/>
    <xf numFmtId="9" fontId="3" fillId="8" borderId="3" xfId="4" applyFont="1" applyFill="1" applyBorder="1"/>
    <xf numFmtId="164" fontId="3" fillId="8" borderId="1" xfId="2" applyNumberFormat="1" applyFont="1" applyFill="1" applyBorder="1"/>
    <xf numFmtId="38" fontId="3" fillId="8" borderId="3" xfId="0" applyNumberFormat="1" applyFont="1" applyFill="1" applyBorder="1"/>
    <xf numFmtId="164" fontId="3" fillId="0" borderId="0" xfId="2" applyNumberFormat="1" applyFont="1" applyBorder="1"/>
    <xf numFmtId="9" fontId="3" fillId="0" borderId="0" xfId="4" applyFont="1" applyBorder="1"/>
    <xf numFmtId="9" fontId="3" fillId="0" borderId="0" xfId="4" applyFont="1" applyBorder="1" applyAlignment="1">
      <alignment horizontal="center"/>
    </xf>
    <xf numFmtId="170" fontId="3" fillId="0" borderId="0" xfId="4" applyNumberFormat="1" applyFont="1" applyBorder="1"/>
    <xf numFmtId="2" fontId="3" fillId="8" borderId="4" xfId="0" applyNumberFormat="1" applyFont="1" applyFill="1" applyBorder="1"/>
    <xf numFmtId="0" fontId="4" fillId="7" borderId="1" xfId="0" applyFont="1" applyFill="1" applyBorder="1" applyAlignment="1">
      <alignment horizontal="center"/>
    </xf>
    <xf numFmtId="0" fontId="3" fillId="7" borderId="0" xfId="0" applyFont="1" applyFill="1" applyBorder="1"/>
    <xf numFmtId="2" fontId="3" fillId="7" borderId="3" xfId="0" applyNumberFormat="1" applyFont="1" applyFill="1" applyBorder="1" applyAlignment="1">
      <alignment horizontal="center"/>
    </xf>
    <xf numFmtId="2" fontId="3" fillId="7" borderId="2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right"/>
    </xf>
    <xf numFmtId="0" fontId="3" fillId="7" borderId="3" xfId="0" applyFont="1" applyFill="1" applyBorder="1" applyAlignment="1">
      <alignment horizontal="right"/>
    </xf>
    <xf numFmtId="2" fontId="3" fillId="7" borderId="3" xfId="0" applyNumberFormat="1" applyFont="1" applyFill="1" applyBorder="1" applyAlignment="1">
      <alignment horizontal="right"/>
    </xf>
    <xf numFmtId="0" fontId="3" fillId="7" borderId="5" xfId="0" applyFont="1" applyFill="1" applyBorder="1" applyAlignment="1">
      <alignment horizontal="right"/>
    </xf>
    <xf numFmtId="164" fontId="3" fillId="7" borderId="3" xfId="2" applyNumberFormat="1" applyFont="1" applyFill="1" applyBorder="1" applyAlignment="1">
      <alignment horizontal="right"/>
    </xf>
    <xf numFmtId="43" fontId="3" fillId="7" borderId="3" xfId="0" applyNumberFormat="1" applyFont="1" applyFill="1" applyBorder="1" applyAlignment="1">
      <alignment horizontal="right"/>
    </xf>
    <xf numFmtId="164" fontId="3" fillId="7" borderId="5" xfId="0" applyNumberFormat="1" applyFont="1" applyFill="1" applyBorder="1" applyAlignment="1">
      <alignment horizontal="right"/>
    </xf>
    <xf numFmtId="9" fontId="3" fillId="7" borderId="3" xfId="0" applyNumberFormat="1" applyFont="1" applyFill="1" applyBorder="1" applyAlignment="1">
      <alignment horizontal="right"/>
    </xf>
    <xf numFmtId="164" fontId="3" fillId="7" borderId="5" xfId="2" applyNumberFormat="1" applyFont="1" applyFill="1" applyBorder="1" applyAlignment="1">
      <alignment horizontal="right"/>
    </xf>
    <xf numFmtId="164" fontId="3" fillId="7" borderId="3" xfId="0" applyNumberFormat="1" applyFont="1" applyFill="1" applyBorder="1" applyAlignment="1">
      <alignment horizontal="right"/>
    </xf>
    <xf numFmtId="0" fontId="3" fillId="7" borderId="7" xfId="0" applyFont="1" applyFill="1" applyBorder="1" applyAlignment="1">
      <alignment horizontal="right"/>
    </xf>
    <xf numFmtId="0" fontId="3" fillId="7" borderId="0" xfId="0" applyFont="1" applyFill="1"/>
    <xf numFmtId="38" fontId="3" fillId="7" borderId="4" xfId="2" applyNumberFormat="1" applyFont="1" applyFill="1" applyBorder="1" applyAlignment="1">
      <alignment horizontal="right"/>
    </xf>
    <xf numFmtId="38" fontId="3" fillId="7" borderId="3" xfId="2" applyNumberFormat="1" applyFont="1" applyFill="1" applyBorder="1" applyAlignment="1">
      <alignment horizontal="right"/>
    </xf>
    <xf numFmtId="38" fontId="3" fillId="7" borderId="5" xfId="2" applyNumberFormat="1" applyFont="1" applyFill="1" applyBorder="1" applyAlignment="1">
      <alignment horizontal="center"/>
    </xf>
    <xf numFmtId="0" fontId="3" fillId="7" borderId="1" xfId="0" applyFont="1" applyFill="1" applyBorder="1"/>
    <xf numFmtId="0" fontId="3" fillId="7" borderId="5" xfId="0" applyFont="1" applyFill="1" applyBorder="1" applyAlignment="1">
      <alignment horizontal="center"/>
    </xf>
    <xf numFmtId="0" fontId="4" fillId="7" borderId="2" xfId="0" applyFont="1" applyFill="1" applyBorder="1"/>
    <xf numFmtId="2" fontId="3" fillId="7" borderId="0" xfId="0" applyNumberFormat="1" applyFont="1" applyFill="1" applyBorder="1" applyAlignment="1">
      <alignment horizontal="center"/>
    </xf>
    <xf numFmtId="164" fontId="3" fillId="7" borderId="2" xfId="2" applyNumberFormat="1" applyFont="1" applyFill="1" applyBorder="1" applyAlignment="1">
      <alignment horizontal="right"/>
    </xf>
    <xf numFmtId="164" fontId="3" fillId="7" borderId="2" xfId="0" applyNumberFormat="1" applyFont="1" applyFill="1" applyBorder="1" applyAlignment="1">
      <alignment horizontal="right"/>
    </xf>
    <xf numFmtId="2" fontId="3" fillId="7" borderId="5" xfId="0" applyNumberFormat="1" applyFont="1" applyFill="1" applyBorder="1" applyAlignment="1">
      <alignment horizontal="right"/>
    </xf>
    <xf numFmtId="164" fontId="3" fillId="7" borderId="0" xfId="2" applyNumberFormat="1" applyFont="1" applyFill="1" applyBorder="1" applyAlignment="1">
      <alignment horizontal="right"/>
    </xf>
    <xf numFmtId="1" fontId="3" fillId="7" borderId="3" xfId="4" applyNumberFormat="1" applyFont="1" applyFill="1" applyBorder="1" applyAlignment="1">
      <alignment horizontal="right"/>
    </xf>
    <xf numFmtId="38" fontId="3" fillId="7" borderId="5" xfId="0" applyNumberFormat="1" applyFont="1" applyFill="1" applyBorder="1" applyAlignment="1">
      <alignment horizontal="right"/>
    </xf>
    <xf numFmtId="38" fontId="3" fillId="7" borderId="0" xfId="2" applyNumberFormat="1" applyFont="1" applyFill="1" applyBorder="1" applyAlignment="1">
      <alignment horizontal="right"/>
    </xf>
    <xf numFmtId="0" fontId="14" fillId="0" borderId="0" xfId="0" applyFont="1" applyFill="1"/>
    <xf numFmtId="164" fontId="3" fillId="7" borderId="3" xfId="2" applyNumberFormat="1" applyFont="1" applyFill="1" applyBorder="1" applyAlignment="1">
      <alignment horizontal="center"/>
    </xf>
    <xf numFmtId="43" fontId="3" fillId="7" borderId="3" xfId="2" applyNumberFormat="1" applyFont="1" applyFill="1" applyBorder="1" applyAlignment="1">
      <alignment horizontal="right"/>
    </xf>
    <xf numFmtId="164" fontId="3" fillId="7" borderId="6" xfId="2" applyNumberFormat="1" applyFont="1" applyFill="1" applyBorder="1" applyAlignment="1">
      <alignment horizontal="right"/>
    </xf>
    <xf numFmtId="9" fontId="3" fillId="7" borderId="3" xfId="4" applyFont="1" applyFill="1" applyBorder="1" applyAlignment="1">
      <alignment horizontal="right"/>
    </xf>
    <xf numFmtId="164" fontId="3" fillId="7" borderId="7" xfId="2" applyNumberFormat="1" applyFont="1" applyFill="1" applyBorder="1" applyAlignment="1">
      <alignment horizontal="right"/>
    </xf>
    <xf numFmtId="1" fontId="3" fillId="7" borderId="2" xfId="0" applyNumberFormat="1" applyFont="1" applyFill="1" applyBorder="1" applyAlignment="1">
      <alignment horizontal="center"/>
    </xf>
    <xf numFmtId="1" fontId="3" fillId="7" borderId="2" xfId="0" applyNumberFormat="1" applyFont="1" applyFill="1" applyBorder="1" applyAlignment="1">
      <alignment horizontal="right"/>
    </xf>
    <xf numFmtId="1" fontId="3" fillId="7" borderId="3" xfId="0" applyNumberFormat="1" applyFont="1" applyFill="1" applyBorder="1" applyAlignment="1">
      <alignment horizontal="right"/>
    </xf>
    <xf numFmtId="6" fontId="3" fillId="7" borderId="5" xfId="0" applyNumberFormat="1" applyFont="1" applyFill="1" applyBorder="1" applyAlignment="1">
      <alignment horizontal="right"/>
    </xf>
    <xf numFmtId="6" fontId="3" fillId="7" borderId="3" xfId="0" applyNumberFormat="1" applyFont="1" applyFill="1" applyBorder="1" applyAlignment="1">
      <alignment horizontal="right"/>
    </xf>
    <xf numFmtId="6" fontId="3" fillId="7" borderId="7" xfId="0" applyNumberFormat="1" applyFont="1" applyFill="1" applyBorder="1" applyAlignment="1">
      <alignment horizontal="right"/>
    </xf>
    <xf numFmtId="0" fontId="3" fillId="7" borderId="4" xfId="0" applyFont="1" applyFill="1" applyBorder="1" applyAlignment="1">
      <alignment horizontal="right"/>
    </xf>
    <xf numFmtId="8" fontId="3" fillId="7" borderId="3" xfId="0" applyNumberFormat="1" applyFont="1" applyFill="1" applyBorder="1" applyAlignment="1">
      <alignment horizontal="right"/>
    </xf>
    <xf numFmtId="8" fontId="3" fillId="7" borderId="5" xfId="0" applyNumberFormat="1" applyFont="1" applyFill="1" applyBorder="1" applyAlignment="1">
      <alignment horizontal="right"/>
    </xf>
    <xf numFmtId="38" fontId="3" fillId="7" borderId="5" xfId="2" applyNumberFormat="1" applyFont="1" applyFill="1" applyBorder="1" applyAlignment="1">
      <alignment horizontal="right"/>
    </xf>
    <xf numFmtId="0" fontId="3" fillId="7" borderId="4" xfId="0" applyFont="1" applyFill="1" applyBorder="1"/>
    <xf numFmtId="9" fontId="3" fillId="7" borderId="3" xfId="0" applyNumberFormat="1" applyFont="1" applyFill="1" applyBorder="1"/>
    <xf numFmtId="0" fontId="3" fillId="7" borderId="3" xfId="0" applyFont="1" applyFill="1" applyBorder="1"/>
    <xf numFmtId="2" fontId="3" fillId="7" borderId="3" xfId="0" applyNumberFormat="1" applyFont="1" applyFill="1" applyBorder="1"/>
    <xf numFmtId="0" fontId="3" fillId="7" borderId="7" xfId="0" applyFont="1" applyFill="1" applyBorder="1"/>
    <xf numFmtId="164" fontId="3" fillId="7" borderId="3" xfId="0" applyNumberFormat="1" applyFont="1" applyFill="1" applyBorder="1"/>
    <xf numFmtId="164" fontId="3" fillId="7" borderId="1" xfId="0" applyNumberFormat="1" applyFont="1" applyFill="1" applyBorder="1"/>
    <xf numFmtId="1" fontId="3" fillId="7" borderId="2" xfId="0" applyNumberFormat="1" applyFont="1" applyFill="1" applyBorder="1"/>
    <xf numFmtId="9" fontId="3" fillId="7" borderId="3" xfId="4" applyFont="1" applyFill="1" applyBorder="1"/>
    <xf numFmtId="164" fontId="3" fillId="7" borderId="1" xfId="2" applyNumberFormat="1" applyFont="1" applyFill="1" applyBorder="1"/>
    <xf numFmtId="38" fontId="3" fillId="7" borderId="3" xfId="0" applyNumberFormat="1" applyFont="1" applyFill="1" applyBorder="1"/>
    <xf numFmtId="1" fontId="3" fillId="7" borderId="3" xfId="0" applyNumberFormat="1" applyFont="1" applyFill="1" applyBorder="1"/>
    <xf numFmtId="2" fontId="3" fillId="7" borderId="4" xfId="0" applyNumberFormat="1" applyFont="1" applyFill="1" applyBorder="1"/>
    <xf numFmtId="0" fontId="1" fillId="0" borderId="28" xfId="0" applyFont="1" applyFill="1" applyBorder="1"/>
    <xf numFmtId="0" fontId="1" fillId="0" borderId="29" xfId="0" applyFont="1" applyFill="1" applyBorder="1"/>
    <xf numFmtId="0" fontId="1" fillId="0" borderId="30" xfId="0" applyFont="1" applyFill="1" applyBorder="1"/>
    <xf numFmtId="164" fontId="1" fillId="7" borderId="0" xfId="2" applyNumberFormat="1" applyFont="1" applyFill="1" applyBorder="1"/>
    <xf numFmtId="9" fontId="1" fillId="7" borderId="0" xfId="4" applyFont="1" applyFill="1" applyBorder="1"/>
    <xf numFmtId="164" fontId="0" fillId="7" borderId="0" xfId="2" applyNumberFormat="1" applyFont="1" applyFill="1" applyBorder="1"/>
    <xf numFmtId="168" fontId="1" fillId="7" borderId="0" xfId="4" applyNumberFormat="1" applyFont="1" applyFill="1" applyBorder="1"/>
    <xf numFmtId="9" fontId="0" fillId="7" borderId="0" xfId="4" applyFont="1" applyFill="1" applyBorder="1"/>
    <xf numFmtId="0" fontId="1" fillId="8" borderId="0" xfId="0" applyFont="1" applyFill="1"/>
    <xf numFmtId="0" fontId="0" fillId="8" borderId="0" xfId="0" applyFill="1"/>
    <xf numFmtId="0" fontId="4" fillId="8" borderId="1" xfId="1" applyFont="1" applyFill="1" applyBorder="1" applyAlignment="1">
      <alignment horizontal="center"/>
    </xf>
    <xf numFmtId="167" fontId="0" fillId="8" borderId="10" xfId="0" applyNumberFormat="1" applyFill="1" applyBorder="1"/>
    <xf numFmtId="167" fontId="0" fillId="8" borderId="0" xfId="0" applyNumberFormat="1" applyFill="1"/>
    <xf numFmtId="0" fontId="1" fillId="7" borderId="0" xfId="0" applyFont="1" applyFill="1"/>
    <xf numFmtId="167" fontId="0" fillId="7" borderId="0" xfId="0" applyNumberFormat="1" applyFill="1"/>
    <xf numFmtId="43" fontId="0" fillId="7" borderId="0" xfId="0" applyNumberFormat="1" applyFill="1"/>
    <xf numFmtId="169" fontId="0" fillId="7" borderId="0" xfId="0" applyNumberFormat="1" applyFill="1"/>
    <xf numFmtId="0" fontId="1" fillId="8" borderId="0" xfId="0" applyFont="1" applyFill="1" applyBorder="1"/>
    <xf numFmtId="164" fontId="1" fillId="8" borderId="0" xfId="2" applyNumberFormat="1" applyFont="1" applyFill="1" applyBorder="1"/>
    <xf numFmtId="9" fontId="1" fillId="8" borderId="0" xfId="4" applyFont="1" applyFill="1" applyBorder="1"/>
    <xf numFmtId="164" fontId="0" fillId="8" borderId="0" xfId="2" applyNumberFormat="1" applyFont="1" applyFill="1" applyBorder="1"/>
    <xf numFmtId="168" fontId="1" fillId="8" borderId="0" xfId="4" applyNumberFormat="1" applyFont="1" applyFill="1" applyBorder="1"/>
    <xf numFmtId="9" fontId="0" fillId="8" borderId="0" xfId="4" applyFont="1" applyFill="1" applyBorder="1"/>
    <xf numFmtId="169" fontId="0" fillId="8" borderId="0" xfId="2" applyNumberFormat="1" applyFont="1" applyFill="1" applyBorder="1"/>
    <xf numFmtId="0" fontId="1" fillId="7" borderId="0" xfId="0" applyFont="1" applyFill="1" applyBorder="1"/>
    <xf numFmtId="0" fontId="0" fillId="7" borderId="0" xfId="0" applyFill="1" applyBorder="1"/>
    <xf numFmtId="0" fontId="4" fillId="6" borderId="1" xfId="0" applyFont="1" applyFill="1" applyBorder="1" applyAlignment="1">
      <alignment horizontal="center"/>
    </xf>
    <xf numFmtId="0" fontId="3" fillId="6" borderId="0" xfId="0" applyFont="1" applyFill="1" applyBorder="1"/>
    <xf numFmtId="2" fontId="3" fillId="6" borderId="3" xfId="0" applyNumberFormat="1" applyFont="1" applyFill="1" applyBorder="1" applyAlignment="1">
      <alignment horizontal="center"/>
    </xf>
    <xf numFmtId="2" fontId="3" fillId="6" borderId="2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right"/>
    </xf>
    <xf numFmtId="0" fontId="3" fillId="6" borderId="3" xfId="0" applyFont="1" applyFill="1" applyBorder="1" applyAlignment="1">
      <alignment horizontal="right"/>
    </xf>
    <xf numFmtId="2" fontId="3" fillId="6" borderId="3" xfId="0" applyNumberFormat="1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164" fontId="3" fillId="6" borderId="3" xfId="2" applyNumberFormat="1" applyFont="1" applyFill="1" applyBorder="1" applyAlignment="1">
      <alignment horizontal="right"/>
    </xf>
    <xf numFmtId="43" fontId="3" fillId="6" borderId="3" xfId="0" applyNumberFormat="1" applyFont="1" applyFill="1" applyBorder="1" applyAlignment="1">
      <alignment horizontal="right"/>
    </xf>
    <xf numFmtId="164" fontId="3" fillId="6" borderId="5" xfId="0" applyNumberFormat="1" applyFont="1" applyFill="1" applyBorder="1" applyAlignment="1">
      <alignment horizontal="right"/>
    </xf>
    <xf numFmtId="9" fontId="3" fillId="6" borderId="3" xfId="0" applyNumberFormat="1" applyFont="1" applyFill="1" applyBorder="1" applyAlignment="1">
      <alignment horizontal="right"/>
    </xf>
    <xf numFmtId="164" fontId="3" fillId="6" borderId="5" xfId="2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horizontal="right"/>
    </xf>
    <xf numFmtId="164" fontId="3" fillId="6" borderId="3" xfId="0" applyNumberFormat="1" applyFont="1" applyFill="1" applyBorder="1" applyAlignment="1">
      <alignment horizontal="right"/>
    </xf>
    <xf numFmtId="164" fontId="3" fillId="6" borderId="0" xfId="0" applyNumberFormat="1" applyFont="1" applyFill="1" applyBorder="1" applyAlignment="1">
      <alignment horizontal="right"/>
    </xf>
    <xf numFmtId="0" fontId="3" fillId="6" borderId="7" xfId="0" applyFont="1" applyFill="1" applyBorder="1" applyAlignment="1">
      <alignment horizontal="right"/>
    </xf>
    <xf numFmtId="43" fontId="3" fillId="6" borderId="7" xfId="0" applyNumberFormat="1" applyFont="1" applyFill="1" applyBorder="1" applyAlignment="1">
      <alignment horizontal="right"/>
    </xf>
    <xf numFmtId="164" fontId="3" fillId="6" borderId="0" xfId="2" applyNumberFormat="1" applyFont="1" applyFill="1" applyBorder="1" applyAlignment="1">
      <alignment horizontal="right"/>
    </xf>
    <xf numFmtId="164" fontId="3" fillId="6" borderId="0" xfId="2" applyNumberFormat="1" applyFont="1" applyFill="1" applyBorder="1" applyAlignment="1">
      <alignment horizontal="center"/>
    </xf>
    <xf numFmtId="164" fontId="3" fillId="6" borderId="1" xfId="2" applyNumberFormat="1" applyFont="1" applyFill="1" applyBorder="1" applyAlignment="1">
      <alignment horizontal="right"/>
    </xf>
    <xf numFmtId="38" fontId="3" fillId="6" borderId="4" xfId="2" applyNumberFormat="1" applyFont="1" applyFill="1" applyBorder="1" applyAlignment="1">
      <alignment horizontal="right"/>
    </xf>
    <xf numFmtId="0" fontId="3" fillId="6" borderId="5" xfId="0" applyFon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right"/>
    </xf>
    <xf numFmtId="1" fontId="3" fillId="6" borderId="2" xfId="0" applyNumberFormat="1" applyFont="1" applyFill="1" applyBorder="1" applyAlignment="1">
      <alignment horizontal="right"/>
    </xf>
    <xf numFmtId="2" fontId="3" fillId="6" borderId="5" xfId="0" applyNumberFormat="1" applyFont="1" applyFill="1" applyBorder="1" applyAlignment="1">
      <alignment horizontal="right"/>
    </xf>
    <xf numFmtId="1" fontId="3" fillId="6" borderId="3" xfId="4" applyNumberFormat="1" applyFont="1" applyFill="1" applyBorder="1" applyAlignment="1">
      <alignment horizontal="right"/>
    </xf>
    <xf numFmtId="38" fontId="3" fillId="6" borderId="3" xfId="2" applyNumberFormat="1" applyFont="1" applyFill="1" applyBorder="1" applyAlignment="1">
      <alignment horizontal="right"/>
    </xf>
    <xf numFmtId="38" fontId="3" fillId="6" borderId="5" xfId="0" applyNumberFormat="1" applyFont="1" applyFill="1" applyBorder="1" applyAlignment="1">
      <alignment horizontal="right"/>
    </xf>
    <xf numFmtId="38" fontId="3" fillId="6" borderId="0" xfId="2" applyNumberFormat="1" applyFont="1" applyFill="1" applyBorder="1" applyAlignment="1">
      <alignment horizontal="right"/>
    </xf>
    <xf numFmtId="0" fontId="4" fillId="6" borderId="2" xfId="0" applyFont="1" applyFill="1" applyBorder="1"/>
    <xf numFmtId="164" fontId="3" fillId="6" borderId="3" xfId="2" applyNumberFormat="1" applyFont="1" applyFill="1" applyBorder="1" applyAlignment="1">
      <alignment horizontal="center"/>
    </xf>
    <xf numFmtId="164" fontId="3" fillId="6" borderId="2" xfId="2" applyNumberFormat="1" applyFont="1" applyFill="1" applyBorder="1" applyAlignment="1">
      <alignment horizontal="right"/>
    </xf>
    <xf numFmtId="43" fontId="3" fillId="6" borderId="3" xfId="2" applyNumberFormat="1" applyFont="1" applyFill="1" applyBorder="1" applyAlignment="1">
      <alignment horizontal="right"/>
    </xf>
    <xf numFmtId="164" fontId="3" fillId="6" borderId="6" xfId="2" applyNumberFormat="1" applyFont="1" applyFill="1" applyBorder="1" applyAlignment="1">
      <alignment horizontal="right"/>
    </xf>
    <xf numFmtId="0" fontId="3" fillId="6" borderId="6" xfId="0" applyFont="1" applyFill="1" applyBorder="1" applyAlignment="1">
      <alignment horizontal="right"/>
    </xf>
    <xf numFmtId="9" fontId="3" fillId="6" borderId="3" xfId="4" applyFont="1" applyFill="1" applyBorder="1" applyAlignment="1">
      <alignment horizontal="right"/>
    </xf>
    <xf numFmtId="164" fontId="3" fillId="6" borderId="7" xfId="2" applyNumberFormat="1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6" borderId="2" xfId="0" applyNumberFormat="1" applyFont="1" applyFill="1" applyBorder="1" applyAlignment="1">
      <alignment horizontal="center"/>
    </xf>
    <xf numFmtId="1" fontId="3" fillId="6" borderId="3" xfId="2" applyNumberFormat="1" applyFont="1" applyFill="1" applyBorder="1" applyAlignment="1">
      <alignment horizontal="right"/>
    </xf>
    <xf numFmtId="6" fontId="3" fillId="6" borderId="5" xfId="0" applyNumberFormat="1" applyFont="1" applyFill="1" applyBorder="1" applyAlignment="1">
      <alignment horizontal="right"/>
    </xf>
    <xf numFmtId="6" fontId="3" fillId="6" borderId="3" xfId="0" applyNumberFormat="1" applyFont="1" applyFill="1" applyBorder="1" applyAlignment="1">
      <alignment horizontal="right"/>
    </xf>
    <xf numFmtId="164" fontId="3" fillId="6" borderId="4" xfId="2" applyNumberFormat="1" applyFont="1" applyFill="1" applyBorder="1" applyAlignment="1">
      <alignment horizontal="right"/>
    </xf>
    <xf numFmtId="0" fontId="3" fillId="6" borderId="4" xfId="0" applyFont="1" applyFill="1" applyBorder="1" applyAlignment="1">
      <alignment horizontal="right"/>
    </xf>
    <xf numFmtId="1" fontId="3" fillId="6" borderId="3" xfId="0" applyNumberFormat="1" applyFont="1" applyFill="1" applyBorder="1" applyAlignment="1">
      <alignment horizontal="right"/>
    </xf>
    <xf numFmtId="8" fontId="3" fillId="6" borderId="5" xfId="0" applyNumberFormat="1" applyFont="1" applyFill="1" applyBorder="1" applyAlignment="1">
      <alignment horizontal="right"/>
    </xf>
    <xf numFmtId="6" fontId="3" fillId="6" borderId="7" xfId="0" applyNumberFormat="1" applyFont="1" applyFill="1" applyBorder="1" applyAlignment="1">
      <alignment horizontal="right"/>
    </xf>
    <xf numFmtId="8" fontId="3" fillId="6" borderId="3" xfId="0" applyNumberFormat="1" applyFont="1" applyFill="1" applyBorder="1" applyAlignment="1">
      <alignment horizontal="right"/>
    </xf>
    <xf numFmtId="38" fontId="3" fillId="6" borderId="5" xfId="2" applyNumberFormat="1" applyFont="1" applyFill="1" applyBorder="1" applyAlignment="1">
      <alignment horizontal="right"/>
    </xf>
    <xf numFmtId="0" fontId="3" fillId="6" borderId="4" xfId="0" applyFont="1" applyFill="1" applyBorder="1"/>
    <xf numFmtId="9" fontId="3" fillId="6" borderId="3" xfId="0" applyNumberFormat="1" applyFont="1" applyFill="1" applyBorder="1"/>
    <xf numFmtId="1" fontId="3" fillId="6" borderId="3" xfId="0" applyNumberFormat="1" applyFont="1" applyFill="1" applyBorder="1"/>
    <xf numFmtId="0" fontId="3" fillId="6" borderId="3" xfId="0" applyFont="1" applyFill="1" applyBorder="1"/>
    <xf numFmtId="2" fontId="3" fillId="6" borderId="3" xfId="0" applyNumberFormat="1" applyFont="1" applyFill="1" applyBorder="1"/>
    <xf numFmtId="0" fontId="3" fillId="6" borderId="0" xfId="0" applyFont="1" applyFill="1"/>
    <xf numFmtId="0" fontId="3" fillId="6" borderId="7" xfId="0" applyFont="1" applyFill="1" applyBorder="1"/>
    <xf numFmtId="0" fontId="3" fillId="6" borderId="1" xfId="0" applyFont="1" applyFill="1" applyBorder="1"/>
    <xf numFmtId="164" fontId="3" fillId="6" borderId="3" xfId="0" applyNumberFormat="1" applyFont="1" applyFill="1" applyBorder="1"/>
    <xf numFmtId="164" fontId="3" fillId="6" borderId="1" xfId="0" applyNumberFormat="1" applyFont="1" applyFill="1" applyBorder="1"/>
    <xf numFmtId="1" fontId="3" fillId="6" borderId="2" xfId="0" applyNumberFormat="1" applyFont="1" applyFill="1" applyBorder="1"/>
    <xf numFmtId="9" fontId="3" fillId="6" borderId="3" xfId="4" applyFont="1" applyFill="1" applyBorder="1"/>
    <xf numFmtId="164" fontId="3" fillId="6" borderId="1" xfId="2" applyNumberFormat="1" applyFont="1" applyFill="1" applyBorder="1"/>
    <xf numFmtId="43" fontId="3" fillId="6" borderId="3" xfId="0" applyNumberFormat="1" applyFont="1" applyFill="1" applyBorder="1"/>
    <xf numFmtId="38" fontId="3" fillId="6" borderId="3" xfId="0" applyNumberFormat="1" applyFont="1" applyFill="1" applyBorder="1"/>
    <xf numFmtId="2" fontId="3" fillId="6" borderId="4" xfId="0" applyNumberFormat="1" applyFont="1" applyFill="1" applyBorder="1"/>
    <xf numFmtId="0" fontId="17" fillId="6" borderId="0" xfId="0" applyFont="1" applyFill="1" applyBorder="1"/>
    <xf numFmtId="164" fontId="1" fillId="6" borderId="0" xfId="2" applyNumberFormat="1" applyFont="1" applyFill="1" applyBorder="1"/>
    <xf numFmtId="9" fontId="1" fillId="6" borderId="0" xfId="4" applyFont="1" applyFill="1" applyBorder="1"/>
    <xf numFmtId="0" fontId="1" fillId="6" borderId="0" xfId="0" applyFont="1" applyFill="1" applyBorder="1"/>
    <xf numFmtId="0" fontId="0" fillId="6" borderId="0" xfId="0" applyFill="1" applyBorder="1"/>
    <xf numFmtId="164" fontId="0" fillId="6" borderId="0" xfId="2" applyNumberFormat="1" applyFont="1" applyFill="1" applyBorder="1"/>
    <xf numFmtId="168" fontId="1" fillId="6" borderId="0" xfId="4" applyNumberFormat="1" applyFont="1" applyFill="1" applyBorder="1"/>
    <xf numFmtId="9" fontId="0" fillId="6" borderId="0" xfId="4" applyFont="1" applyFill="1" applyBorder="1"/>
    <xf numFmtId="0" fontId="1" fillId="6" borderId="0" xfId="0" applyFont="1" applyFill="1"/>
    <xf numFmtId="0" fontId="0" fillId="6" borderId="0" xfId="0" applyFill="1"/>
    <xf numFmtId="164" fontId="0" fillId="6" borderId="0" xfId="0" applyNumberFormat="1" applyFill="1"/>
    <xf numFmtId="167" fontId="0" fillId="6" borderId="0" xfId="0" applyNumberFormat="1" applyFill="1"/>
    <xf numFmtId="164" fontId="1" fillId="0" borderId="0" xfId="2" applyNumberFormat="1" applyFont="1" applyAlignment="1">
      <alignment horizontal="right"/>
    </xf>
    <xf numFmtId="164" fontId="3" fillId="7" borderId="10" xfId="2" applyNumberFormat="1" applyFont="1" applyFill="1" applyBorder="1" applyAlignment="1">
      <alignment horizontal="right"/>
    </xf>
    <xf numFmtId="164" fontId="3" fillId="7" borderId="0" xfId="0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 horizontal="right"/>
    </xf>
    <xf numFmtId="1" fontId="3" fillId="7" borderId="0" xfId="4" applyNumberFormat="1" applyFont="1" applyFill="1" applyBorder="1" applyAlignment="1">
      <alignment horizontal="right"/>
    </xf>
    <xf numFmtId="9" fontId="3" fillId="7" borderId="0" xfId="0" applyNumberFormat="1" applyFont="1" applyFill="1" applyBorder="1" applyAlignment="1">
      <alignment horizontal="right"/>
    </xf>
    <xf numFmtId="38" fontId="3" fillId="7" borderId="0" xfId="0" applyNumberFormat="1" applyFont="1" applyFill="1" applyBorder="1" applyAlignment="1">
      <alignment horizontal="right"/>
    </xf>
    <xf numFmtId="38" fontId="23" fillId="7" borderId="0" xfId="2" applyNumberFormat="1" applyFont="1" applyFill="1" applyBorder="1" applyAlignment="1">
      <alignment horizontal="right"/>
    </xf>
    <xf numFmtId="164" fontId="0" fillId="7" borderId="0" xfId="0" applyNumberFormat="1" applyFill="1" applyBorder="1"/>
    <xf numFmtId="164" fontId="24" fillId="7" borderId="0" xfId="0" applyNumberFormat="1" applyFont="1" applyFill="1" applyBorder="1"/>
    <xf numFmtId="164" fontId="0" fillId="7" borderId="0" xfId="0" applyNumberFormat="1" applyFill="1"/>
    <xf numFmtId="164" fontId="3" fillId="6" borderId="10" xfId="2" applyNumberFormat="1" applyFont="1" applyFill="1" applyBorder="1" applyAlignment="1">
      <alignment horizontal="right"/>
    </xf>
    <xf numFmtId="1" fontId="3" fillId="6" borderId="0" xfId="4" applyNumberFormat="1" applyFont="1" applyFill="1" applyBorder="1" applyAlignment="1">
      <alignment horizontal="right"/>
    </xf>
    <xf numFmtId="9" fontId="3" fillId="6" borderId="0" xfId="0" applyNumberFormat="1" applyFont="1" applyFill="1" applyBorder="1" applyAlignment="1">
      <alignment horizontal="right"/>
    </xf>
    <xf numFmtId="38" fontId="3" fillId="6" borderId="0" xfId="0" applyNumberFormat="1" applyFont="1" applyFill="1" applyBorder="1" applyAlignment="1">
      <alignment horizontal="right"/>
    </xf>
    <xf numFmtId="38" fontId="23" fillId="6" borderId="0" xfId="2" applyNumberFormat="1" applyFont="1" applyFill="1" applyBorder="1" applyAlignment="1">
      <alignment horizontal="right"/>
    </xf>
    <xf numFmtId="164" fontId="0" fillId="6" borderId="0" xfId="0" applyNumberFormat="1" applyFill="1" applyBorder="1"/>
    <xf numFmtId="164" fontId="24" fillId="6" borderId="0" xfId="0" applyNumberFormat="1" applyFont="1" applyFill="1" applyBorder="1"/>
    <xf numFmtId="9" fontId="3" fillId="0" borderId="25" xfId="0" applyNumberFormat="1" applyFont="1" applyFill="1" applyBorder="1" applyAlignment="1">
      <alignment horizontal="center"/>
    </xf>
    <xf numFmtId="38" fontId="3" fillId="8" borderId="25" xfId="0" applyNumberFormat="1" applyFont="1" applyFill="1" applyBorder="1" applyAlignment="1">
      <alignment horizontal="right"/>
    </xf>
    <xf numFmtId="38" fontId="3" fillId="8" borderId="25" xfId="2" applyNumberFormat="1" applyFont="1" applyFill="1" applyBorder="1" applyAlignment="1">
      <alignment horizontal="right"/>
    </xf>
    <xf numFmtId="38" fontId="3" fillId="7" borderId="25" xfId="2" applyNumberFormat="1" applyFont="1" applyFill="1" applyBorder="1" applyAlignment="1">
      <alignment horizontal="right"/>
    </xf>
    <xf numFmtId="38" fontId="3" fillId="6" borderId="25" xfId="2" applyNumberFormat="1" applyFont="1" applyFill="1" applyBorder="1" applyAlignment="1">
      <alignment horizontal="right"/>
    </xf>
    <xf numFmtId="38" fontId="3" fillId="6" borderId="32" xfId="2" applyNumberFormat="1" applyFont="1" applyFill="1" applyBorder="1" applyAlignment="1">
      <alignment horizontal="right"/>
    </xf>
    <xf numFmtId="0" fontId="3" fillId="0" borderId="33" xfId="0" applyFont="1" applyBorder="1" applyAlignment="1">
      <alignment horizontal="right"/>
    </xf>
    <xf numFmtId="38" fontId="3" fillId="6" borderId="34" xfId="0" applyNumberFormat="1" applyFont="1" applyFill="1" applyBorder="1" applyAlignment="1">
      <alignment horizontal="right"/>
    </xf>
    <xf numFmtId="164" fontId="3" fillId="6" borderId="34" xfId="2" applyNumberFormat="1" applyFont="1" applyFill="1" applyBorder="1" applyAlignment="1">
      <alignment horizontal="right"/>
    </xf>
    <xf numFmtId="9" fontId="3" fillId="0" borderId="35" xfId="0" applyNumberFormat="1" applyFont="1" applyFill="1" applyBorder="1" applyAlignment="1">
      <alignment horizontal="center"/>
    </xf>
    <xf numFmtId="164" fontId="3" fillId="8" borderId="35" xfId="2" applyNumberFormat="1" applyFont="1" applyFill="1" applyBorder="1" applyAlignment="1">
      <alignment horizontal="center"/>
    </xf>
    <xf numFmtId="164" fontId="3" fillId="7" borderId="35" xfId="2" applyNumberFormat="1" applyFont="1" applyFill="1" applyBorder="1" applyAlignment="1">
      <alignment horizontal="center"/>
    </xf>
    <xf numFmtId="164" fontId="3" fillId="6" borderId="35" xfId="2" applyNumberFormat="1" applyFont="1" applyFill="1" applyBorder="1" applyAlignment="1">
      <alignment horizontal="center"/>
    </xf>
    <xf numFmtId="164" fontId="3" fillId="6" borderId="36" xfId="2" applyNumberFormat="1" applyFont="1" applyFill="1" applyBorder="1" applyAlignment="1">
      <alignment horizontal="center"/>
    </xf>
    <xf numFmtId="0" fontId="1" fillId="0" borderId="37" xfId="0" applyFont="1" applyBorder="1"/>
    <xf numFmtId="9" fontId="3" fillId="0" borderId="38" xfId="0" applyNumberFormat="1" applyFont="1" applyFill="1" applyBorder="1" applyAlignment="1">
      <alignment horizontal="center"/>
    </xf>
    <xf numFmtId="0" fontId="1" fillId="0" borderId="39" xfId="0" applyFont="1" applyBorder="1"/>
    <xf numFmtId="0" fontId="1" fillId="0" borderId="40" xfId="0" applyFont="1" applyBorder="1"/>
    <xf numFmtId="0" fontId="3" fillId="0" borderId="41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38" fontId="3" fillId="8" borderId="25" xfId="0" applyNumberFormat="1" applyFont="1" applyFill="1" applyBorder="1" applyAlignment="1">
      <alignment horizontal="center"/>
    </xf>
    <xf numFmtId="38" fontId="3" fillId="7" borderId="25" xfId="0" applyNumberFormat="1" applyFont="1" applyFill="1" applyBorder="1" applyAlignment="1">
      <alignment horizontal="center"/>
    </xf>
    <xf numFmtId="38" fontId="3" fillId="6" borderId="25" xfId="0" applyNumberFormat="1" applyFont="1" applyFill="1" applyBorder="1" applyAlignment="1">
      <alignment horizontal="center"/>
    </xf>
    <xf numFmtId="38" fontId="3" fillId="6" borderId="32" xfId="0" applyNumberFormat="1" applyFont="1" applyFill="1" applyBorder="1" applyAlignment="1">
      <alignment horizontal="center"/>
    </xf>
    <xf numFmtId="0" fontId="0" fillId="0" borderId="35" xfId="0" applyBorder="1"/>
    <xf numFmtId="164" fontId="0" fillId="8" borderId="35" xfId="0" applyNumberFormat="1" applyFill="1" applyBorder="1"/>
    <xf numFmtId="164" fontId="0" fillId="7" borderId="35" xfId="0" applyNumberFormat="1" applyFill="1" applyBorder="1"/>
    <xf numFmtId="164" fontId="0" fillId="6" borderId="35" xfId="0" applyNumberFormat="1" applyFill="1" applyBorder="1"/>
    <xf numFmtId="164" fontId="0" fillId="6" borderId="36" xfId="0" applyNumberFormat="1" applyFill="1" applyBorder="1"/>
    <xf numFmtId="0" fontId="0" fillId="0" borderId="25" xfId="0" applyBorder="1"/>
    <xf numFmtId="0" fontId="0" fillId="8" borderId="25" xfId="0" applyFill="1" applyBorder="1"/>
    <xf numFmtId="0" fontId="0" fillId="7" borderId="25" xfId="0" applyFill="1" applyBorder="1"/>
    <xf numFmtId="0" fontId="0" fillId="6" borderId="25" xfId="0" applyFill="1" applyBorder="1"/>
    <xf numFmtId="164" fontId="0" fillId="6" borderId="25" xfId="0" applyNumberFormat="1" applyFill="1" applyBorder="1"/>
    <xf numFmtId="0" fontId="0" fillId="6" borderId="32" xfId="0" applyFill="1" applyBorder="1"/>
    <xf numFmtId="164" fontId="0" fillId="6" borderId="34" xfId="0" applyNumberFormat="1" applyFill="1" applyBorder="1"/>
    <xf numFmtId="0" fontId="0" fillId="0" borderId="39" xfId="0" applyBorder="1"/>
    <xf numFmtId="0" fontId="0" fillId="6" borderId="34" xfId="0" applyFill="1" applyBorder="1"/>
    <xf numFmtId="0" fontId="0" fillId="0" borderId="40" xfId="0" applyBorder="1"/>
    <xf numFmtId="0" fontId="1" fillId="0" borderId="37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8" borderId="15" xfId="1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0" borderId="31" xfId="0" applyFont="1" applyBorder="1"/>
    <xf numFmtId="0" fontId="3" fillId="0" borderId="38" xfId="0" applyFont="1" applyFill="1" applyBorder="1" applyAlignment="1">
      <alignment horizontal="center"/>
    </xf>
    <xf numFmtId="164" fontId="3" fillId="8" borderId="38" xfId="2" applyNumberFormat="1" applyFont="1" applyFill="1" applyBorder="1" applyAlignment="1">
      <alignment horizontal="right"/>
    </xf>
    <xf numFmtId="164" fontId="3" fillId="7" borderId="38" xfId="2" applyNumberFormat="1" applyFont="1" applyFill="1" applyBorder="1" applyAlignment="1">
      <alignment horizontal="right"/>
    </xf>
    <xf numFmtId="164" fontId="3" fillId="6" borderId="38" xfId="2" applyNumberFormat="1" applyFont="1" applyFill="1" applyBorder="1" applyAlignment="1">
      <alignment horizontal="right"/>
    </xf>
    <xf numFmtId="164" fontId="3" fillId="6" borderId="42" xfId="2" applyNumberFormat="1" applyFont="1" applyFill="1" applyBorder="1" applyAlignment="1">
      <alignment horizontal="right"/>
    </xf>
    <xf numFmtId="164" fontId="3" fillId="6" borderId="43" xfId="2" applyNumberFormat="1" applyFont="1" applyFill="1" applyBorder="1" applyAlignment="1">
      <alignment horizontal="right"/>
    </xf>
    <xf numFmtId="0" fontId="3" fillId="0" borderId="44" xfId="0" applyFont="1" applyBorder="1" applyAlignment="1">
      <alignment horizontal="right"/>
    </xf>
    <xf numFmtId="164" fontId="3" fillId="6" borderId="45" xfId="2" applyNumberFormat="1" applyFont="1" applyFill="1" applyBorder="1" applyAlignment="1">
      <alignment horizontal="right"/>
    </xf>
    <xf numFmtId="0" fontId="4" fillId="0" borderId="46" xfId="0" applyFont="1" applyBorder="1" applyAlignment="1">
      <alignment horizontal="left"/>
    </xf>
    <xf numFmtId="164" fontId="3" fillId="6" borderId="47" xfId="2" applyNumberFormat="1" applyFont="1" applyFill="1" applyBorder="1" applyAlignment="1">
      <alignment horizontal="right"/>
    </xf>
    <xf numFmtId="0" fontId="1" fillId="0" borderId="39" xfId="0" applyFont="1" applyBorder="1" applyAlignment="1">
      <alignment wrapText="1"/>
    </xf>
    <xf numFmtId="0" fontId="3" fillId="6" borderId="34" xfId="0" applyFont="1" applyFill="1" applyBorder="1" applyAlignment="1">
      <alignment horizontal="right"/>
    </xf>
    <xf numFmtId="1" fontId="3" fillId="6" borderId="34" xfId="4" applyNumberFormat="1" applyFont="1" applyFill="1" applyBorder="1" applyAlignment="1">
      <alignment horizontal="right"/>
    </xf>
    <xf numFmtId="9" fontId="3" fillId="6" borderId="34" xfId="0" applyNumberFormat="1" applyFont="1" applyFill="1" applyBorder="1" applyAlignment="1">
      <alignment horizontal="right"/>
    </xf>
    <xf numFmtId="164" fontId="3" fillId="6" borderId="34" xfId="0" applyNumberFormat="1" applyFont="1" applyFill="1" applyBorder="1" applyAlignment="1">
      <alignment horizontal="right"/>
    </xf>
    <xf numFmtId="0" fontId="0" fillId="0" borderId="39" xfId="0" applyBorder="1" applyAlignment="1">
      <alignment wrapText="1"/>
    </xf>
    <xf numFmtId="0" fontId="0" fillId="0" borderId="39" xfId="0" applyFill="1" applyBorder="1" applyAlignment="1">
      <alignment wrapText="1"/>
    </xf>
    <xf numFmtId="0" fontId="1" fillId="0" borderId="40" xfId="0" applyFont="1" applyBorder="1" applyAlignment="1">
      <alignment wrapText="1"/>
    </xf>
    <xf numFmtId="164" fontId="3" fillId="0" borderId="35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64" fontId="3" fillId="8" borderId="35" xfId="0" applyNumberFormat="1" applyFont="1" applyFill="1" applyBorder="1"/>
    <xf numFmtId="164" fontId="3" fillId="7" borderId="35" xfId="0" applyNumberFormat="1" applyFont="1" applyFill="1" applyBorder="1"/>
    <xf numFmtId="164" fontId="3" fillId="6" borderId="35" xfId="0" applyNumberFormat="1" applyFont="1" applyFill="1" applyBorder="1"/>
    <xf numFmtId="164" fontId="3" fillId="6" borderId="36" xfId="0" applyNumberFormat="1" applyFont="1" applyFill="1" applyBorder="1"/>
    <xf numFmtId="164" fontId="1" fillId="0" borderId="0" xfId="0" applyNumberFormat="1" applyFont="1" applyFill="1" applyBorder="1"/>
    <xf numFmtId="167" fontId="1" fillId="0" borderId="0" xfId="0" applyNumberFormat="1" applyFont="1" applyFill="1" applyBorder="1"/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/>
    <xf numFmtId="0" fontId="3" fillId="0" borderId="1" xfId="1" applyFont="1" applyFill="1" applyBorder="1" applyAlignment="1">
      <alignment horizontal="center"/>
    </xf>
    <xf numFmtId="9" fontId="3" fillId="0" borderId="12" xfId="4" applyFont="1" applyFill="1" applyBorder="1"/>
    <xf numFmtId="43" fontId="3" fillId="0" borderId="12" xfId="1" applyNumberFormat="1" applyFont="1" applyFill="1" applyBorder="1"/>
    <xf numFmtId="164" fontId="3" fillId="8" borderId="13" xfId="2" applyNumberFormat="1" applyFont="1" applyFill="1" applyBorder="1"/>
    <xf numFmtId="164" fontId="3" fillId="8" borderId="14" xfId="2" applyNumberFormat="1" applyFont="1" applyFill="1" applyBorder="1"/>
    <xf numFmtId="164" fontId="3" fillId="8" borderId="12" xfId="2" applyNumberFormat="1" applyFont="1" applyFill="1" applyBorder="1"/>
    <xf numFmtId="164" fontId="3" fillId="8" borderId="15" xfId="2" applyNumberFormat="1" applyFont="1" applyFill="1" applyBorder="1"/>
    <xf numFmtId="164" fontId="3" fillId="8" borderId="0" xfId="2" applyNumberFormat="1" applyFont="1" applyFill="1" applyBorder="1"/>
    <xf numFmtId="164" fontId="3" fillId="7" borderId="14" xfId="2" applyNumberFormat="1" applyFont="1" applyFill="1" applyBorder="1"/>
    <xf numFmtId="164" fontId="3" fillId="7" borderId="0" xfId="2" applyNumberFormat="1" applyFont="1" applyFill="1" applyBorder="1"/>
    <xf numFmtId="0" fontId="4" fillId="6" borderId="4" xfId="1" applyFont="1" applyFill="1" applyBorder="1"/>
    <xf numFmtId="0" fontId="3" fillId="6" borderId="4" xfId="1" applyFont="1" applyFill="1" applyBorder="1"/>
    <xf numFmtId="0" fontId="4" fillId="6" borderId="1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164" fontId="3" fillId="6" borderId="4" xfId="2" applyNumberFormat="1" applyFont="1" applyFill="1" applyBorder="1" applyAlignment="1"/>
    <xf numFmtId="164" fontId="3" fillId="6" borderId="14" xfId="2" applyNumberFormat="1" applyFont="1" applyFill="1" applyBorder="1"/>
    <xf numFmtId="164" fontId="3" fillId="6" borderId="3" xfId="2" applyNumberFormat="1" applyFont="1" applyFill="1" applyBorder="1" applyAlignment="1"/>
    <xf numFmtId="164" fontId="3" fillId="6" borderId="2" xfId="2" applyNumberFormat="1" applyFont="1" applyFill="1" applyBorder="1" applyAlignment="1"/>
    <xf numFmtId="164" fontId="3" fillId="6" borderId="0" xfId="2" applyNumberFormat="1" applyFont="1" applyFill="1" applyBorder="1"/>
    <xf numFmtId="0" fontId="4" fillId="8" borderId="11" xfId="1" applyFont="1" applyFill="1" applyBorder="1"/>
    <xf numFmtId="0" fontId="8" fillId="8" borderId="4" xfId="1" applyFont="1" applyFill="1" applyBorder="1"/>
    <xf numFmtId="0" fontId="3" fillId="8" borderId="4" xfId="1" applyFont="1" applyFill="1" applyBorder="1"/>
    <xf numFmtId="0" fontId="4" fillId="7" borderId="11" xfId="1" applyFont="1" applyFill="1" applyBorder="1"/>
    <xf numFmtId="0" fontId="3" fillId="7" borderId="4" xfId="1" applyFont="1" applyFill="1" applyBorder="1"/>
    <xf numFmtId="0" fontId="4" fillId="7" borderId="1" xfId="1" applyFont="1" applyFill="1" applyBorder="1" applyAlignment="1">
      <alignment horizontal="center"/>
    </xf>
    <xf numFmtId="43" fontId="1" fillId="0" borderId="0" xfId="0" applyNumberFormat="1" applyFont="1" applyFill="1" applyBorder="1"/>
    <xf numFmtId="38" fontId="23" fillId="6" borderId="34" xfId="2" applyNumberFormat="1" applyFont="1" applyFill="1" applyBorder="1" applyAlignment="1">
      <alignment horizontal="right"/>
    </xf>
    <xf numFmtId="0" fontId="3" fillId="9" borderId="3" xfId="0" applyFont="1" applyFill="1" applyBorder="1" applyAlignment="1">
      <alignment horizontal="right"/>
    </xf>
    <xf numFmtId="0" fontId="3" fillId="10" borderId="3" xfId="0" applyFont="1" applyFill="1" applyBorder="1" applyAlignment="1">
      <alignment horizontal="right"/>
    </xf>
    <xf numFmtId="0" fontId="4" fillId="0" borderId="6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center"/>
    </xf>
    <xf numFmtId="0" fontId="3" fillId="0" borderId="0" xfId="1" applyFont="1" applyFill="1" applyBorder="1"/>
    <xf numFmtId="164" fontId="3" fillId="8" borderId="19" xfId="2" applyNumberFormat="1" applyFont="1" applyFill="1" applyBorder="1"/>
    <xf numFmtId="164" fontId="3" fillId="0" borderId="13" xfId="1" applyNumberFormat="1" applyFont="1" applyFill="1" applyBorder="1"/>
    <xf numFmtId="0" fontId="3" fillId="0" borderId="3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2" fontId="14" fillId="0" borderId="3" xfId="4" applyNumberFormat="1" applyFont="1" applyFill="1" applyBorder="1" applyAlignment="1">
      <alignment horizontal="center"/>
    </xf>
    <xf numFmtId="9" fontId="0" fillId="0" borderId="0" xfId="4" applyNumberFormat="1" applyFont="1"/>
    <xf numFmtId="0" fontId="3" fillId="0" borderId="3" xfId="0" applyFont="1" applyBorder="1" applyAlignment="1">
      <alignment horizontal="right"/>
    </xf>
    <xf numFmtId="164" fontId="3" fillId="6" borderId="7" xfId="0" applyNumberFormat="1" applyFont="1" applyFill="1" applyBorder="1" applyAlignment="1">
      <alignment horizontal="right"/>
    </xf>
    <xf numFmtId="168" fontId="3" fillId="0" borderId="7" xfId="0" applyNumberFormat="1" applyFont="1" applyFill="1" applyBorder="1" applyAlignment="1">
      <alignment horizontal="center"/>
    </xf>
    <xf numFmtId="43" fontId="3" fillId="0" borderId="7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vertical="center" wrapText="1"/>
    </xf>
    <xf numFmtId="164" fontId="3" fillId="0" borderId="3" xfId="2" applyNumberFormat="1" applyFont="1" applyBorder="1" applyAlignment="1">
      <alignment horizontal="right"/>
    </xf>
    <xf numFmtId="164" fontId="2" fillId="0" borderId="0" xfId="0" applyNumberFormat="1" applyFont="1"/>
    <xf numFmtId="164" fontId="3" fillId="8" borderId="6" xfId="2" applyNumberFormat="1" applyFont="1" applyFill="1" applyBorder="1"/>
    <xf numFmtId="164" fontId="3" fillId="6" borderId="12" xfId="2" applyNumberFormat="1" applyFont="1" applyFill="1" applyBorder="1"/>
    <xf numFmtId="164" fontId="3" fillId="6" borderId="15" xfId="2" applyNumberFormat="1" applyFont="1" applyFill="1" applyBorder="1"/>
    <xf numFmtId="164" fontId="3" fillId="6" borderId="6" xfId="2" applyNumberFormat="1" applyFont="1" applyFill="1" applyBorder="1"/>
    <xf numFmtId="164" fontId="3" fillId="6" borderId="6" xfId="2" applyNumberFormat="1" applyFont="1" applyFill="1" applyBorder="1" applyAlignment="1"/>
    <xf numFmtId="164" fontId="3" fillId="6" borderId="19" xfId="2" applyNumberFormat="1" applyFont="1" applyFill="1" applyBorder="1"/>
    <xf numFmtId="164" fontId="3" fillId="7" borderId="12" xfId="2" applyNumberFormat="1" applyFont="1" applyFill="1" applyBorder="1"/>
    <xf numFmtId="164" fontId="3" fillId="7" borderId="15" xfId="2" applyNumberFormat="1" applyFont="1" applyFill="1" applyBorder="1"/>
    <xf numFmtId="164" fontId="3" fillId="7" borderId="6" xfId="2" applyNumberFormat="1" applyFont="1" applyFill="1" applyBorder="1"/>
    <xf numFmtId="164" fontId="3" fillId="7" borderId="19" xfId="2" applyNumberFormat="1" applyFont="1" applyFill="1" applyBorder="1"/>
    <xf numFmtId="0" fontId="1" fillId="11" borderId="0" xfId="0" applyFont="1" applyFill="1" applyAlignment="1">
      <alignment horizontal="right"/>
    </xf>
    <xf numFmtId="0" fontId="1" fillId="11" borderId="0" xfId="0" applyFont="1" applyFill="1"/>
    <xf numFmtId="168" fontId="3" fillId="0" borderId="3" xfId="4" applyNumberFormat="1" applyFont="1" applyBorder="1" applyAlignment="1">
      <alignment horizontal="right"/>
    </xf>
    <xf numFmtId="10" fontId="3" fillId="0" borderId="3" xfId="4" applyNumberFormat="1" applyFont="1" applyFill="1" applyBorder="1" applyAlignment="1">
      <alignment horizontal="right"/>
    </xf>
    <xf numFmtId="0" fontId="3" fillId="0" borderId="7" xfId="1" applyFont="1" applyFill="1" applyBorder="1" applyAlignment="1">
      <alignment horizontal="right"/>
    </xf>
    <xf numFmtId="164" fontId="3" fillId="0" borderId="3" xfId="2" applyNumberFormat="1" applyFont="1" applyFill="1" applyBorder="1" applyAlignment="1">
      <alignment horizontal="right"/>
    </xf>
    <xf numFmtId="164" fontId="1" fillId="0" borderId="3" xfId="2" applyNumberFormat="1" applyFont="1" applyBorder="1" applyAlignment="1"/>
    <xf numFmtId="0" fontId="3" fillId="0" borderId="3" xfId="1" applyFont="1" applyFill="1" applyBorder="1" applyAlignment="1">
      <alignment horizontal="right"/>
    </xf>
    <xf numFmtId="0" fontId="3" fillId="0" borderId="1" xfId="1" applyFont="1" applyBorder="1" applyAlignment="1">
      <alignment horizontal="right" vertical="center"/>
    </xf>
    <xf numFmtId="0" fontId="1" fillId="0" borderId="1" xfId="1" applyBorder="1" applyAlignment="1"/>
    <xf numFmtId="10" fontId="3" fillId="0" borderId="7" xfId="4" applyNumberFormat="1" applyFont="1" applyFill="1" applyBorder="1" applyAlignment="1">
      <alignment horizontal="right"/>
    </xf>
    <xf numFmtId="10" fontId="3" fillId="0" borderId="2" xfId="4" applyNumberFormat="1" applyFont="1" applyFill="1" applyBorder="1" applyAlignment="1">
      <alignment horizontal="right"/>
    </xf>
    <xf numFmtId="10" fontId="3" fillId="0" borderId="0" xfId="4" applyNumberFormat="1" applyFont="1" applyFill="1" applyBorder="1" applyAlignment="1">
      <alignment horizontal="right"/>
    </xf>
    <xf numFmtId="10" fontId="3" fillId="0" borderId="0" xfId="1" applyNumberFormat="1" applyFont="1"/>
    <xf numFmtId="10" fontId="0" fillId="0" borderId="0" xfId="4" applyNumberFormat="1" applyFont="1"/>
    <xf numFmtId="164" fontId="3" fillId="0" borderId="1" xfId="1" applyNumberFormat="1" applyFont="1" applyFill="1" applyBorder="1"/>
    <xf numFmtId="43" fontId="1" fillId="0" borderId="29" xfId="0" applyNumberFormat="1" applyFont="1" applyFill="1" applyBorder="1"/>
    <xf numFmtId="167" fontId="1" fillId="0" borderId="29" xfId="0" applyNumberFormat="1" applyFont="1" applyFill="1" applyBorder="1"/>
    <xf numFmtId="164" fontId="3" fillId="0" borderId="3" xfId="2" applyNumberFormat="1" applyFont="1" applyFill="1" applyBorder="1" applyAlignment="1">
      <alignment horizontal="right"/>
    </xf>
    <xf numFmtId="164" fontId="1" fillId="0" borderId="3" xfId="2" applyNumberFormat="1" applyFont="1" applyBorder="1" applyAlignment="1"/>
    <xf numFmtId="164" fontId="3" fillId="0" borderId="1" xfId="2" applyNumberFormat="1" applyFont="1" applyFill="1" applyBorder="1" applyAlignment="1">
      <alignment horizontal="right"/>
    </xf>
    <xf numFmtId="164" fontId="1" fillId="0" borderId="1" xfId="2" applyNumberFormat="1" applyFont="1" applyFill="1" applyBorder="1" applyAlignment="1"/>
    <xf numFmtId="0" fontId="3" fillId="0" borderId="1" xfId="1" applyFont="1" applyBorder="1" applyAlignment="1">
      <alignment horizontal="right"/>
    </xf>
    <xf numFmtId="0" fontId="1" fillId="0" borderId="1" xfId="1" applyBorder="1" applyAlignment="1"/>
    <xf numFmtId="0" fontId="3" fillId="0" borderId="3" xfId="1" applyFont="1" applyBorder="1" applyAlignment="1">
      <alignment horizontal="right"/>
    </xf>
    <xf numFmtId="0" fontId="3" fillId="0" borderId="5" xfId="1" applyFont="1" applyBorder="1" applyAlignment="1">
      <alignment horizontal="right"/>
    </xf>
    <xf numFmtId="0" fontId="4" fillId="0" borderId="4" xfId="1" applyFont="1" applyBorder="1" applyAlignment="1"/>
    <xf numFmtId="0" fontId="1" fillId="0" borderId="4" xfId="1" applyBorder="1" applyAlignment="1"/>
    <xf numFmtId="0" fontId="1" fillId="0" borderId="3" xfId="1" applyBorder="1" applyAlignment="1"/>
    <xf numFmtId="0" fontId="3" fillId="0" borderId="0" xfId="1" applyFont="1" applyBorder="1" applyAlignment="1">
      <alignment horizontal="right" vertical="center"/>
    </xf>
    <xf numFmtId="0" fontId="1" fillId="0" borderId="0" xfId="1" applyBorder="1" applyAlignment="1"/>
    <xf numFmtId="0" fontId="3" fillId="0" borderId="0" xfId="1" applyFont="1" applyBorder="1" applyAlignment="1">
      <alignment horizontal="center" vertical="center"/>
    </xf>
    <xf numFmtId="164" fontId="3" fillId="0" borderId="7" xfId="2" applyNumberFormat="1" applyFont="1" applyFill="1" applyBorder="1" applyAlignment="1">
      <alignment horizontal="right"/>
    </xf>
    <xf numFmtId="164" fontId="1" fillId="0" borderId="7" xfId="2" applyNumberFormat="1" applyFont="1" applyBorder="1" applyAlignment="1"/>
    <xf numFmtId="0" fontId="3" fillId="0" borderId="1" xfId="1" applyFont="1" applyFill="1" applyBorder="1" applyAlignment="1">
      <alignment horizontal="right"/>
    </xf>
    <xf numFmtId="0" fontId="1" fillId="0" borderId="1" xfId="1" applyFill="1" applyBorder="1" applyAlignment="1"/>
    <xf numFmtId="164" fontId="3" fillId="0" borderId="5" xfId="2" applyNumberFormat="1" applyFont="1" applyFill="1" applyBorder="1" applyAlignment="1">
      <alignment horizontal="right"/>
    </xf>
    <xf numFmtId="164" fontId="1" fillId="0" borderId="5" xfId="2" applyNumberFormat="1" applyFont="1" applyBorder="1" applyAlignment="1"/>
    <xf numFmtId="0" fontId="4" fillId="0" borderId="6" xfId="1" applyFont="1" applyBorder="1" applyAlignment="1">
      <alignment horizontal="left"/>
    </xf>
    <xf numFmtId="0" fontId="1" fillId="0" borderId="6" xfId="1" applyBorder="1" applyAlignment="1"/>
    <xf numFmtId="6" fontId="3" fillId="0" borderId="10" xfId="1" applyNumberFormat="1" applyFont="1" applyFill="1" applyBorder="1" applyAlignment="1">
      <alignment horizontal="center"/>
    </xf>
    <xf numFmtId="6" fontId="3" fillId="0" borderId="1" xfId="1" applyNumberFormat="1" applyFont="1" applyFill="1" applyBorder="1" applyAlignment="1">
      <alignment horizontal="center"/>
    </xf>
    <xf numFmtId="164" fontId="3" fillId="0" borderId="2" xfId="2" applyNumberFormat="1" applyFont="1" applyFill="1" applyBorder="1" applyAlignment="1">
      <alignment horizontal="right"/>
    </xf>
    <xf numFmtId="164" fontId="1" fillId="0" borderId="2" xfId="2" applyNumberFormat="1" applyFont="1" applyBorder="1" applyAlignment="1"/>
    <xf numFmtId="164" fontId="3" fillId="0" borderId="0" xfId="2" applyNumberFormat="1" applyFont="1" applyFill="1" applyBorder="1" applyAlignment="1">
      <alignment horizontal="right"/>
    </xf>
    <xf numFmtId="164" fontId="1" fillId="0" borderId="0" xfId="2" applyNumberFormat="1" applyFont="1" applyBorder="1" applyAlignment="1"/>
    <xf numFmtId="0" fontId="3" fillId="0" borderId="0" xfId="1" applyFont="1" applyBorder="1" applyAlignment="1">
      <alignment horizontal="right"/>
    </xf>
    <xf numFmtId="0" fontId="3" fillId="5" borderId="3" xfId="1" applyFont="1" applyFill="1" applyBorder="1" applyAlignment="1">
      <alignment horizontal="right"/>
    </xf>
    <xf numFmtId="164" fontId="3" fillId="5" borderId="3" xfId="2" applyNumberFormat="1" applyFont="1" applyFill="1" applyBorder="1" applyAlignment="1">
      <alignment horizontal="right"/>
    </xf>
    <xf numFmtId="164" fontId="1" fillId="5" borderId="3" xfId="2" applyNumberFormat="1" applyFont="1" applyFill="1" applyBorder="1" applyAlignment="1"/>
    <xf numFmtId="0" fontId="3" fillId="0" borderId="1" xfId="1" applyFont="1" applyBorder="1" applyAlignment="1">
      <alignment horizontal="right" vertical="center"/>
    </xf>
    <xf numFmtId="0" fontId="4" fillId="0" borderId="6" xfId="1" applyFont="1" applyFill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5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3" fillId="0" borderId="23" xfId="1" applyFont="1" applyBorder="1" applyAlignment="1">
      <alignment horizontal="right" vertical="center"/>
    </xf>
    <xf numFmtId="0" fontId="3" fillId="0" borderId="24" xfId="1" applyFont="1" applyBorder="1" applyAlignment="1">
      <alignment horizontal="right" vertical="center"/>
    </xf>
    <xf numFmtId="0" fontId="3" fillId="0" borderId="22" xfId="1" applyFont="1" applyBorder="1" applyAlignment="1">
      <alignment horizontal="right" vertical="center"/>
    </xf>
    <xf numFmtId="164" fontId="3" fillId="0" borderId="4" xfId="2" applyNumberFormat="1" applyFont="1" applyFill="1" applyBorder="1" applyAlignment="1">
      <alignment horizontal="right"/>
    </xf>
    <xf numFmtId="164" fontId="1" fillId="0" borderId="4" xfId="2" applyNumberFormat="1" applyFont="1" applyBorder="1" applyAlignment="1"/>
    <xf numFmtId="0" fontId="4" fillId="0" borderId="4" xfId="1" applyFont="1" applyBorder="1" applyAlignment="1">
      <alignment vertical="center"/>
    </xf>
    <xf numFmtId="0" fontId="3" fillId="0" borderId="4" xfId="1" applyFont="1" applyBorder="1" applyAlignment="1">
      <alignment horizontal="center"/>
    </xf>
    <xf numFmtId="0" fontId="4" fillId="0" borderId="2" xfId="1" applyFont="1" applyBorder="1" applyAlignment="1">
      <alignment horizontal="left" wrapText="1"/>
    </xf>
    <xf numFmtId="0" fontId="1" fillId="0" borderId="1" xfId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1" fillId="0" borderId="1" xfId="1" applyBorder="1" applyAlignment="1">
      <alignment wrapText="1"/>
    </xf>
    <xf numFmtId="0" fontId="3" fillId="0" borderId="2" xfId="1" applyFont="1" applyBorder="1" applyAlignment="1">
      <alignment horizontal="right"/>
    </xf>
    <xf numFmtId="0" fontId="1" fillId="0" borderId="2" xfId="1" applyBorder="1" applyAlignment="1"/>
    <xf numFmtId="0" fontId="9" fillId="0" borderId="6" xfId="1" applyFont="1" applyBorder="1" applyAlignment="1">
      <alignment horizontal="center"/>
    </xf>
    <xf numFmtId="0" fontId="4" fillId="0" borderId="6" xfId="1" applyFont="1" applyBorder="1" applyAlignment="1">
      <alignment horizontal="right"/>
    </xf>
    <xf numFmtId="0" fontId="5" fillId="2" borderId="0" xfId="1" applyFont="1" applyFill="1" applyBorder="1" applyAlignment="1">
      <alignment horizontal="left" vertical="center"/>
    </xf>
    <xf numFmtId="0" fontId="6" fillId="2" borderId="0" xfId="1" applyFont="1" applyFill="1" applyAlignment="1">
      <alignment vertical="center"/>
    </xf>
    <xf numFmtId="0" fontId="4" fillId="0" borderId="10" xfId="1" applyFont="1" applyFill="1" applyBorder="1" applyAlignment="1">
      <alignment horizontal="right"/>
    </xf>
    <xf numFmtId="0" fontId="4" fillId="0" borderId="5" xfId="1" applyFont="1" applyBorder="1" applyAlignment="1">
      <alignment horizontal="left"/>
    </xf>
    <xf numFmtId="0" fontId="3" fillId="0" borderId="3" xfId="1" applyFont="1" applyFill="1" applyBorder="1" applyAlignment="1">
      <alignment horizontal="right"/>
    </xf>
    <xf numFmtId="0" fontId="4" fillId="0" borderId="7" xfId="1" applyFont="1" applyBorder="1" applyAlignment="1">
      <alignment horizontal="left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</cellXfs>
  <cellStyles count="6">
    <cellStyle name="Comma" xfId="2" builtinId="3"/>
    <cellStyle name="Normal" xfId="0" builtinId="0"/>
    <cellStyle name="Normal 2" xfId="1" xr:uid="{00000000-0005-0000-0000-000001000000}"/>
    <cellStyle name="Normal 3" xfId="5" xr:uid="{4D4C1697-3DE0-4A71-B498-11C9E528B2E7}"/>
    <cellStyle name="Percent" xfId="4" builtinId="5"/>
    <cellStyle name="常规 2" xfId="3" xr:uid="{992B7298-4660-4327-98CC-EFCEAD3FBC3B}"/>
  </cellStyles>
  <dxfs count="0"/>
  <tableStyles count="0" defaultTableStyle="TableStyleMedium9" defaultPivotStyle="PivotStyleLight16"/>
  <colors>
    <mruColors>
      <color rgb="FFDFD8E8"/>
      <color rgb="FFFFEEB7"/>
      <color rgb="FF0055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57150</xdr:rowOff>
    </xdr:from>
    <xdr:to>
      <xdr:col>1</xdr:col>
      <xdr:colOff>1552575</xdr:colOff>
      <xdr:row>4</xdr:row>
      <xdr:rowOff>37552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59D7AA4-72AE-48DB-A65A-3B8DB8E02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57150"/>
          <a:ext cx="1409700" cy="6376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12</xdr:row>
      <xdr:rowOff>104775</xdr:rowOff>
    </xdr:from>
    <xdr:to>
      <xdr:col>6</xdr:col>
      <xdr:colOff>486060</xdr:colOff>
      <xdr:row>14</xdr:row>
      <xdr:rowOff>76241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215C04-1A36-45D4-8E87-4618F496D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5075" y="428625"/>
          <a:ext cx="2038635" cy="2953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41</xdr:row>
      <xdr:rowOff>0</xdr:rowOff>
    </xdr:from>
    <xdr:to>
      <xdr:col>7</xdr:col>
      <xdr:colOff>304800</xdr:colOff>
      <xdr:row>42</xdr:row>
      <xdr:rowOff>142875</xdr:rowOff>
    </xdr:to>
    <xdr:sp macro="" textlink="">
      <xdr:nvSpPr>
        <xdr:cNvPr id="32769" name="AutoShape 1">
          <a:extLst>
            <a:ext uri="{FF2B5EF4-FFF2-40B4-BE49-F238E27FC236}">
              <a16:creationId xmlns:a16="http://schemas.microsoft.com/office/drawing/2014/main" id="{D32FE6E0-7A4C-431B-A56D-085777EA4D7C}"/>
            </a:ext>
          </a:extLst>
        </xdr:cNvPr>
        <xdr:cNvSpPr>
          <a:spLocks noChangeAspect="1" noChangeArrowheads="1"/>
        </xdr:cNvSpPr>
      </xdr:nvSpPr>
      <xdr:spPr bwMode="auto">
        <a:xfrm>
          <a:off x="7458075" y="666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342900</xdr:colOff>
      <xdr:row>15</xdr:row>
      <xdr:rowOff>98145</xdr:rowOff>
    </xdr:from>
    <xdr:to>
      <xdr:col>16</xdr:col>
      <xdr:colOff>399854</xdr:colOff>
      <xdr:row>34</xdr:row>
      <xdr:rowOff>85724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455F50-271F-44CA-8940-A2BA9797F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39450" y="2527020"/>
          <a:ext cx="6581579" cy="30927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30</xdr:row>
      <xdr:rowOff>0</xdr:rowOff>
    </xdr:from>
    <xdr:to>
      <xdr:col>15</xdr:col>
      <xdr:colOff>304800</xdr:colOff>
      <xdr:row>31</xdr:row>
      <xdr:rowOff>142875</xdr:rowOff>
    </xdr:to>
    <xdr:sp macro="" textlink="">
      <xdr:nvSpPr>
        <xdr:cNvPr id="26625" name="avatar">
          <a:extLst>
            <a:ext uri="{FF2B5EF4-FFF2-40B4-BE49-F238E27FC236}">
              <a16:creationId xmlns:a16="http://schemas.microsoft.com/office/drawing/2014/main" id="{0595BC6C-7957-4B56-A00A-DB3448BBAF9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32</xdr:row>
      <xdr:rowOff>0</xdr:rowOff>
    </xdr:from>
    <xdr:to>
      <xdr:col>19</xdr:col>
      <xdr:colOff>304800</xdr:colOff>
      <xdr:row>33</xdr:row>
      <xdr:rowOff>133350</xdr:rowOff>
    </xdr:to>
    <xdr:sp macro="" textlink="">
      <xdr:nvSpPr>
        <xdr:cNvPr id="20483" name="avatar">
          <a:extLst>
            <a:ext uri="{FF2B5EF4-FFF2-40B4-BE49-F238E27FC236}">
              <a16:creationId xmlns:a16="http://schemas.microsoft.com/office/drawing/2014/main" id="{9B15A84E-F580-4F6C-BD8D-5555B720F77D}"/>
            </a:ext>
          </a:extLst>
        </xdr:cNvPr>
        <xdr:cNvSpPr>
          <a:spLocks noChangeAspect="1" noChangeArrowheads="1"/>
        </xdr:cNvSpPr>
      </xdr:nvSpPr>
      <xdr:spPr bwMode="auto">
        <a:xfrm>
          <a:off x="13563600" y="599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1227667</xdr:colOff>
      <xdr:row>21</xdr:row>
      <xdr:rowOff>31751</xdr:rowOff>
    </xdr:from>
    <xdr:to>
      <xdr:col>20</xdr:col>
      <xdr:colOff>399889</xdr:colOff>
      <xdr:row>38</xdr:row>
      <xdr:rowOff>81370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14E992-A278-44F0-A083-284DE3974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86667" y="4074584"/>
          <a:ext cx="3553722" cy="330928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Wang, Bea" id="{24930E27-A0F2-44BE-BF5E-E1F286349C92}" userId="Wang, Bea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4" dT="2022-01-22T00:04:37.55" personId="{24930E27-A0F2-44BE-BF5E-E1F286349C92}" id="{DB4DAFD9-38C0-4AF2-B987-8F68A9AE1A7E}">
    <text>Not many retail open, *0.2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25" dT="2022-01-25T01:12:06.44" personId="{24930E27-A0F2-44BE-BF5E-E1F286349C92}" id="{005D3338-C2CB-49FC-91F2-E2792FDAF640}">
    <text>Not much retail open yet. *0.5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6" Type="http://schemas.microsoft.com/office/2017/10/relationships/threadedComment" Target="../threadedComments/threadedComment2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AB115"/>
  <sheetViews>
    <sheetView tabSelected="1" view="pageLayout" zoomScaleNormal="100" zoomScaleSheetLayoutView="100" workbookViewId="0">
      <selection activeCell="K112" sqref="K112"/>
    </sheetView>
  </sheetViews>
  <sheetFormatPr defaultColWidth="9.140625" defaultRowHeight="14.1" customHeight="1"/>
  <cols>
    <col min="1" max="1" width="12.5703125" style="65" customWidth="1"/>
    <col min="2" max="2" width="16.42578125" style="65" customWidth="1"/>
    <col min="3" max="3" width="10" style="90" customWidth="1"/>
    <col min="4" max="4" width="14.5703125" style="65" customWidth="1"/>
    <col min="5" max="5" width="15.7109375" style="65" customWidth="1"/>
    <col min="6" max="6" width="15" style="65" customWidth="1"/>
    <col min="7" max="7" width="15.85546875" style="65" customWidth="1"/>
    <col min="8" max="8" width="15" style="65" customWidth="1"/>
    <col min="9" max="9" width="15.42578125" style="65" customWidth="1"/>
    <col min="10" max="10" width="15.85546875" style="65" customWidth="1"/>
    <col min="11" max="11" width="14" style="65" customWidth="1"/>
    <col min="12" max="12" width="13.5703125" style="65" customWidth="1"/>
    <col min="13" max="13" width="15.140625" style="65" customWidth="1"/>
    <col min="14" max="14" width="9.140625" style="65"/>
    <col min="15" max="15" width="28" style="65" bestFit="1" customWidth="1"/>
    <col min="16" max="16" width="7.7109375" style="65" bestFit="1" customWidth="1"/>
    <col min="17" max="17" width="12" style="65" bestFit="1" customWidth="1"/>
    <col min="18" max="18" width="12.28515625" style="65" customWidth="1"/>
    <col min="19" max="25" width="9.85546875" style="65" bestFit="1" customWidth="1"/>
    <col min="26" max="26" width="10.7109375" style="65" bestFit="1" customWidth="1"/>
    <col min="27" max="16384" width="9.140625" style="65"/>
  </cols>
  <sheetData>
    <row r="1" spans="1:13" s="62" customFormat="1" ht="13.5" customHeight="1">
      <c r="A1" s="115" t="s">
        <v>0</v>
      </c>
      <c r="B1" s="115"/>
      <c r="C1" s="116"/>
      <c r="D1" s="117"/>
      <c r="E1" s="117"/>
      <c r="F1" s="117"/>
      <c r="G1" s="117"/>
      <c r="H1" s="117"/>
      <c r="I1" s="117"/>
      <c r="J1" s="117"/>
      <c r="K1" s="117"/>
      <c r="L1" s="214" t="s">
        <v>1</v>
      </c>
      <c r="M1" s="214" t="s">
        <v>236</v>
      </c>
    </row>
    <row r="2" spans="1:13" ht="11.25" customHeight="1">
      <c r="A2" s="63"/>
      <c r="B2" s="63"/>
      <c r="C2" s="64" t="s">
        <v>2</v>
      </c>
      <c r="D2" s="658" t="s">
        <v>3</v>
      </c>
      <c r="E2" s="659"/>
      <c r="F2" s="660"/>
      <c r="G2" s="661" t="s">
        <v>198</v>
      </c>
      <c r="H2" s="662"/>
      <c r="I2" s="662"/>
      <c r="J2" s="649" t="s">
        <v>221</v>
      </c>
      <c r="K2" s="650"/>
      <c r="L2" s="650"/>
      <c r="M2" s="650"/>
    </row>
    <row r="3" spans="1:13" ht="11.25" customHeight="1">
      <c r="A3" s="66"/>
      <c r="B3" s="66"/>
      <c r="C3" s="67" t="s">
        <v>124</v>
      </c>
      <c r="D3" s="297">
        <v>2024</v>
      </c>
      <c r="E3" s="449">
        <f>D3+1</f>
        <v>2025</v>
      </c>
      <c r="F3" s="449">
        <f t="shared" ref="F3:K3" si="0">E3+1</f>
        <v>2026</v>
      </c>
      <c r="G3" s="663">
        <f t="shared" si="0"/>
        <v>2027</v>
      </c>
      <c r="H3" s="663">
        <f t="shared" si="0"/>
        <v>2028</v>
      </c>
      <c r="I3" s="663">
        <f t="shared" si="0"/>
        <v>2029</v>
      </c>
      <c r="J3" s="651">
        <f t="shared" si="0"/>
        <v>2030</v>
      </c>
      <c r="K3" s="651">
        <f t="shared" si="0"/>
        <v>2031</v>
      </c>
      <c r="L3" s="652">
        <f>K3+1</f>
        <v>2032</v>
      </c>
      <c r="M3" s="651">
        <f>L3+1</f>
        <v>2033</v>
      </c>
    </row>
    <row r="4" spans="1:13" ht="11.25" customHeight="1">
      <c r="A4" s="69" t="s">
        <v>4</v>
      </c>
      <c r="B4" s="69"/>
      <c r="C4" s="70"/>
      <c r="D4" s="642"/>
      <c r="E4" s="304"/>
      <c r="F4" s="304"/>
      <c r="G4" s="248"/>
      <c r="H4" s="248"/>
      <c r="I4" s="248"/>
      <c r="J4" s="188"/>
      <c r="K4" s="188"/>
      <c r="L4" s="653"/>
      <c r="M4" s="188"/>
    </row>
    <row r="5" spans="1:13" ht="11.25" customHeight="1">
      <c r="A5" s="749" t="s">
        <v>5</v>
      </c>
      <c r="B5" s="113" t="s">
        <v>6</v>
      </c>
      <c r="C5" s="73"/>
      <c r="D5" s="643">
        <f>'2.Market-rate Rental Housing'!D16</f>
        <v>0</v>
      </c>
      <c r="E5" s="643">
        <f>'2.Market-rate Rental Housing'!E16</f>
        <v>0</v>
      </c>
      <c r="F5" s="643">
        <f>'2.Market-rate Rental Housing'!F16</f>
        <v>0</v>
      </c>
      <c r="G5" s="647">
        <f>'2.Market-rate Rental Housing'!G16</f>
        <v>0</v>
      </c>
      <c r="H5" s="647">
        <f>'2.Market-rate Rental Housing'!H16</f>
        <v>0</v>
      </c>
      <c r="I5" s="647">
        <f>'2.Market-rate Rental Housing'!I16</f>
        <v>14071279.756445434</v>
      </c>
      <c r="J5" s="654">
        <f>'2.Market-rate Rental Housing'!J16</f>
        <v>14493418.149138797</v>
      </c>
      <c r="K5" s="654">
        <f>'2.Market-rate Rental Housing'!K16</f>
        <v>14928220.693612959</v>
      </c>
      <c r="L5" s="654">
        <f>'2.Market-rate Rental Housing'!L16</f>
        <v>17251197.474716637</v>
      </c>
      <c r="M5" s="654">
        <f>'2.Market-rate Rental Housing'!M16</f>
        <v>0</v>
      </c>
    </row>
    <row r="6" spans="1:13" ht="11.25" customHeight="1">
      <c r="A6" s="750"/>
      <c r="B6" s="113" t="s">
        <v>7</v>
      </c>
      <c r="D6" s="643">
        <f>'3.Market-rate For-Sale Housing'!D13</f>
        <v>0</v>
      </c>
      <c r="E6" s="643">
        <f>'3.Market-rate For-Sale Housing'!E13</f>
        <v>0</v>
      </c>
      <c r="F6" s="643">
        <f>'3.Market-rate For-Sale Housing'!F13</f>
        <v>126360000</v>
      </c>
      <c r="G6" s="647">
        <f>'3.Market-rate For-Sale Housing'!G13</f>
        <v>0</v>
      </c>
      <c r="H6" s="647">
        <f>'3.Market-rate For-Sale Housing'!H13</f>
        <v>0</v>
      </c>
      <c r="I6" s="647">
        <f>'3.Market-rate For-Sale Housing'!I13</f>
        <v>0</v>
      </c>
      <c r="J6" s="654">
        <f>'3.Market-rate For-Sale Housing'!J13</f>
        <v>0</v>
      </c>
      <c r="K6" s="654">
        <f>'3.Market-rate For-Sale Housing'!K13</f>
        <v>0</v>
      </c>
      <c r="L6" s="654">
        <f>'3.Market-rate For-Sale Housing'!L13</f>
        <v>62208000</v>
      </c>
      <c r="M6" s="654">
        <f>'3.Market-rate For-Sale Housing'!M13</f>
        <v>0</v>
      </c>
    </row>
    <row r="7" spans="1:13" ht="11.25" customHeight="1">
      <c r="A7" s="250" t="s">
        <v>8</v>
      </c>
      <c r="B7" s="272" t="s">
        <v>6</v>
      </c>
      <c r="C7" s="252"/>
      <c r="D7" s="643"/>
      <c r="E7" s="301"/>
      <c r="F7" s="301"/>
      <c r="G7" s="245"/>
      <c r="H7" s="245"/>
      <c r="I7" s="245"/>
      <c r="J7" s="184"/>
      <c r="K7" s="184"/>
      <c r="L7" s="655"/>
      <c r="M7" s="184"/>
    </row>
    <row r="8" spans="1:13" ht="11.25" customHeight="1">
      <c r="A8" s="749" t="s">
        <v>9</v>
      </c>
      <c r="B8" s="113" t="s">
        <v>6</v>
      </c>
      <c r="C8" s="73"/>
      <c r="D8" s="643">
        <f>'4.Affordable Rental Housing'!D14</f>
        <v>0</v>
      </c>
      <c r="E8" s="643">
        <f>'4.Affordable Rental Housing'!E14</f>
        <v>0</v>
      </c>
      <c r="F8" s="643">
        <f>'4.Affordable Rental Housing'!F14</f>
        <v>3106170.06336</v>
      </c>
      <c r="G8" s="647">
        <f>'4.Affordable Rental Housing'!G14</f>
        <v>3168293.4646271998</v>
      </c>
      <c r="H8" s="647">
        <f>'4.Affordable Rental Housing'!H14</f>
        <v>3231659.333919744</v>
      </c>
      <c r="I8" s="647">
        <f>'4.Affordable Rental Housing'!I14</f>
        <v>4962550.278263133</v>
      </c>
      <c r="J8" s="654">
        <f>'4.Affordable Rental Housing'!J14</f>
        <v>5911592.7402375424</v>
      </c>
      <c r="K8" s="654">
        <f>'4.Affordable Rental Housing'!K14</f>
        <v>7002828.925286388</v>
      </c>
      <c r="L8" s="654">
        <f>'4.Affordable Rental Housing'!L14</f>
        <v>7142885.5037921164</v>
      </c>
      <c r="M8" s="654">
        <f>'4.Affordable Rental Housing'!M14</f>
        <v>7285743.2138679568</v>
      </c>
    </row>
    <row r="9" spans="1:13" ht="11.25" customHeight="1">
      <c r="A9" s="750"/>
      <c r="B9" s="272" t="s">
        <v>7</v>
      </c>
      <c r="C9" s="252"/>
      <c r="D9" s="643"/>
      <c r="E9" s="301"/>
      <c r="F9" s="301"/>
      <c r="G9" s="245"/>
      <c r="H9" s="245"/>
      <c r="I9" s="245"/>
      <c r="J9" s="184"/>
      <c r="K9" s="184"/>
      <c r="L9" s="655"/>
      <c r="M9" s="184"/>
    </row>
    <row r="10" spans="1:13" ht="11.25" customHeight="1">
      <c r="A10" s="718" t="s">
        <v>10</v>
      </c>
      <c r="B10" s="718"/>
      <c r="C10" s="73"/>
      <c r="D10" s="643">
        <f>'5.Office_Commercial'!D14</f>
        <v>0</v>
      </c>
      <c r="E10" s="643">
        <f>'5.Office_Commercial'!E14</f>
        <v>0</v>
      </c>
      <c r="F10" s="643">
        <f>'5.Office_Commercial'!F14</f>
        <v>6421999.6968541332</v>
      </c>
      <c r="G10" s="647">
        <f>'5.Office_Commercial'!G14</f>
        <v>6550439.6907912157</v>
      </c>
      <c r="H10" s="647">
        <f>'5.Office_Commercial'!H14</f>
        <v>6681448.48460704</v>
      </c>
      <c r="I10" s="647">
        <f>'5.Office_Commercial'!I14</f>
        <v>11728992.530883336</v>
      </c>
      <c r="J10" s="654">
        <f>'5.Office_Commercial'!J14</f>
        <v>11963572.381501004</v>
      </c>
      <c r="K10" s="654">
        <f>'5.Office_Commercial'!K14</f>
        <v>12202843.829131022</v>
      </c>
      <c r="L10" s="654">
        <f>'5.Office_Commercial'!L14</f>
        <v>0</v>
      </c>
      <c r="M10" s="654">
        <f>'5.Office_Commercial'!M14</f>
        <v>0</v>
      </c>
    </row>
    <row r="11" spans="1:13" ht="11.25" customHeight="1">
      <c r="A11" s="718" t="s">
        <v>11</v>
      </c>
      <c r="B11" s="718"/>
      <c r="C11" s="73"/>
      <c r="D11" s="643"/>
      <c r="E11" s="301">
        <f>'8.Community Space'!E15</f>
        <v>0</v>
      </c>
      <c r="F11" s="301">
        <f>'8.Community Space'!F15</f>
        <v>0</v>
      </c>
      <c r="G11" s="245">
        <f>'8.Community Space'!G15</f>
        <v>0</v>
      </c>
      <c r="H11" s="245">
        <f>'8.Community Space'!H15</f>
        <v>0</v>
      </c>
      <c r="I11" s="245">
        <f>'8.Community Space'!I15</f>
        <v>219257.78370252444</v>
      </c>
      <c r="J11" s="184">
        <f>'8.Community Space'!J15</f>
        <v>223642.93937657497</v>
      </c>
      <c r="K11" s="184">
        <f>'8.Community Space'!K15</f>
        <v>228115.79816410638</v>
      </c>
      <c r="L11" s="184">
        <f>'8.Community Space'!L15</f>
        <v>0</v>
      </c>
      <c r="M11" s="184">
        <f>'8.Community Space'!M15</f>
        <v>0</v>
      </c>
    </row>
    <row r="12" spans="1:13" ht="11.25" customHeight="1">
      <c r="A12" s="113"/>
      <c r="B12" s="113" t="s">
        <v>12</v>
      </c>
      <c r="C12" s="73"/>
      <c r="D12" s="643">
        <f>'6.Retail '!D16</f>
        <v>0</v>
      </c>
      <c r="E12" s="643">
        <f>'6.Retail '!E16</f>
        <v>0</v>
      </c>
      <c r="F12" s="643">
        <f>'6.Retail '!F16</f>
        <v>125503.5409112835</v>
      </c>
      <c r="G12" s="647">
        <f>'6.Retail '!G16</f>
        <v>128013.61172950915</v>
      </c>
      <c r="H12" s="647">
        <f>'6.Retail '!H16</f>
        <v>130573.88396409934</v>
      </c>
      <c r="I12" s="647">
        <f>'6.Retail '!I16</f>
        <v>0</v>
      </c>
      <c r="J12" s="654">
        <f>'6.Retail '!J16</f>
        <v>0</v>
      </c>
      <c r="K12" s="654">
        <f>'6.Retail '!K16</f>
        <v>0</v>
      </c>
      <c r="L12" s="654">
        <f>'6.Retail '!L16</f>
        <v>29437.423119333125</v>
      </c>
      <c r="M12" s="654">
        <f>'6.Retail '!M16</f>
        <v>0</v>
      </c>
    </row>
    <row r="13" spans="1:13" ht="11.25" customHeight="1">
      <c r="A13" s="741" t="s">
        <v>13</v>
      </c>
      <c r="B13" s="741"/>
      <c r="C13" s="252"/>
      <c r="D13" s="643"/>
      <c r="E13" s="301"/>
      <c r="F13" s="301"/>
      <c r="G13" s="245"/>
      <c r="H13" s="245"/>
      <c r="I13" s="245"/>
      <c r="J13" s="184"/>
      <c r="K13" s="184"/>
      <c r="L13" s="655"/>
      <c r="M13" s="184"/>
    </row>
    <row r="14" spans="1:13" ht="11.25" customHeight="1">
      <c r="A14" s="718" t="s">
        <v>14</v>
      </c>
      <c r="B14" s="718"/>
      <c r="C14" s="73"/>
      <c r="D14" s="643">
        <f>'9.Structured Parking'!D27</f>
        <v>0</v>
      </c>
      <c r="E14" s="643">
        <f>'9.Structured Parking'!E27</f>
        <v>257947.45541383099</v>
      </c>
      <c r="F14" s="643">
        <f>'9.Structured Parking'!F27</f>
        <v>641690.15682708356</v>
      </c>
      <c r="G14" s="647">
        <f>'9.Structured Parking'!G27</f>
        <v>651622.51906455809</v>
      </c>
      <c r="H14" s="647">
        <f>'9.Structured Parking'!H27</f>
        <v>990393.20854678238</v>
      </c>
      <c r="I14" s="647">
        <f>'9.Structured Parking'!I27</f>
        <v>881300.73706295958</v>
      </c>
      <c r="J14" s="654">
        <f>'9.Structured Parking'!J27</f>
        <v>898926.75180421851</v>
      </c>
      <c r="K14" s="654">
        <f>'9.Structured Parking'!K27</f>
        <v>1164415.9877582695</v>
      </c>
      <c r="L14" s="654">
        <f>'9.Structured Parking'!L27</f>
        <v>0</v>
      </c>
      <c r="M14" s="654">
        <f>'9.Structured Parking'!M27</f>
        <v>0</v>
      </c>
    </row>
    <row r="15" spans="1:13" ht="11.25" customHeight="1">
      <c r="A15" s="741" t="s">
        <v>15</v>
      </c>
      <c r="B15" s="741"/>
      <c r="C15" s="252"/>
      <c r="D15" s="643"/>
      <c r="E15" s="301"/>
      <c r="F15" s="301"/>
      <c r="G15" s="245"/>
      <c r="H15" s="245"/>
      <c r="I15" s="245"/>
      <c r="J15" s="184"/>
      <c r="K15" s="184"/>
      <c r="L15" s="184"/>
      <c r="M15" s="184"/>
    </row>
    <row r="16" spans="1:13" ht="11.25" customHeight="1">
      <c r="A16" s="768" t="s">
        <v>16</v>
      </c>
      <c r="B16" s="768"/>
      <c r="C16" s="73"/>
      <c r="D16" s="643">
        <f>'10.Parking-Underground'!D27</f>
        <v>0</v>
      </c>
      <c r="E16" s="643">
        <f>'10.Parking-Underground'!E27</f>
        <v>0</v>
      </c>
      <c r="F16" s="643">
        <f>'10.Parking-Underground'!F27</f>
        <v>249088.01478644009</v>
      </c>
      <c r="G16" s="647">
        <f>'10.Parking-Underground'!G27</f>
        <v>287049.1004916745</v>
      </c>
      <c r="H16" s="647">
        <f>'10.Parking-Underground'!H27</f>
        <v>292790.08250150806</v>
      </c>
      <c r="I16" s="647">
        <f>'10.Parking-Underground'!I27</f>
        <v>696398.68833417981</v>
      </c>
      <c r="J16" s="654">
        <f>'10.Parking-Underground'!J27</f>
        <v>710326.66210086364</v>
      </c>
      <c r="K16" s="654">
        <f>'10.Parking-Underground'!K27</f>
        <v>724533.19534288067</v>
      </c>
      <c r="L16" s="654">
        <f>'10.Parking-Underground'!L27</f>
        <v>739023.85924973839</v>
      </c>
      <c r="M16" s="654">
        <f>'10.Parking-Underground'!M27</f>
        <v>0</v>
      </c>
    </row>
    <row r="17" spans="1:13" ht="11.25" customHeight="1">
      <c r="A17" s="113"/>
      <c r="B17" s="701" t="s">
        <v>17</v>
      </c>
      <c r="C17" s="73"/>
      <c r="D17" s="643">
        <f>-25000</f>
        <v>-25000</v>
      </c>
      <c r="E17" s="301"/>
      <c r="F17" s="301">
        <v>-50000</v>
      </c>
      <c r="G17" s="647"/>
      <c r="H17" s="245"/>
      <c r="I17" s="245">
        <v>-30000</v>
      </c>
      <c r="J17" s="654"/>
      <c r="K17" s="184"/>
      <c r="L17" s="655"/>
      <c r="M17" s="184"/>
    </row>
    <row r="18" spans="1:13" ht="11.25" customHeight="1">
      <c r="A18" s="768" t="s">
        <v>18</v>
      </c>
      <c r="B18" s="768"/>
      <c r="C18" s="73" t="s">
        <v>277</v>
      </c>
      <c r="D18" s="643"/>
      <c r="E18" s="301">
        <v>-50000</v>
      </c>
      <c r="F18" s="301"/>
      <c r="G18" s="245">
        <v>-30000</v>
      </c>
      <c r="H18" s="245"/>
      <c r="I18" s="245"/>
      <c r="J18" s="184">
        <v>-40000</v>
      </c>
      <c r="K18" s="184"/>
      <c r="L18" s="655"/>
      <c r="M18" s="184"/>
    </row>
    <row r="19" spans="1:13" ht="11.25" customHeight="1">
      <c r="A19" s="113"/>
      <c r="B19" s="276" t="s">
        <v>19</v>
      </c>
      <c r="C19" s="73"/>
      <c r="D19" s="643">
        <f>-2%*(D43-D39-D40-D41)</f>
        <v>-2636055.2528396663</v>
      </c>
      <c r="E19" s="643">
        <f t="shared" ref="E19:M19" si="1">-2%*(E43-E39-E40-E41)</f>
        <v>-2416831.2124699997</v>
      </c>
      <c r="F19" s="643">
        <f t="shared" si="1"/>
        <v>0</v>
      </c>
      <c r="G19" s="647">
        <f t="shared" si="1"/>
        <v>-3144240.2294699997</v>
      </c>
      <c r="H19" s="647">
        <f t="shared" si="1"/>
        <v>-2981098.8939099996</v>
      </c>
      <c r="I19" s="647">
        <f t="shared" si="1"/>
        <v>0</v>
      </c>
      <c r="J19" s="654">
        <f t="shared" si="1"/>
        <v>-688269.59668000019</v>
      </c>
      <c r="K19" s="654">
        <f t="shared" si="1"/>
        <v>-786881.00567999994</v>
      </c>
      <c r="L19" s="654">
        <f t="shared" si="1"/>
        <v>0</v>
      </c>
      <c r="M19" s="654">
        <f t="shared" si="1"/>
        <v>0</v>
      </c>
    </row>
    <row r="20" spans="1:13" ht="11.25" customHeight="1">
      <c r="A20" s="718" t="s">
        <v>20</v>
      </c>
      <c r="B20" s="718"/>
      <c r="C20" s="73"/>
      <c r="D20" s="643"/>
      <c r="E20" s="301"/>
      <c r="F20" s="301"/>
      <c r="G20" s="245"/>
      <c r="H20" s="245"/>
      <c r="I20" s="245"/>
      <c r="J20" s="184"/>
      <c r="K20" s="184"/>
      <c r="L20" s="655"/>
      <c r="M20" s="184"/>
    </row>
    <row r="21" spans="1:13" ht="11.25" customHeight="1">
      <c r="A21" s="767" t="s">
        <v>21</v>
      </c>
      <c r="B21" s="767"/>
      <c r="C21" s="66"/>
      <c r="D21" s="644">
        <f>SUM(D4:D20)-D6</f>
        <v>-2661055.2528396663</v>
      </c>
      <c r="E21" s="644">
        <f t="shared" ref="E21:M21" si="2">SUM(E4:E20)-E6</f>
        <v>-2208883.7570561687</v>
      </c>
      <c r="F21" s="644">
        <f t="shared" si="2"/>
        <v>10494451.472738981</v>
      </c>
      <c r="G21" s="690">
        <f t="shared" si="2"/>
        <v>7611178.1572341565</v>
      </c>
      <c r="H21" s="690">
        <f t="shared" si="2"/>
        <v>8345766.0996291731</v>
      </c>
      <c r="I21" s="690">
        <f t="shared" si="2"/>
        <v>32529779.774691567</v>
      </c>
      <c r="J21" s="685">
        <f t="shared" si="2"/>
        <v>33473210.027479</v>
      </c>
      <c r="K21" s="685">
        <f t="shared" si="2"/>
        <v>35464077.423615627</v>
      </c>
      <c r="L21" s="685">
        <f t="shared" si="2"/>
        <v>25162544.260877833</v>
      </c>
      <c r="M21" s="685">
        <f t="shared" si="2"/>
        <v>7285743.2138679568</v>
      </c>
    </row>
    <row r="22" spans="1:13" ht="11.25" customHeight="1">
      <c r="A22" s="767" t="s">
        <v>22</v>
      </c>
      <c r="B22" s="767"/>
      <c r="C22" s="66"/>
      <c r="D22" s="373">
        <f>D47-D48+D6</f>
        <v>0</v>
      </c>
      <c r="E22" s="373">
        <f t="shared" ref="E22:M22" si="3">E47-E48+E6</f>
        <v>0</v>
      </c>
      <c r="F22" s="373">
        <f t="shared" si="3"/>
        <v>238188600</v>
      </c>
      <c r="G22" s="435">
        <f t="shared" si="3"/>
        <v>0</v>
      </c>
      <c r="H22" s="435">
        <f t="shared" si="3"/>
        <v>0</v>
      </c>
      <c r="I22" s="435">
        <f t="shared" si="3"/>
        <v>11610084.270092338</v>
      </c>
      <c r="J22" s="529">
        <f t="shared" si="3"/>
        <v>0</v>
      </c>
      <c r="K22" s="529">
        <f t="shared" si="3"/>
        <v>0</v>
      </c>
      <c r="L22" s="529">
        <f t="shared" si="3"/>
        <v>335921037.80877554</v>
      </c>
      <c r="M22" s="529">
        <f t="shared" si="3"/>
        <v>433290011.47204179</v>
      </c>
    </row>
    <row r="23" spans="1:13" ht="11.25" customHeight="1">
      <c r="A23" s="766" t="s">
        <v>295</v>
      </c>
      <c r="B23" s="766"/>
      <c r="C23" s="79"/>
      <c r="D23" s="646">
        <f t="shared" ref="D23:E23" si="4">1%*D22</f>
        <v>0</v>
      </c>
      <c r="E23" s="646">
        <f t="shared" si="4"/>
        <v>0</v>
      </c>
      <c r="F23" s="646">
        <f>1%*F22</f>
        <v>2381886</v>
      </c>
      <c r="G23" s="648">
        <f t="shared" ref="G23:M23" si="5">1%*G22</f>
        <v>0</v>
      </c>
      <c r="H23" s="648">
        <f t="shared" si="5"/>
        <v>0</v>
      </c>
      <c r="I23" s="648">
        <f t="shared" si="5"/>
        <v>116100.84270092339</v>
      </c>
      <c r="J23" s="657">
        <f t="shared" si="5"/>
        <v>0</v>
      </c>
      <c r="K23" s="657">
        <f t="shared" si="5"/>
        <v>0</v>
      </c>
      <c r="L23" s="657">
        <f t="shared" si="5"/>
        <v>3359210.3780877553</v>
      </c>
      <c r="M23" s="657">
        <f t="shared" si="5"/>
        <v>4332900.1147204181</v>
      </c>
    </row>
    <row r="24" spans="1:13" ht="11.25" customHeight="1">
      <c r="A24" s="108"/>
      <c r="B24" s="108" t="s">
        <v>23</v>
      </c>
      <c r="C24" s="79"/>
      <c r="D24" s="645">
        <f>D21+D22-D23</f>
        <v>-2661055.2528396663</v>
      </c>
      <c r="E24" s="645">
        <f t="shared" ref="E24:M24" si="6">E21+E22-E23</f>
        <v>-2208883.7570561687</v>
      </c>
      <c r="F24" s="645">
        <f t="shared" si="6"/>
        <v>246301165.47273898</v>
      </c>
      <c r="G24" s="691">
        <f t="shared" si="6"/>
        <v>7611178.1572341565</v>
      </c>
      <c r="H24" s="691">
        <f t="shared" si="6"/>
        <v>8345766.0996291731</v>
      </c>
      <c r="I24" s="691">
        <f t="shared" si="6"/>
        <v>44023763.202082984</v>
      </c>
      <c r="J24" s="686">
        <f t="shared" si="6"/>
        <v>33473210.027479</v>
      </c>
      <c r="K24" s="686">
        <f t="shared" si="6"/>
        <v>35464077.423615627</v>
      </c>
      <c r="L24" s="686">
        <f t="shared" si="6"/>
        <v>357724371.69156563</v>
      </c>
      <c r="M24" s="686">
        <f t="shared" si="6"/>
        <v>436242854.57118934</v>
      </c>
    </row>
    <row r="25" spans="1:13" s="670" customFormat="1" ht="11.25" customHeight="1">
      <c r="A25" s="668"/>
      <c r="B25" s="668"/>
      <c r="C25" s="669"/>
      <c r="D25" s="684"/>
      <c r="E25" s="684"/>
      <c r="F25" s="684"/>
      <c r="G25" s="692"/>
      <c r="H25" s="692"/>
      <c r="I25" s="692"/>
      <c r="J25" s="687"/>
      <c r="K25" s="687"/>
      <c r="L25" s="688"/>
      <c r="M25" s="687"/>
    </row>
    <row r="26" spans="1:13" ht="11.25" customHeight="1">
      <c r="A26" s="69" t="s">
        <v>24</v>
      </c>
      <c r="B26" s="69"/>
      <c r="C26" s="70"/>
      <c r="D26" s="642"/>
      <c r="E26" s="304"/>
      <c r="F26" s="304"/>
      <c r="G26" s="248"/>
      <c r="H26" s="248"/>
      <c r="I26" s="248"/>
      <c r="J26" s="188"/>
      <c r="K26" s="188"/>
      <c r="L26" s="656"/>
      <c r="M26" s="188"/>
    </row>
    <row r="27" spans="1:13" ht="11.25" customHeight="1">
      <c r="A27" s="749" t="s">
        <v>5</v>
      </c>
      <c r="B27" s="113" t="s">
        <v>6</v>
      </c>
      <c r="C27" s="73"/>
      <c r="D27" s="643">
        <f>'2.Market-rate Rental Housing'!D20</f>
        <v>0</v>
      </c>
      <c r="E27" s="643">
        <f>'2.Market-rate Rental Housing'!E20</f>
        <v>0</v>
      </c>
      <c r="F27" s="643">
        <f>'2.Market-rate Rental Housing'!F20</f>
        <v>0</v>
      </c>
      <c r="G27" s="647">
        <f>'2.Market-rate Rental Housing'!G20</f>
        <v>94759200</v>
      </c>
      <c r="H27" s="647">
        <f>'2.Market-rate Rental Housing'!H20</f>
        <v>94759200</v>
      </c>
      <c r="I27" s="647">
        <f>'2.Market-rate Rental Housing'!I20</f>
        <v>0</v>
      </c>
      <c r="J27" s="654">
        <f>'2.Market-rate Rental Housing'!J20</f>
        <v>11556000</v>
      </c>
      <c r="K27" s="654">
        <f>'2.Market-rate Rental Housing'!K20</f>
        <v>11556000</v>
      </c>
      <c r="L27" s="654">
        <f>'2.Market-rate Rental Housing'!L20</f>
        <v>0</v>
      </c>
      <c r="M27" s="654">
        <f>'2.Market-rate Rental Housing'!M20</f>
        <v>0</v>
      </c>
    </row>
    <row r="28" spans="1:13" ht="11.25" customHeight="1">
      <c r="A28" s="750"/>
      <c r="B28" s="113" t="s">
        <v>7</v>
      </c>
      <c r="C28" s="73"/>
      <c r="D28" s="643">
        <f>'3.Market-rate For-Sale Housing'!D20</f>
        <v>39487500</v>
      </c>
      <c r="E28" s="643">
        <f>'3.Market-rate For-Sale Housing'!E20</f>
        <v>39487500</v>
      </c>
      <c r="F28" s="643">
        <f>'3.Market-rate For-Sale Housing'!F20</f>
        <v>0</v>
      </c>
      <c r="G28" s="647">
        <f>'3.Market-rate For-Sale Housing'!G20</f>
        <v>0</v>
      </c>
      <c r="H28" s="647">
        <f>'3.Market-rate For-Sale Housing'!H20</f>
        <v>0</v>
      </c>
      <c r="I28" s="647">
        <f>'3.Market-rate For-Sale Housing'!I20</f>
        <v>0</v>
      </c>
      <c r="J28" s="654">
        <f>'3.Market-rate For-Sale Housing'!J20</f>
        <v>19440000</v>
      </c>
      <c r="K28" s="654">
        <f>'3.Market-rate For-Sale Housing'!K20</f>
        <v>19440000</v>
      </c>
      <c r="L28" s="654">
        <f>'3.Market-rate For-Sale Housing'!L20</f>
        <v>0</v>
      </c>
      <c r="M28" s="654">
        <f>'3.Market-rate For-Sale Housing'!M20</f>
        <v>0</v>
      </c>
    </row>
    <row r="29" spans="1:13" ht="11.25" customHeight="1">
      <c r="A29" s="250" t="s">
        <v>8</v>
      </c>
      <c r="B29" s="272" t="s">
        <v>6</v>
      </c>
      <c r="C29" s="252"/>
      <c r="D29" s="643"/>
      <c r="E29" s="301"/>
      <c r="F29" s="301"/>
      <c r="G29" s="245"/>
      <c r="H29" s="245"/>
      <c r="I29" s="245"/>
      <c r="J29" s="184"/>
      <c r="K29" s="184"/>
      <c r="L29" s="655"/>
      <c r="M29" s="184"/>
    </row>
    <row r="30" spans="1:13" ht="11.25" customHeight="1">
      <c r="A30" s="749" t="s">
        <v>9</v>
      </c>
      <c r="B30" s="113" t="s">
        <v>6</v>
      </c>
      <c r="C30" s="73"/>
      <c r="D30" s="643">
        <f>'4.Affordable Rental Housing'!D19</f>
        <v>34398000</v>
      </c>
      <c r="E30" s="643">
        <f>'4.Affordable Rental Housing'!E19</f>
        <v>34398000</v>
      </c>
      <c r="F30" s="643">
        <f>'4.Affordable Rental Housing'!F19</f>
        <v>0</v>
      </c>
      <c r="G30" s="647">
        <f>'4.Affordable Rental Housing'!G19</f>
        <v>17388000</v>
      </c>
      <c r="H30" s="647">
        <f>'4.Affordable Rental Housing'!H19</f>
        <v>17388000</v>
      </c>
      <c r="I30" s="647">
        <f>'4.Affordable Rental Housing'!I19</f>
        <v>0</v>
      </c>
      <c r="J30" s="654">
        <f>'4.Affordable Rental Housing'!J19</f>
        <v>0</v>
      </c>
      <c r="K30" s="654">
        <f>'4.Affordable Rental Housing'!K19</f>
        <v>0</v>
      </c>
      <c r="L30" s="654">
        <f>'4.Affordable Rental Housing'!L19</f>
        <v>0</v>
      </c>
      <c r="M30" s="654">
        <f>'4.Affordable Rental Housing'!M19</f>
        <v>0</v>
      </c>
    </row>
    <row r="31" spans="1:13" ht="11.25" customHeight="1">
      <c r="A31" s="750"/>
      <c r="B31" s="272" t="s">
        <v>7</v>
      </c>
      <c r="C31" s="252"/>
      <c r="D31" s="643"/>
      <c r="E31" s="301"/>
      <c r="F31" s="301"/>
      <c r="G31" s="245"/>
      <c r="H31" s="245"/>
      <c r="I31" s="245"/>
      <c r="J31" s="184"/>
      <c r="K31" s="184"/>
      <c r="L31" s="655"/>
      <c r="M31" s="184"/>
    </row>
    <row r="32" spans="1:13" ht="11.25" customHeight="1">
      <c r="A32" s="718" t="s">
        <v>10</v>
      </c>
      <c r="B32" s="718"/>
      <c r="C32" s="73"/>
      <c r="D32" s="643">
        <f>'5.Office_Commercial'!D17</f>
        <v>43852128.599999994</v>
      </c>
      <c r="E32" s="643">
        <f>'5.Office_Commercial'!E17</f>
        <v>43852128.599999994</v>
      </c>
      <c r="F32" s="643">
        <f>'5.Office_Commercial'!F17</f>
        <v>0</v>
      </c>
      <c r="G32" s="647">
        <f>'5.Office_Commercial'!G17</f>
        <v>31618956.249999996</v>
      </c>
      <c r="H32" s="647">
        <f>'5.Office_Commercial'!H17</f>
        <v>31618956.249999996</v>
      </c>
      <c r="I32" s="647">
        <f>'5.Office_Commercial'!I17</f>
        <v>0</v>
      </c>
      <c r="J32" s="654" t="s">
        <v>305</v>
      </c>
      <c r="K32" s="654">
        <f>'5.Office_Commercial'!K17</f>
        <v>7701570.4499999993</v>
      </c>
      <c r="L32" s="654">
        <f>'5.Office_Commercial'!L17</f>
        <v>0</v>
      </c>
      <c r="M32" s="654">
        <f>'5.Office_Commercial'!M17</f>
        <v>0</v>
      </c>
    </row>
    <row r="33" spans="1:13" ht="11.25" customHeight="1">
      <c r="A33" s="718" t="s">
        <v>25</v>
      </c>
      <c r="B33" s="718"/>
      <c r="C33" s="73"/>
      <c r="D33" s="643">
        <f>'6.Retail '!D21</f>
        <v>3103932.0234999997</v>
      </c>
      <c r="E33" s="643">
        <f>'6.Retail '!E21</f>
        <v>3103932.0234999997</v>
      </c>
      <c r="F33" s="643">
        <f>'6.Retail '!F21</f>
        <v>0</v>
      </c>
      <c r="G33" s="647">
        <f>'6.Retail '!G21</f>
        <v>2521389.7555</v>
      </c>
      <c r="H33" s="647">
        <f>'6.Retail '!H21</f>
        <v>2521389.7555</v>
      </c>
      <c r="I33" s="647">
        <f>'6.Retail '!I21</f>
        <v>0</v>
      </c>
      <c r="J33" s="654">
        <f>'6.Retail '!J21</f>
        <v>646479.83400000003</v>
      </c>
      <c r="K33" s="654">
        <f>'6.Retail '!K21</f>
        <v>646479.83400000003</v>
      </c>
      <c r="L33" s="654">
        <f>'6.Retail '!L21</f>
        <v>0</v>
      </c>
      <c r="M33" s="654">
        <f>'6.Retail '!M21</f>
        <v>0</v>
      </c>
    </row>
    <row r="34" spans="1:13" ht="11.25" customHeight="1">
      <c r="A34" s="768" t="s">
        <v>206</v>
      </c>
      <c r="B34" s="768"/>
      <c r="C34" s="73"/>
      <c r="D34" s="643">
        <f>'8.Community Space'!D18</f>
        <v>0</v>
      </c>
      <c r="E34" s="643">
        <f>'8.Community Space'!E18</f>
        <v>0</v>
      </c>
      <c r="F34" s="643">
        <f>'8.Community Space'!F18</f>
        <v>0</v>
      </c>
      <c r="G34" s="647">
        <f>'8.Community Space'!G18</f>
        <v>2767398.69</v>
      </c>
      <c r="H34" s="647">
        <f>'8.Community Space'!H18</f>
        <v>2767398.69</v>
      </c>
      <c r="I34" s="647">
        <f>'8.Community Space'!I18</f>
        <v>0</v>
      </c>
      <c r="J34" s="654">
        <f>'8.Community Space'!J18</f>
        <v>0</v>
      </c>
      <c r="K34" s="654">
        <f>'8.Community Space'!K18</f>
        <v>0</v>
      </c>
      <c r="L34" s="654">
        <f>'8.Community Space'!L18</f>
        <v>0</v>
      </c>
      <c r="M34" s="654">
        <f>'8.Community Space'!M18</f>
        <v>0</v>
      </c>
    </row>
    <row r="35" spans="1:13" ht="11.25" customHeight="1">
      <c r="A35" s="718" t="s">
        <v>14</v>
      </c>
      <c r="B35" s="718"/>
      <c r="C35" s="73"/>
      <c r="D35" s="643">
        <f>'9.Structured Parking'!D31</f>
        <v>6138552.2804833334</v>
      </c>
      <c r="E35" s="643">
        <f>'9.Structured Parking'!E31</f>
        <v>0</v>
      </c>
      <c r="F35" s="643">
        <f>'9.Structured Parking'!F31</f>
        <v>0</v>
      </c>
      <c r="G35" s="647">
        <f>'9.Structured Parking'!G31</f>
        <v>1734000</v>
      </c>
      <c r="H35" s="647">
        <f>'9.Structured Parking'!H31</f>
        <v>0</v>
      </c>
      <c r="I35" s="647">
        <f>'9.Structured Parking'!I31</f>
        <v>0</v>
      </c>
      <c r="J35" s="654">
        <f>'9.Structured Parking'!J31</f>
        <v>2771000</v>
      </c>
      <c r="K35" s="654">
        <f>'9.Structured Parking'!K31</f>
        <v>0</v>
      </c>
      <c r="L35" s="654">
        <f>'9.Structured Parking'!L31</f>
        <v>0</v>
      </c>
      <c r="M35" s="654">
        <f>'9.Structured Parking'!M31</f>
        <v>0</v>
      </c>
    </row>
    <row r="36" spans="1:13" ht="11.25" customHeight="1">
      <c r="A36" s="741" t="s">
        <v>15</v>
      </c>
      <c r="B36" s="741"/>
      <c r="C36" s="252"/>
      <c r="D36" s="643"/>
      <c r="E36" s="643"/>
      <c r="F36" s="643"/>
      <c r="G36" s="647"/>
      <c r="H36" s="647"/>
      <c r="I36" s="647"/>
      <c r="J36" s="654"/>
      <c r="K36" s="654"/>
      <c r="L36" s="654"/>
      <c r="M36" s="654"/>
    </row>
    <row r="37" spans="1:13" ht="11.25" customHeight="1">
      <c r="A37" s="768" t="s">
        <v>16</v>
      </c>
      <c r="B37" s="768"/>
      <c r="C37" s="73"/>
      <c r="D37" s="643">
        <f>'10.Parking-Underground'!D31</f>
        <v>4822649.7379999999</v>
      </c>
      <c r="E37" s="643">
        <f>'10.Parking-Underground'!E31</f>
        <v>0</v>
      </c>
      <c r="F37" s="643">
        <f>'10.Parking-Underground'!F31</f>
        <v>0</v>
      </c>
      <c r="G37" s="647">
        <f>'10.Parking-Underground'!G31</f>
        <v>6423066.7780000018</v>
      </c>
      <c r="H37" s="647">
        <f>'10.Parking-Underground'!H31</f>
        <v>0</v>
      </c>
      <c r="I37" s="647">
        <f>'10.Parking-Underground'!I31</f>
        <v>0</v>
      </c>
      <c r="J37" s="654">
        <f>'10.Parking-Underground'!J31</f>
        <v>0</v>
      </c>
      <c r="K37" s="654">
        <f>'10.Parking-Underground'!K31</f>
        <v>0</v>
      </c>
      <c r="L37" s="654">
        <f>'10.Parking-Underground'!L31</f>
        <v>0</v>
      </c>
      <c r="M37" s="654">
        <f>'10.Parking-Underground'!M31</f>
        <v>0</v>
      </c>
    </row>
    <row r="38" spans="1:13" ht="11.25" customHeight="1">
      <c r="A38" s="768" t="s">
        <v>20</v>
      </c>
      <c r="B38" s="768"/>
      <c r="C38" s="73"/>
      <c r="D38" s="643"/>
      <c r="E38" s="301"/>
      <c r="F38" s="301"/>
      <c r="G38" s="245"/>
      <c r="H38" s="245"/>
      <c r="I38" s="245"/>
      <c r="J38" s="184"/>
      <c r="K38" s="184"/>
      <c r="L38" s="655"/>
      <c r="M38" s="184"/>
    </row>
    <row r="39" spans="1:13" ht="11.25" customHeight="1">
      <c r="A39" s="276"/>
      <c r="B39" s="276" t="s">
        <v>291</v>
      </c>
      <c r="C39" s="73"/>
      <c r="D39" s="643"/>
      <c r="E39" s="643"/>
      <c r="F39" s="643"/>
      <c r="G39" s="647">
        <v>4000000</v>
      </c>
      <c r="H39" s="647">
        <v>4000000</v>
      </c>
      <c r="I39" s="647">
        <v>4000000</v>
      </c>
      <c r="J39" s="654">
        <v>6000000</v>
      </c>
      <c r="K39" s="654">
        <v>6000000</v>
      </c>
      <c r="L39" s="654">
        <v>6000000</v>
      </c>
      <c r="M39" s="654">
        <v>6000000</v>
      </c>
    </row>
    <row r="40" spans="1:13" ht="11.25" customHeight="1">
      <c r="A40" s="113"/>
      <c r="B40" s="113" t="s">
        <v>26</v>
      </c>
      <c r="C40" s="73"/>
      <c r="D40" s="643">
        <v>2800000</v>
      </c>
      <c r="E40" s="643"/>
      <c r="F40" s="643"/>
      <c r="G40" s="245"/>
      <c r="H40" s="245"/>
      <c r="I40" s="245"/>
      <c r="J40" s="184">
        <v>6000000</v>
      </c>
      <c r="K40" s="184"/>
      <c r="L40" s="655"/>
      <c r="M40" s="184"/>
    </row>
    <row r="41" spans="1:13" ht="11.25" customHeight="1">
      <c r="A41" s="768" t="s">
        <v>27</v>
      </c>
      <c r="B41" s="768"/>
      <c r="C41" s="73"/>
      <c r="D41" s="643">
        <f>'1.Infrastructure Costs'!E26</f>
        <v>6002927.921755</v>
      </c>
      <c r="E41" s="643">
        <f>'1.Infrastructure Costs'!F26</f>
        <v>49243155.782499999</v>
      </c>
      <c r="F41" s="643">
        <f>'1.Infrastructure Costs'!G26</f>
        <v>500000</v>
      </c>
      <c r="G41" s="647">
        <f>'1.Infrastructure Costs'!H26</f>
        <v>12714454.748169998</v>
      </c>
      <c r="H41" s="647">
        <f>'1.Infrastructure Costs'!I26</f>
        <v>13257508.746499998</v>
      </c>
      <c r="I41" s="647">
        <f>'1.Infrastructure Costs'!J26</f>
        <v>2025000</v>
      </c>
      <c r="J41" s="654">
        <f>'1.Infrastructure Costs'!K26</f>
        <v>29417300.488085661</v>
      </c>
      <c r="K41" s="654">
        <f>'1.Infrastructure Costs'!L26</f>
        <v>28215481.49136823</v>
      </c>
      <c r="L41" s="654">
        <f>'1.Infrastructure Costs'!M26</f>
        <v>2000000</v>
      </c>
      <c r="M41" s="654">
        <f>'1.Infrastructure Costs'!N26</f>
        <v>0</v>
      </c>
    </row>
    <row r="42" spans="1:13" ht="11.25" customHeight="1">
      <c r="A42" s="78"/>
      <c r="B42" s="698" t="s">
        <v>28</v>
      </c>
      <c r="C42" s="79"/>
      <c r="D42" s="645"/>
      <c r="E42" s="646"/>
      <c r="F42" s="646"/>
      <c r="G42" s="648"/>
      <c r="H42" s="648"/>
      <c r="I42" s="648"/>
      <c r="J42" s="657"/>
      <c r="K42" s="657"/>
      <c r="L42" s="656"/>
      <c r="M42" s="657"/>
    </row>
    <row r="43" spans="1:13" ht="11.25" customHeight="1">
      <c r="A43" s="769" t="s">
        <v>29</v>
      </c>
      <c r="B43" s="769"/>
      <c r="C43" s="79"/>
      <c r="D43" s="671">
        <f>SUM(D27:D42)</f>
        <v>140605690.56373832</v>
      </c>
      <c r="E43" s="671">
        <f t="shared" ref="E43:M43" si="7">SUM(E27:E42)</f>
        <v>170084716.40599999</v>
      </c>
      <c r="F43" s="671">
        <f t="shared" si="7"/>
        <v>500000</v>
      </c>
      <c r="G43" s="693">
        <f t="shared" si="7"/>
        <v>173926466.22166997</v>
      </c>
      <c r="H43" s="693">
        <f t="shared" si="7"/>
        <v>166312453.44199997</v>
      </c>
      <c r="I43" s="693">
        <f t="shared" si="7"/>
        <v>6025000</v>
      </c>
      <c r="J43" s="689">
        <f t="shared" si="7"/>
        <v>75830780.322085664</v>
      </c>
      <c r="K43" s="689">
        <f t="shared" si="7"/>
        <v>73559531.775368229</v>
      </c>
      <c r="L43" s="689">
        <f t="shared" si="7"/>
        <v>8000000</v>
      </c>
      <c r="M43" s="689">
        <f t="shared" si="7"/>
        <v>6000000</v>
      </c>
    </row>
    <row r="44" spans="1:13" s="670" customFormat="1" ht="11.25" customHeight="1">
      <c r="A44" s="668"/>
      <c r="B44" s="668"/>
      <c r="C44" s="669"/>
      <c r="D44" s="85"/>
      <c r="E44" s="85"/>
      <c r="F44" s="85"/>
      <c r="G44" s="85"/>
      <c r="H44" s="85"/>
      <c r="I44" s="85"/>
      <c r="J44" s="85"/>
      <c r="K44" s="85"/>
      <c r="L44" s="165"/>
      <c r="M44" s="85"/>
    </row>
    <row r="45" spans="1:13" ht="11.25" customHeight="1">
      <c r="A45" s="69" t="s">
        <v>30</v>
      </c>
      <c r="B45" s="69"/>
      <c r="C45" s="70"/>
      <c r="D45" s="672"/>
      <c r="E45" s="672"/>
      <c r="F45" s="672"/>
      <c r="G45" s="672"/>
      <c r="H45" s="672"/>
      <c r="I45" s="672"/>
      <c r="J45" s="672"/>
      <c r="K45" s="672"/>
      <c r="L45" s="672"/>
      <c r="M45" s="672"/>
    </row>
    <row r="46" spans="1:13" ht="11.25" customHeight="1">
      <c r="A46" s="718" t="s">
        <v>31</v>
      </c>
      <c r="B46" s="718"/>
      <c r="C46" s="73"/>
      <c r="D46" s="266">
        <f>D21</f>
        <v>-2661055.2528396663</v>
      </c>
      <c r="E46" s="266">
        <f t="shared" ref="E46:M46" si="8">E21</f>
        <v>-2208883.7570561687</v>
      </c>
      <c r="F46" s="266">
        <f t="shared" si="8"/>
        <v>10494451.472738981</v>
      </c>
      <c r="G46" s="266">
        <f t="shared" si="8"/>
        <v>7611178.1572341565</v>
      </c>
      <c r="H46" s="266">
        <f t="shared" si="8"/>
        <v>8345766.0996291731</v>
      </c>
      <c r="I46" s="266">
        <f t="shared" si="8"/>
        <v>32529779.774691567</v>
      </c>
      <c r="J46" s="266">
        <f t="shared" si="8"/>
        <v>33473210.027479</v>
      </c>
      <c r="K46" s="266">
        <f t="shared" si="8"/>
        <v>35464077.423615627</v>
      </c>
      <c r="L46" s="266">
        <f t="shared" si="8"/>
        <v>25162544.260877833</v>
      </c>
      <c r="M46" s="266">
        <f t="shared" si="8"/>
        <v>7285743.2138679568</v>
      </c>
    </row>
    <row r="47" spans="1:13" ht="11.25" customHeight="1">
      <c r="A47" s="113"/>
      <c r="B47" s="113" t="s">
        <v>32</v>
      </c>
      <c r="C47" s="73"/>
      <c r="D47" s="267">
        <f>'2.Market-rate Rental Housing'!D25+'4.Affordable Rental Housing'!D25+'5.Office_Commercial'!D22+'6.Retail '!D26+'8.Community Space'!D23+'9.Structured Parking'!D36+'10.Parking-Underground'!D36+D6</f>
        <v>0</v>
      </c>
      <c r="E47" s="267">
        <f>'2.Market-rate Rental Housing'!E25+'4.Affordable Rental Housing'!E25+'5.Office_Commercial'!E22+'6.Retail '!E26+'8.Community Space'!E23+'9.Structured Parking'!E36+'10.Parking-Underground'!E36+E6</f>
        <v>0</v>
      </c>
      <c r="F47" s="267">
        <f>'2.Market-rate Rental Housing'!F25+'4.Affordable Rental Housing'!F25+'5.Office_Commercial'!F22+'6.Retail '!F26+'8.Community Space'!F23+'9.Structured Parking'!F36+'10.Parking-Underground'!F36+F6</f>
        <v>126360000</v>
      </c>
      <c r="G47" s="267">
        <f>'2.Market-rate Rental Housing'!G25+'4.Affordable Rental Housing'!G25+'5.Office_Commercial'!G22+'6.Retail '!G26+'8.Community Space'!G23+'9.Structured Parking'!G36+'10.Parking-Underground'!G36+G6</f>
        <v>0</v>
      </c>
      <c r="H47" s="267">
        <f>'2.Market-rate Rental Housing'!H25+'4.Affordable Rental Housing'!H25+'5.Office_Commercial'!H22+'6.Retail '!H26+'8.Community Space'!H23+'9.Structured Parking'!H36+'10.Parking-Underground'!H36+H6</f>
        <v>0</v>
      </c>
      <c r="I47" s="267">
        <f>'2.Market-rate Rental Housing'!I25+'4.Affordable Rental Housing'!I25+'5.Office_Commercial'!I22+'6.Retail '!I26+'8.Community Space'!I23+'9.Structured Parking'!I36+'10.Parking-Underground'!I36+I6</f>
        <v>11969159.041332308</v>
      </c>
      <c r="J47" s="267">
        <f>'2.Market-rate Rental Housing'!J25+'4.Affordable Rental Housing'!J25+'5.Office_Commercial'!J22+'6.Retail '!J26+'8.Community Space'!J23+'9.Structured Parking'!J36+'10.Parking-Underground'!J36+J6</f>
        <v>0</v>
      </c>
      <c r="K47" s="267">
        <f>'2.Market-rate Rental Housing'!K25+'4.Affordable Rental Housing'!K25+'5.Office_Commercial'!K22+'6.Retail '!K26+'8.Community Space'!K23+'9.Structured Parking'!K36+'10.Parking-Underground'!K36+K6</f>
        <v>0</v>
      </c>
      <c r="L47" s="267">
        <f>'2.Market-rate Rental Housing'!L25+'4.Affordable Rental Housing'!L25+'5.Office_Commercial'!L22+'6.Retail '!L26+'8.Community Space'!L23+'9.Structured Parking'!L36+'10.Parking-Underground'!L36+L6</f>
        <v>288797593.58422333</v>
      </c>
      <c r="M47" s="267">
        <f>'2.Market-rate Rental Housing'!M25+'4.Affordable Rental Housing'!M25+'5.Office_Commercial'!M22+'6.Retail '!M26+'8.Community Space'!M23+'9.Structured Parking'!M36+'10.Parking-Underground'!M36+M6</f>
        <v>448250193.93850261</v>
      </c>
    </row>
    <row r="48" spans="1:13" ht="11.25" customHeight="1">
      <c r="A48" s="718" t="s">
        <v>33</v>
      </c>
      <c r="B48" s="718"/>
      <c r="C48" s="80"/>
      <c r="D48" s="267">
        <f>'2.Market-rate Rental Housing'!D26+'4.Affordable Rental Housing'!D26+'5.Office_Commercial'!D23+'6.Retail '!D27+'8.Community Space'!D24+'9.Structured Parking'!D37+'10.Parking-Underground'!D37+'3.Market-rate For-Sale Housing'!D14+'3.Market-rate For-Sale Housing'!D15</f>
        <v>0</v>
      </c>
      <c r="E48" s="267">
        <f>'2.Market-rate Rental Housing'!E26+'4.Affordable Rental Housing'!E26+'5.Office_Commercial'!E23+'6.Retail '!E27+'8.Community Space'!E24+'9.Structured Parking'!E37+'10.Parking-Underground'!E37+'3.Market-rate For-Sale Housing'!E14+'3.Market-rate For-Sale Housing'!E15</f>
        <v>0</v>
      </c>
      <c r="F48" s="267">
        <f>'2.Market-rate Rental Housing'!F26+'4.Affordable Rental Housing'!F26+'5.Office_Commercial'!F23+'6.Retail '!F27+'8.Community Space'!F24+'9.Structured Parking'!F37+'10.Parking-Underground'!F37+'3.Market-rate For-Sale Housing'!F14+'3.Market-rate For-Sale Housing'!F15</f>
        <v>14531400</v>
      </c>
      <c r="G48" s="267">
        <f>'2.Market-rate Rental Housing'!G26+'4.Affordable Rental Housing'!G26+'5.Office_Commercial'!G23+'6.Retail '!G27+'8.Community Space'!G24+'9.Structured Parking'!G37+'10.Parking-Underground'!G37+'3.Market-rate For-Sale Housing'!G14+'3.Market-rate For-Sale Housing'!G15</f>
        <v>0</v>
      </c>
      <c r="H48" s="267">
        <f>'2.Market-rate Rental Housing'!H26+'4.Affordable Rental Housing'!H26+'5.Office_Commercial'!H23+'6.Retail '!H27+'8.Community Space'!H24+'9.Structured Parking'!H37+'10.Parking-Underground'!H37+'3.Market-rate For-Sale Housing'!H14+'3.Market-rate For-Sale Housing'!H15</f>
        <v>0</v>
      </c>
      <c r="I48" s="267">
        <f>'2.Market-rate Rental Housing'!I26+'4.Affordable Rental Housing'!I26+'5.Office_Commercial'!I23+'6.Retail '!I27+'8.Community Space'!I24+'9.Structured Parking'!I37+'10.Parking-Underground'!I37+'3.Market-rate For-Sale Housing'!I14+'3.Market-rate For-Sale Housing'!I15</f>
        <v>359074.77123996924</v>
      </c>
      <c r="J48" s="267">
        <f>'2.Market-rate Rental Housing'!J26+'4.Affordable Rental Housing'!J26+'5.Office_Commercial'!J23+'6.Retail '!J27+'8.Community Space'!J24+'9.Structured Parking'!J37+'10.Parking-Underground'!J37+'3.Market-rate For-Sale Housing'!J14+'3.Market-rate For-Sale Housing'!J15</f>
        <v>0</v>
      </c>
      <c r="K48" s="267">
        <f>'2.Market-rate Rental Housing'!K26+'4.Affordable Rental Housing'!K26+'5.Office_Commercial'!K23+'6.Retail '!K27+'8.Community Space'!K24+'9.Structured Parking'!K37+'10.Parking-Underground'!K37+'3.Market-rate For-Sale Housing'!K14+'3.Market-rate For-Sale Housing'!K15</f>
        <v>0</v>
      </c>
      <c r="L48" s="267">
        <f>'2.Market-rate Rental Housing'!L26+'4.Affordable Rental Housing'!L26+'5.Office_Commercial'!L23+'6.Retail '!L27+'8.Community Space'!L24+'9.Structured Parking'!L37+'10.Parking-Underground'!L37+'3.Market-rate For-Sale Housing'!L14+'3.Market-rate For-Sale Housing'!L15</f>
        <v>15084555.775447816</v>
      </c>
      <c r="M48" s="267">
        <f>'2.Market-rate Rental Housing'!M26+'4.Affordable Rental Housing'!M26+'5.Office_Commercial'!M23+'6.Retail '!M27+'8.Community Space'!M24+'9.Structured Parking'!M37+'10.Parking-Underground'!M37+'3.Market-rate For-Sale Housing'!M14+'3.Market-rate For-Sale Housing'!M15</f>
        <v>14960182.466460798</v>
      </c>
    </row>
    <row r="49" spans="1:28" ht="11.25" customHeight="1">
      <c r="A49" s="718" t="s">
        <v>29</v>
      </c>
      <c r="B49" s="718"/>
      <c r="C49" s="73"/>
      <c r="D49" s="266">
        <f t="shared" ref="D49:M49" si="9">D43</f>
        <v>140605690.56373832</v>
      </c>
      <c r="E49" s="266">
        <f t="shared" si="9"/>
        <v>170084716.40599999</v>
      </c>
      <c r="F49" s="266">
        <f t="shared" si="9"/>
        <v>500000</v>
      </c>
      <c r="G49" s="266">
        <f t="shared" si="9"/>
        <v>173926466.22166997</v>
      </c>
      <c r="H49" s="266">
        <f t="shared" si="9"/>
        <v>166312453.44199997</v>
      </c>
      <c r="I49" s="266">
        <f t="shared" si="9"/>
        <v>6025000</v>
      </c>
      <c r="J49" s="266">
        <f t="shared" si="9"/>
        <v>75830780.322085664</v>
      </c>
      <c r="K49" s="266">
        <f t="shared" si="9"/>
        <v>73559531.775368229</v>
      </c>
      <c r="L49" s="266">
        <f t="shared" si="9"/>
        <v>8000000</v>
      </c>
      <c r="M49" s="266">
        <f t="shared" si="9"/>
        <v>6000000</v>
      </c>
    </row>
    <row r="50" spans="1:28" ht="11.25" customHeight="1">
      <c r="A50" s="637" t="s">
        <v>34</v>
      </c>
      <c r="B50" s="82"/>
      <c r="C50" s="66"/>
      <c r="D50" s="268">
        <f>D24-D49+'Finance Schedule'!S37/10</f>
        <v>-135787240.74234265</v>
      </c>
      <c r="E50" s="268">
        <f>E24-E49+'Finance Schedule'!T37/10</f>
        <v>-172293600.15504366</v>
      </c>
      <c r="F50" s="268">
        <f>F24-F49+'Finance Schedule'!U37/10</f>
        <v>245801165.47273898</v>
      </c>
      <c r="G50" s="268">
        <f>G24-G49+'Finance Schedule'!V37/10</f>
        <v>-166315288.06443581</v>
      </c>
      <c r="H50" s="268">
        <f>H24-H49+'Finance Schedule'!W37/10</f>
        <v>-157966687.34237081</v>
      </c>
      <c r="I50" s="268">
        <f>I24-I49+'Finance Schedule'!X37/10</f>
        <v>37998763.202082984</v>
      </c>
      <c r="J50" s="268">
        <f>J24-J49+'Finance Schedule'!Y37/10</f>
        <v>-42357570.294606663</v>
      </c>
      <c r="K50" s="268">
        <f>K24-K49+'Finance Schedule'!Z37/10</f>
        <v>-38095454.351752602</v>
      </c>
      <c r="L50" s="268">
        <f>L24-L49+'Finance Schedule'!AA37/10</f>
        <v>349724371.69156563</v>
      </c>
      <c r="M50" s="268">
        <f>M24-M49+'Finance Schedule'!AB37/10</f>
        <v>430242854.57118934</v>
      </c>
    </row>
    <row r="51" spans="1:28" ht="11.25" customHeight="1">
      <c r="A51" s="81" t="s">
        <v>35</v>
      </c>
      <c r="B51" s="82"/>
      <c r="C51" s="66"/>
      <c r="D51" s="268">
        <f>D50-D52+'Finance Schedule'!E37</f>
        <v>-90494197.38415654</v>
      </c>
      <c r="E51" s="268">
        <f>E50-E52+'Finance Schedule'!F37+'Finance Schedule'!T37/10</f>
        <v>-91232742.18662326</v>
      </c>
      <c r="F51" s="268">
        <f>F50-F52+'Finance Schedule'!G37+'Finance Schedule'!U37/10</f>
        <v>234348232.25060683</v>
      </c>
      <c r="G51" s="268">
        <f>G50-G52+'Finance Schedule'!H37+'Finance Schedule'!V37/10</f>
        <v>-96551164.820359632</v>
      </c>
      <c r="H51" s="268">
        <f>H50-H52+'Finance Schedule'!I37+'Finance Schedule'!W37/10</f>
        <v>-99761488.887968704</v>
      </c>
      <c r="I51" s="268">
        <f>I50-I52+'Finance Schedule'!J37+'Finance Schedule'!X37/10</f>
        <v>12876876.943985041</v>
      </c>
      <c r="J51" s="268">
        <f>J50-J52+'Finance Schedule'!K37+'Finance Schedule'!Y37/10</f>
        <v>-31636254.917320892</v>
      </c>
      <c r="K51" s="268">
        <f>K50-K52+'Finance Schedule'!L37+'Finance Schedule'!Z37/10</f>
        <v>-44261953.015269622</v>
      </c>
      <c r="L51" s="268">
        <f>L50-L52+'Finance Schedule'!M37+'Finance Schedule'!AA37/10</f>
        <v>316337523.86304832</v>
      </c>
      <c r="M51" s="268">
        <f>M50-M52+'Finance Schedule'!N37+'Finance Schedule'!AB37/10</f>
        <v>430242854.57118934</v>
      </c>
    </row>
    <row r="52" spans="1:28" ht="11.25" customHeight="1">
      <c r="A52" s="81" t="s">
        <v>36</v>
      </c>
      <c r="B52" s="82"/>
      <c r="C52" s="66"/>
      <c r="D52" s="268">
        <f>'Finance Schedule'!E36</f>
        <v>8544188.6770845316</v>
      </c>
      <c r="E52" s="268">
        <f>'Finance Schedule'!F36</f>
        <v>19827625.149825133</v>
      </c>
      <c r="F52" s="268">
        <f>'Finance Schedule'!G36</f>
        <v>11680433.222132131</v>
      </c>
      <c r="G52" s="268">
        <f>'Finance Schedule'!H36</f>
        <v>21914158.447819237</v>
      </c>
      <c r="H52" s="268">
        <f>'Finance Schedule'!I36</f>
        <v>32000072.088797424</v>
      </c>
      <c r="I52" s="268">
        <f>'Finance Schedule'!J36</f>
        <v>27863261.258097943</v>
      </c>
      <c r="J52" s="268">
        <f>'Finance Schedule'!K36</f>
        <v>32633269.278935596</v>
      </c>
      <c r="K52" s="268">
        <f>'Finance Schedule'!L36</f>
        <v>35830932.161190033</v>
      </c>
      <c r="L52" s="268">
        <f>'Finance Schedule'!M36</f>
        <v>33386847.828517344</v>
      </c>
      <c r="M52" s="268">
        <f>'Finance Schedule'!N36</f>
        <v>0</v>
      </c>
      <c r="O52" s="1"/>
      <c r="P52" s="3"/>
      <c r="Q52" s="3"/>
      <c r="R52" s="141"/>
      <c r="S52" s="141"/>
      <c r="T52" s="1"/>
      <c r="U52" s="141"/>
      <c r="V52" s="141"/>
      <c r="W52" s="1"/>
      <c r="X52" s="1"/>
      <c r="Y52" s="1"/>
      <c r="Z52" s="1"/>
      <c r="AA52" s="1"/>
    </row>
    <row r="53" spans="1:28" ht="11.25" customHeight="1">
      <c r="A53" s="83" t="s">
        <v>37</v>
      </c>
      <c r="B53" s="83"/>
      <c r="C53" s="84"/>
      <c r="D53" s="269">
        <f>NPV(10%,$D$50:D50)</f>
        <v>-123442946.1294024</v>
      </c>
      <c r="E53" s="269">
        <f>NPV(10%,$D$50:E50)</f>
        <v>-265834351.21621531</v>
      </c>
      <c r="F53" s="269">
        <f>NPV(10%,$D$50:F50)</f>
        <v>-81160297.517688707</v>
      </c>
      <c r="G53" s="269">
        <f>NPV(10%,$D$50:G50)</f>
        <v>-194755877.09861606</v>
      </c>
      <c r="H53" s="269">
        <f>NPV(10%,$D$50:H50)</f>
        <v>-292840761.60251278</v>
      </c>
      <c r="I53" s="269">
        <f>NPV(10%,$D$50:I50)</f>
        <v>-271391450.40065014</v>
      </c>
      <c r="J53" s="269">
        <f>NPV(10%,$D$50:J50)</f>
        <v>-293127581.46585536</v>
      </c>
      <c r="K53" s="269">
        <f>NPV(10%,$D$50:K50)</f>
        <v>-310899392.07339096</v>
      </c>
      <c r="L53" s="269">
        <f>NPV(10%,$D$50:L50)</f>
        <v>-162582118.95218438</v>
      </c>
      <c r="M53" s="269">
        <f>NPV(10%,$D$50:M50)</f>
        <v>3295126.4527434651</v>
      </c>
      <c r="O53" s="256"/>
      <c r="P53" s="137"/>
      <c r="Q53" s="137"/>
      <c r="R53" s="204"/>
      <c r="S53" s="141"/>
      <c r="T53" s="141"/>
      <c r="U53" s="141"/>
      <c r="V53" s="141"/>
      <c r="W53" s="1"/>
      <c r="X53" s="1"/>
      <c r="Y53" s="1"/>
      <c r="Z53" s="1"/>
      <c r="AA53" s="1"/>
    </row>
    <row r="54" spans="1:28" ht="11.25" customHeight="1">
      <c r="A54" s="637" t="s">
        <v>38</v>
      </c>
      <c r="B54" s="638"/>
      <c r="C54" s="639"/>
      <c r="D54" s="640">
        <f>'Finance Schedule'!C8/'Summary Board'!I56</f>
        <v>0.62292325721837238</v>
      </c>
      <c r="E54" s="641"/>
      <c r="F54" s="641"/>
      <c r="G54" s="641"/>
      <c r="H54" s="641"/>
      <c r="I54" s="641"/>
      <c r="J54" s="641"/>
      <c r="K54" s="641"/>
      <c r="L54" s="641"/>
      <c r="M54" s="641"/>
      <c r="O54" s="136"/>
      <c r="P54" s="136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</row>
    <row r="55" spans="1:28" ht="11.25" customHeight="1">
      <c r="A55" s="86" t="s">
        <v>39</v>
      </c>
      <c r="B55" s="86"/>
      <c r="C55" s="66"/>
      <c r="D55" s="294">
        <f>IRR(D50:M50)</f>
        <v>0.10180520888882127</v>
      </c>
      <c r="E55" s="76"/>
      <c r="F55" s="87" t="s">
        <v>40</v>
      </c>
      <c r="G55" s="85"/>
      <c r="H55" s="88"/>
      <c r="I55" s="202">
        <f>(25+6+2.8)*1000000</f>
        <v>33800000</v>
      </c>
      <c r="J55" s="76"/>
      <c r="K55" s="76"/>
      <c r="L55" s="165"/>
      <c r="M55" s="76"/>
      <c r="O55" s="1"/>
      <c r="P55" s="1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41"/>
      <c r="AB55" s="141"/>
    </row>
    <row r="56" spans="1:28" ht="11.25" customHeight="1">
      <c r="A56" s="86" t="s">
        <v>41</v>
      </c>
      <c r="B56" s="86"/>
      <c r="C56" s="66"/>
      <c r="D56" s="294">
        <f>IRR(D51:M51)</f>
        <v>0.24007075627104357</v>
      </c>
      <c r="E56" s="76"/>
      <c r="F56" s="104" t="s">
        <v>42</v>
      </c>
      <c r="G56" s="76"/>
      <c r="H56" s="89"/>
      <c r="I56" s="709">
        <f>SUM(D22:M22)</f>
        <v>1019009733.5509098</v>
      </c>
      <c r="J56" s="76"/>
      <c r="K56" s="76"/>
      <c r="L56" s="165"/>
      <c r="M56" s="76"/>
      <c r="O56" s="1"/>
      <c r="P56" s="1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141"/>
      <c r="AB56" s="141"/>
    </row>
    <row r="57" spans="1:28" ht="11.25" customHeight="1">
      <c r="M57" s="91"/>
      <c r="P57" s="1"/>
      <c r="Q57" s="3"/>
      <c r="R57" s="1"/>
      <c r="S57" s="1"/>
      <c r="T57" s="1"/>
      <c r="U57" s="1"/>
      <c r="V57" s="1"/>
      <c r="W57" s="1"/>
      <c r="X57" s="1"/>
      <c r="Y57" s="1"/>
      <c r="Z57" s="145"/>
      <c r="AA57" s="1"/>
      <c r="AB57" s="1"/>
    </row>
    <row r="58" spans="1:28" s="62" customFormat="1" ht="11.25" customHeight="1">
      <c r="A58" s="747" t="s">
        <v>43</v>
      </c>
      <c r="B58" s="747"/>
      <c r="C58" s="765"/>
      <c r="D58" s="748"/>
      <c r="E58" s="748"/>
      <c r="F58" s="748"/>
      <c r="G58" s="748"/>
      <c r="H58" s="748"/>
      <c r="I58" s="748"/>
      <c r="J58" s="748"/>
      <c r="K58" s="748"/>
      <c r="L58" s="748"/>
      <c r="M58" s="748"/>
      <c r="O58" s="3"/>
      <c r="P58" s="3"/>
    </row>
    <row r="59" spans="1:28" ht="11.25" customHeight="1">
      <c r="D59" s="71" t="s">
        <v>44</v>
      </c>
      <c r="E59" s="72"/>
      <c r="F59" s="72"/>
      <c r="G59" s="72"/>
      <c r="H59" s="72"/>
      <c r="I59" s="72"/>
      <c r="J59" s="72"/>
      <c r="K59" s="72"/>
      <c r="L59" s="72"/>
      <c r="M59" s="72"/>
      <c r="O59" s="62"/>
      <c r="P59" s="62"/>
    </row>
    <row r="60" spans="1:28" s="90" customFormat="1" ht="11.25" customHeight="1">
      <c r="A60" s="66"/>
      <c r="B60" s="66"/>
      <c r="C60" s="82" t="s">
        <v>45</v>
      </c>
      <c r="D60" s="68">
        <f>D3</f>
        <v>2024</v>
      </c>
      <c r="E60" s="67">
        <f t="shared" ref="E60:K60" si="10">D60+1</f>
        <v>2025</v>
      </c>
      <c r="F60" s="67">
        <f t="shared" si="10"/>
        <v>2026</v>
      </c>
      <c r="G60" s="67">
        <f t="shared" si="10"/>
        <v>2027</v>
      </c>
      <c r="H60" s="67">
        <f t="shared" si="10"/>
        <v>2028</v>
      </c>
      <c r="I60" s="67">
        <f t="shared" si="10"/>
        <v>2029</v>
      </c>
      <c r="J60" s="67">
        <f t="shared" si="10"/>
        <v>2030</v>
      </c>
      <c r="K60" s="67">
        <f t="shared" si="10"/>
        <v>2031</v>
      </c>
      <c r="L60" s="163">
        <f>K60+1</f>
        <v>2032</v>
      </c>
      <c r="M60" s="67">
        <f>L60+1</f>
        <v>2033</v>
      </c>
      <c r="O60" s="275"/>
      <c r="P60" s="65"/>
    </row>
    <row r="61" spans="1:28" ht="11.25" customHeight="1">
      <c r="A61" s="69" t="s">
        <v>46</v>
      </c>
      <c r="B61" s="69"/>
      <c r="C61" s="92"/>
      <c r="D61" s="71"/>
      <c r="E61" s="72"/>
      <c r="F61" s="72"/>
      <c r="G61" s="72"/>
      <c r="H61" s="72"/>
      <c r="I61" s="72"/>
      <c r="J61" s="72"/>
      <c r="K61" s="72"/>
      <c r="L61" s="164"/>
      <c r="M61" s="72"/>
      <c r="O61" s="90"/>
      <c r="P61" s="90"/>
    </row>
    <row r="62" spans="1:28" ht="11.25" customHeight="1">
      <c r="A62" s="749" t="s">
        <v>5</v>
      </c>
      <c r="B62" s="113" t="s">
        <v>6</v>
      </c>
      <c r="C62" s="73" t="s">
        <v>47</v>
      </c>
      <c r="D62" s="74">
        <f>'2.Market-rate Rental Housing'!D18</f>
        <v>0</v>
      </c>
      <c r="E62" s="74">
        <f>'2.Market-rate Rental Housing'!E18</f>
        <v>0</v>
      </c>
      <c r="F62" s="74">
        <f>'2.Market-rate Rental Housing'!F18</f>
        <v>0</v>
      </c>
      <c r="G62" s="74">
        <f>'2.Market-rate Rental Housing'!G18</f>
        <v>246</v>
      </c>
      <c r="H62" s="74">
        <f>'2.Market-rate Rental Housing'!H18</f>
        <v>246</v>
      </c>
      <c r="I62" s="74">
        <f>'2.Market-rate Rental Housing'!I18</f>
        <v>0</v>
      </c>
      <c r="J62" s="74">
        <f>'2.Market-rate Rental Housing'!J18</f>
        <v>30</v>
      </c>
      <c r="K62" s="74">
        <f>'2.Market-rate Rental Housing'!K18</f>
        <v>30</v>
      </c>
      <c r="L62" s="74">
        <f>'2.Market-rate Rental Housing'!L18</f>
        <v>0</v>
      </c>
      <c r="M62" s="74">
        <f>'2.Market-rate Rental Housing'!M18</f>
        <v>0</v>
      </c>
    </row>
    <row r="63" spans="1:28" ht="11.25" customHeight="1">
      <c r="A63" s="750"/>
      <c r="B63" s="113" t="s">
        <v>7</v>
      </c>
      <c r="C63" s="73" t="s">
        <v>47</v>
      </c>
      <c r="D63" s="237">
        <f>'3.Market-rate For-Sale Housing'!D18</f>
        <v>65</v>
      </c>
      <c r="E63" s="237">
        <f>'3.Market-rate For-Sale Housing'!E18</f>
        <v>65</v>
      </c>
      <c r="F63" s="237">
        <f>'3.Market-rate For-Sale Housing'!F18</f>
        <v>0</v>
      </c>
      <c r="G63" s="237">
        <f>'3.Market-rate For-Sale Housing'!G18</f>
        <v>0</v>
      </c>
      <c r="H63" s="237">
        <f>'3.Market-rate For-Sale Housing'!H18</f>
        <v>0</v>
      </c>
      <c r="I63" s="237">
        <f>'3.Market-rate For-Sale Housing'!I18</f>
        <v>0</v>
      </c>
      <c r="J63" s="237">
        <f>'3.Market-rate For-Sale Housing'!J18</f>
        <v>32</v>
      </c>
      <c r="K63" s="237">
        <f>'3.Market-rate For-Sale Housing'!K18</f>
        <v>32</v>
      </c>
      <c r="L63" s="237">
        <f>'3.Market-rate For-Sale Housing'!L18</f>
        <v>0</v>
      </c>
      <c r="M63" s="237">
        <f>'3.Market-rate For-Sale Housing'!M18</f>
        <v>0</v>
      </c>
    </row>
    <row r="64" spans="1:28" ht="11.25" customHeight="1">
      <c r="A64" s="749" t="s">
        <v>9</v>
      </c>
      <c r="B64" s="113" t="s">
        <v>6</v>
      </c>
      <c r="C64" s="73" t="s">
        <v>47</v>
      </c>
      <c r="D64" s="74">
        <f>'4.Affordable Rental Housing'!D17</f>
        <v>91</v>
      </c>
      <c r="E64" s="74">
        <f>'4.Affordable Rental Housing'!E17</f>
        <v>91</v>
      </c>
      <c r="F64" s="74">
        <f>'4.Affordable Rental Housing'!F17</f>
        <v>0</v>
      </c>
      <c r="G64" s="74">
        <f>'4.Affordable Rental Housing'!G17</f>
        <v>46</v>
      </c>
      <c r="H64" s="74">
        <f>'4.Affordable Rental Housing'!H17</f>
        <v>46</v>
      </c>
      <c r="I64" s="74">
        <f>'4.Affordable Rental Housing'!I17</f>
        <v>0</v>
      </c>
      <c r="J64" s="74">
        <f>'4.Affordable Rental Housing'!J17</f>
        <v>0</v>
      </c>
      <c r="K64" s="74">
        <f>'4.Affordable Rental Housing'!K17</f>
        <v>0</v>
      </c>
      <c r="L64" s="74">
        <f>'4.Affordable Rental Housing'!L17</f>
        <v>0</v>
      </c>
      <c r="M64" s="74">
        <f>'4.Affordable Rental Housing'!M17</f>
        <v>0</v>
      </c>
    </row>
    <row r="65" spans="1:13" ht="11.25" customHeight="1">
      <c r="A65" s="750"/>
      <c r="B65" s="210" t="s">
        <v>7</v>
      </c>
      <c r="C65" s="252" t="s">
        <v>47</v>
      </c>
      <c r="D65" s="253"/>
      <c r="E65" s="254"/>
      <c r="F65" s="254"/>
      <c r="G65" s="254"/>
      <c r="H65" s="254"/>
      <c r="I65" s="254"/>
      <c r="J65" s="254"/>
      <c r="K65" s="254"/>
      <c r="L65" s="255"/>
      <c r="M65" s="254"/>
    </row>
    <row r="66" spans="1:13" ht="11.25" customHeight="1">
      <c r="A66" s="768" t="s">
        <v>12</v>
      </c>
      <c r="B66" s="768"/>
      <c r="C66" s="73" t="s">
        <v>47</v>
      </c>
      <c r="D66" s="237">
        <f>'6.Retail '!D7*0.1</f>
        <v>1410.8781925000001</v>
      </c>
      <c r="E66" s="237">
        <f>'6.Retail '!E7*0.1</f>
        <v>1410.8781925000001</v>
      </c>
      <c r="F66" s="237">
        <f>'6.Retail '!F7*0.1</f>
        <v>0</v>
      </c>
      <c r="G66" s="237">
        <f>'6.Retail '!G7*0.1</f>
        <v>1146.0862525</v>
      </c>
      <c r="H66" s="237">
        <f>'6.Retail '!H7*0.1</f>
        <v>1146.0862525</v>
      </c>
      <c r="I66" s="237">
        <f>'6.Retail '!I7*0.1</f>
        <v>0</v>
      </c>
      <c r="J66" s="237">
        <f>'6.Retail '!J7*0.1</f>
        <v>293.85446999999999</v>
      </c>
      <c r="K66" s="237">
        <f>'6.Retail '!K7*0.1</f>
        <v>293.85446999999999</v>
      </c>
      <c r="L66" s="237">
        <f>'6.Retail '!L7*0.1</f>
        <v>0</v>
      </c>
      <c r="M66" s="237">
        <f>'6.Retail '!M7*0.1</f>
        <v>0</v>
      </c>
    </row>
    <row r="67" spans="1:13" ht="11.25" customHeight="1">
      <c r="A67" s="741" t="s">
        <v>13</v>
      </c>
      <c r="B67" s="741"/>
      <c r="C67" s="252" t="s">
        <v>48</v>
      </c>
      <c r="D67" s="253"/>
      <c r="E67" s="254"/>
      <c r="F67" s="254"/>
      <c r="G67" s="254"/>
      <c r="H67" s="254"/>
      <c r="I67" s="254"/>
      <c r="J67" s="254"/>
      <c r="K67" s="254"/>
      <c r="L67" s="255"/>
      <c r="M67" s="254"/>
    </row>
    <row r="68" spans="1:13" ht="11.25" customHeight="1">
      <c r="A68" s="718" t="s">
        <v>14</v>
      </c>
      <c r="B68" s="718"/>
      <c r="C68" s="73" t="s">
        <v>49</v>
      </c>
      <c r="D68" s="237">
        <f>'9.Structured Parking'!D7</f>
        <v>461.09131061666665</v>
      </c>
      <c r="E68" s="237">
        <f>'9.Structured Parking'!E7</f>
        <v>0</v>
      </c>
      <c r="F68" s="237">
        <f>'9.Structured Parking'!F7</f>
        <v>0</v>
      </c>
      <c r="G68" s="237">
        <f>'9.Structured Parking'!G7</f>
        <v>555</v>
      </c>
      <c r="H68" s="237">
        <f>'9.Structured Parking'!H7</f>
        <v>0</v>
      </c>
      <c r="I68" s="237">
        <f>'9.Structured Parking'!I7</f>
        <v>0</v>
      </c>
      <c r="J68" s="237">
        <f>'9.Structured Parking'!J7</f>
        <v>163</v>
      </c>
      <c r="K68" s="237">
        <f>'9.Structured Parking'!K7</f>
        <v>0</v>
      </c>
      <c r="L68" s="237">
        <f>'9.Structured Parking'!L7</f>
        <v>0</v>
      </c>
      <c r="M68" s="237">
        <f>'9.Structured Parking'!M7</f>
        <v>0</v>
      </c>
    </row>
    <row r="69" spans="1:13" ht="11.25" customHeight="1">
      <c r="A69" s="718" t="s">
        <v>16</v>
      </c>
      <c r="B69" s="718"/>
      <c r="C69" s="73" t="s">
        <v>49</v>
      </c>
      <c r="D69" s="238">
        <f>'10.Parking-Underground'!D7</f>
        <v>160.75499126666665</v>
      </c>
      <c r="E69" s="238">
        <f>'10.Parking-Underground'!E7</f>
        <v>0</v>
      </c>
      <c r="F69" s="238">
        <f>'10.Parking-Underground'!F7</f>
        <v>0</v>
      </c>
      <c r="G69" s="238">
        <f>'10.Parking-Underground'!G7</f>
        <v>214.10222593333339</v>
      </c>
      <c r="H69" s="238">
        <f>'10.Parking-Underground'!H7</f>
        <v>0</v>
      </c>
      <c r="I69" s="238">
        <f>'10.Parking-Underground'!I7</f>
        <v>0</v>
      </c>
      <c r="J69" s="238">
        <f>'10.Parking-Underground'!J7</f>
        <v>0</v>
      </c>
      <c r="K69" s="238">
        <f>'10.Parking-Underground'!K7</f>
        <v>0</v>
      </c>
      <c r="L69" s="238">
        <f>'10.Parking-Underground'!L7</f>
        <v>0</v>
      </c>
      <c r="M69" s="238">
        <f>'10.Parking-Underground'!M7</f>
        <v>0</v>
      </c>
    </row>
    <row r="70" spans="1:13" ht="11.25" customHeight="1">
      <c r="A70" s="719" t="s">
        <v>20</v>
      </c>
      <c r="B70" s="719"/>
      <c r="C70" s="114"/>
      <c r="D70" s="93"/>
      <c r="E70" s="94"/>
      <c r="F70" s="94"/>
      <c r="G70" s="94"/>
      <c r="H70" s="94"/>
      <c r="I70" s="94"/>
      <c r="J70" s="94"/>
      <c r="K70" s="94"/>
      <c r="L70" s="166"/>
      <c r="M70" s="94"/>
    </row>
    <row r="71" spans="1:13" ht="11.25" customHeight="1">
      <c r="A71" s="69" t="s">
        <v>50</v>
      </c>
      <c r="B71" s="69"/>
      <c r="C71" s="92"/>
      <c r="D71" s="95"/>
      <c r="E71" s="96"/>
      <c r="F71" s="96"/>
      <c r="G71" s="96"/>
      <c r="H71" s="96"/>
      <c r="I71" s="96"/>
      <c r="J71" s="96"/>
      <c r="K71" s="96"/>
      <c r="L71" s="167"/>
      <c r="M71" s="96"/>
    </row>
    <row r="72" spans="1:13" ht="11.25" customHeight="1">
      <c r="A72" s="749" t="s">
        <v>5</v>
      </c>
      <c r="B72" s="113" t="s">
        <v>6</v>
      </c>
      <c r="C72" s="73" t="s">
        <v>51</v>
      </c>
      <c r="D72" s="74">
        <f>D62*900</f>
        <v>0</v>
      </c>
      <c r="E72" s="74">
        <f t="shared" ref="E72:M72" si="11">E62*900</f>
        <v>0</v>
      </c>
      <c r="F72" s="74">
        <f t="shared" si="11"/>
        <v>0</v>
      </c>
      <c r="G72" s="74">
        <f t="shared" si="11"/>
        <v>221400</v>
      </c>
      <c r="H72" s="74">
        <f t="shared" si="11"/>
        <v>221400</v>
      </c>
      <c r="I72" s="74">
        <f t="shared" si="11"/>
        <v>0</v>
      </c>
      <c r="J72" s="74">
        <f t="shared" si="11"/>
        <v>27000</v>
      </c>
      <c r="K72" s="74">
        <f t="shared" si="11"/>
        <v>27000</v>
      </c>
      <c r="L72" s="74">
        <f t="shared" si="11"/>
        <v>0</v>
      </c>
      <c r="M72" s="74">
        <f t="shared" si="11"/>
        <v>0</v>
      </c>
    </row>
    <row r="73" spans="1:13" ht="11.25" customHeight="1">
      <c r="A73" s="750"/>
      <c r="B73" s="113" t="s">
        <v>7</v>
      </c>
      <c r="C73" s="73" t="s">
        <v>51</v>
      </c>
      <c r="D73" s="237">
        <f>1373*D63</f>
        <v>89245</v>
      </c>
      <c r="E73" s="237">
        <f t="shared" ref="E73:M73" si="12">1373*E63</f>
        <v>89245</v>
      </c>
      <c r="F73" s="237">
        <f t="shared" si="12"/>
        <v>0</v>
      </c>
      <c r="G73" s="237">
        <f t="shared" si="12"/>
        <v>0</v>
      </c>
      <c r="H73" s="237">
        <f t="shared" si="12"/>
        <v>0</v>
      </c>
      <c r="I73" s="237">
        <f t="shared" si="12"/>
        <v>0</v>
      </c>
      <c r="J73" s="237">
        <f t="shared" si="12"/>
        <v>43936</v>
      </c>
      <c r="K73" s="237">
        <f t="shared" si="12"/>
        <v>43936</v>
      </c>
      <c r="L73" s="237">
        <f t="shared" si="12"/>
        <v>0</v>
      </c>
      <c r="M73" s="237">
        <f t="shared" si="12"/>
        <v>0</v>
      </c>
    </row>
    <row r="74" spans="1:13" ht="11.25" customHeight="1">
      <c r="A74" s="749" t="s">
        <v>9</v>
      </c>
      <c r="B74" s="113" t="s">
        <v>6</v>
      </c>
      <c r="C74" s="73" t="s">
        <v>51</v>
      </c>
      <c r="D74" s="74">
        <f>1000*D64</f>
        <v>91000</v>
      </c>
      <c r="E74" s="74">
        <f t="shared" ref="E74:M74" si="13">1000*E64</f>
        <v>91000</v>
      </c>
      <c r="F74" s="74">
        <f t="shared" si="13"/>
        <v>0</v>
      </c>
      <c r="G74" s="74">
        <f t="shared" si="13"/>
        <v>46000</v>
      </c>
      <c r="H74" s="74">
        <f t="shared" si="13"/>
        <v>46000</v>
      </c>
      <c r="I74" s="74">
        <f t="shared" si="13"/>
        <v>0</v>
      </c>
      <c r="J74" s="74">
        <f t="shared" si="13"/>
        <v>0</v>
      </c>
      <c r="K74" s="74">
        <f t="shared" si="13"/>
        <v>0</v>
      </c>
      <c r="L74" s="74">
        <f t="shared" si="13"/>
        <v>0</v>
      </c>
      <c r="M74" s="74">
        <f t="shared" si="13"/>
        <v>0</v>
      </c>
    </row>
    <row r="75" spans="1:13" ht="11.25" customHeight="1">
      <c r="A75" s="750"/>
      <c r="B75" s="210" t="s">
        <v>7</v>
      </c>
      <c r="C75" s="252" t="s">
        <v>51</v>
      </c>
      <c r="D75" s="253"/>
      <c r="E75" s="254"/>
      <c r="F75" s="254"/>
      <c r="G75" s="254"/>
      <c r="H75" s="254"/>
      <c r="I75" s="254"/>
      <c r="J75" s="254"/>
      <c r="K75" s="254"/>
      <c r="L75" s="255"/>
      <c r="M75" s="254"/>
    </row>
    <row r="76" spans="1:13" ht="11.25" customHeight="1">
      <c r="A76" s="718" t="s">
        <v>10</v>
      </c>
      <c r="B76" s="718"/>
      <c r="C76" s="73" t="s">
        <v>51</v>
      </c>
      <c r="D76" s="237">
        <f>'5.Office_Commercial'!D6</f>
        <v>87704.257199999993</v>
      </c>
      <c r="E76" s="237">
        <f>'5.Office_Commercial'!E6</f>
        <v>87704.257199999993</v>
      </c>
      <c r="F76" s="237">
        <f>'5.Office_Commercial'!F6</f>
        <v>0</v>
      </c>
      <c r="G76" s="237">
        <f>'5.Office_Commercial'!G6</f>
        <v>63237.912499999991</v>
      </c>
      <c r="H76" s="237">
        <f>'5.Office_Commercial'!H6</f>
        <v>63237.912499999991</v>
      </c>
      <c r="I76" s="237">
        <f>'5.Office_Commercial'!I6</f>
        <v>0</v>
      </c>
      <c r="J76" s="237">
        <f>'5.Office_Commercial'!J6</f>
        <v>15403.140899999999</v>
      </c>
      <c r="K76" s="237">
        <f>'5.Office_Commercial'!K6</f>
        <v>15403.140899999999</v>
      </c>
      <c r="L76" s="237">
        <f>'5.Office_Commercial'!L6</f>
        <v>0</v>
      </c>
      <c r="M76" s="237">
        <f>'5.Office_Commercial'!M6</f>
        <v>0</v>
      </c>
    </row>
    <row r="77" spans="1:13" ht="11.25" customHeight="1">
      <c r="A77" s="718" t="s">
        <v>11</v>
      </c>
      <c r="B77" s="718"/>
      <c r="C77" s="73" t="s">
        <v>51</v>
      </c>
      <c r="D77" s="237">
        <f>'6.Retail '!D7*0.9</f>
        <v>12697.903732499999</v>
      </c>
      <c r="E77" s="237">
        <f>'6.Retail '!E7*0.9</f>
        <v>12697.903732499999</v>
      </c>
      <c r="F77" s="237">
        <f>'6.Retail '!F7*0.9</f>
        <v>0</v>
      </c>
      <c r="G77" s="237">
        <f>'6.Retail '!G7*0.9</f>
        <v>10314.776272500001</v>
      </c>
      <c r="H77" s="237">
        <f>'6.Retail '!H7*0.9</f>
        <v>10314.776272500001</v>
      </c>
      <c r="I77" s="237">
        <f>'6.Retail '!I7*0.9</f>
        <v>0</v>
      </c>
      <c r="J77" s="237">
        <f>'6.Retail '!J7*0.9</f>
        <v>2644.6902300000002</v>
      </c>
      <c r="K77" s="237">
        <f>'6.Retail '!K7*0.9</f>
        <v>2644.6902300000002</v>
      </c>
      <c r="L77" s="237">
        <f>'6.Retail '!L7*0.9</f>
        <v>0</v>
      </c>
      <c r="M77" s="237">
        <f>'6.Retail '!M7*0.9</f>
        <v>0</v>
      </c>
    </row>
    <row r="78" spans="1:13" ht="11.25" customHeight="1">
      <c r="A78" s="113"/>
      <c r="B78" s="276" t="s">
        <v>12</v>
      </c>
      <c r="C78" s="73" t="s">
        <v>51</v>
      </c>
      <c r="D78" s="237">
        <f>'6.Retail '!D7*0.1</f>
        <v>1410.8781925000001</v>
      </c>
      <c r="E78" s="237">
        <f>'6.Retail '!E7*0.1</f>
        <v>1410.8781925000001</v>
      </c>
      <c r="F78" s="237">
        <f>'6.Retail '!F7*0.1</f>
        <v>0</v>
      </c>
      <c r="G78" s="237">
        <f>'6.Retail '!G7*0.1</f>
        <v>1146.0862525</v>
      </c>
      <c r="H78" s="237">
        <f>'6.Retail '!H7*0.1</f>
        <v>1146.0862525</v>
      </c>
      <c r="I78" s="237">
        <f>'6.Retail '!I7*0.1</f>
        <v>0</v>
      </c>
      <c r="J78" s="237">
        <f>'6.Retail '!J7*0.1</f>
        <v>293.85446999999999</v>
      </c>
      <c r="K78" s="237">
        <f>'6.Retail '!K7*0.1</f>
        <v>293.85446999999999</v>
      </c>
      <c r="L78" s="237">
        <f>'6.Retail '!L7*0.1</f>
        <v>0</v>
      </c>
      <c r="M78" s="237">
        <f>'6.Retail '!M7*0.1</f>
        <v>0</v>
      </c>
    </row>
    <row r="79" spans="1:13" ht="11.25" customHeight="1">
      <c r="A79" s="741" t="s">
        <v>13</v>
      </c>
      <c r="B79" s="741"/>
      <c r="C79" s="252" t="s">
        <v>51</v>
      </c>
      <c r="D79" s="253"/>
      <c r="E79" s="254"/>
      <c r="F79" s="254"/>
      <c r="G79" s="254"/>
      <c r="H79" s="254"/>
      <c r="I79" s="254"/>
      <c r="J79" s="254"/>
      <c r="K79" s="254"/>
      <c r="L79" s="255"/>
      <c r="M79" s="254"/>
    </row>
    <row r="80" spans="1:13" ht="11.25" customHeight="1">
      <c r="A80" s="718" t="s">
        <v>14</v>
      </c>
      <c r="B80" s="718"/>
      <c r="C80" s="73" t="s">
        <v>51</v>
      </c>
      <c r="D80" s="237">
        <f>'9.Structured Parking'!D7</f>
        <v>461.09131061666665</v>
      </c>
      <c r="E80" s="237">
        <f>'9.Structured Parking'!E7</f>
        <v>0</v>
      </c>
      <c r="F80" s="237">
        <f>'9.Structured Parking'!F7</f>
        <v>0</v>
      </c>
      <c r="G80" s="237">
        <f>'9.Structured Parking'!G7</f>
        <v>555</v>
      </c>
      <c r="H80" s="237">
        <f>'9.Structured Parking'!H7</f>
        <v>0</v>
      </c>
      <c r="I80" s="237">
        <f>'9.Structured Parking'!I7</f>
        <v>0</v>
      </c>
      <c r="J80" s="237">
        <f>'9.Structured Parking'!J7</f>
        <v>163</v>
      </c>
      <c r="K80" s="237">
        <f>'9.Structured Parking'!K7</f>
        <v>0</v>
      </c>
      <c r="L80" s="237">
        <f>'9.Structured Parking'!L7</f>
        <v>0</v>
      </c>
      <c r="M80" s="237">
        <f>'9.Structured Parking'!M7</f>
        <v>0</v>
      </c>
    </row>
    <row r="81" spans="1:16" ht="11.25" customHeight="1">
      <c r="A81" s="718" t="s">
        <v>16</v>
      </c>
      <c r="B81" s="718"/>
      <c r="C81" s="73" t="s">
        <v>51</v>
      </c>
      <c r="D81" s="237">
        <f>'10.Parking-Underground'!D7</f>
        <v>160.75499126666665</v>
      </c>
      <c r="E81" s="237">
        <f>'10.Parking-Underground'!E7</f>
        <v>0</v>
      </c>
      <c r="F81" s="237">
        <f>'10.Parking-Underground'!F7</f>
        <v>0</v>
      </c>
      <c r="G81" s="237">
        <f>'10.Parking-Underground'!G7</f>
        <v>214.10222593333339</v>
      </c>
      <c r="H81" s="237">
        <f>'10.Parking-Underground'!H7</f>
        <v>0</v>
      </c>
      <c r="I81" s="237">
        <f>'10.Parking-Underground'!I7</f>
        <v>0</v>
      </c>
      <c r="J81" s="237">
        <f>'10.Parking-Underground'!J7</f>
        <v>0</v>
      </c>
      <c r="K81" s="237">
        <f>'10.Parking-Underground'!K7</f>
        <v>0</v>
      </c>
      <c r="L81" s="237">
        <f>'10.Parking-Underground'!L7</f>
        <v>0</v>
      </c>
      <c r="M81" s="237">
        <f>'10.Parking-Underground'!M7</f>
        <v>0</v>
      </c>
    </row>
    <row r="82" spans="1:16" ht="11.25" customHeight="1">
      <c r="A82" s="719" t="s">
        <v>20</v>
      </c>
      <c r="B82" s="719"/>
      <c r="C82" s="97" t="s">
        <v>51</v>
      </c>
      <c r="D82" s="74"/>
      <c r="E82" s="75"/>
      <c r="F82" s="75"/>
      <c r="G82" s="75"/>
      <c r="H82" s="75"/>
      <c r="I82" s="75"/>
      <c r="J82" s="75"/>
      <c r="K82" s="75"/>
      <c r="L82" s="162"/>
      <c r="M82" s="75"/>
    </row>
    <row r="83" spans="1:16" ht="11.25" customHeight="1">
      <c r="A83" s="763" t="s">
        <v>52</v>
      </c>
      <c r="B83" s="763"/>
      <c r="C83" s="66" t="s">
        <v>51</v>
      </c>
      <c r="D83" s="239">
        <f>SUM(D62:D82)</f>
        <v>284868.60992126656</v>
      </c>
      <c r="E83" s="239">
        <f t="shared" ref="E83:M83" si="14">SUM(E62:E82)</f>
        <v>283624.91731749993</v>
      </c>
      <c r="F83" s="239">
        <f t="shared" si="14"/>
        <v>0</v>
      </c>
      <c r="G83" s="239">
        <f t="shared" si="14"/>
        <v>345075.06572936662</v>
      </c>
      <c r="H83" s="239">
        <f t="shared" si="14"/>
        <v>343536.86127749999</v>
      </c>
      <c r="I83" s="239">
        <f t="shared" si="14"/>
        <v>0</v>
      </c>
      <c r="J83" s="239">
        <f t="shared" si="14"/>
        <v>89959.540070000003</v>
      </c>
      <c r="K83" s="239">
        <f t="shared" si="14"/>
        <v>89633.540070000003</v>
      </c>
      <c r="L83" s="239">
        <f t="shared" si="14"/>
        <v>0</v>
      </c>
      <c r="M83" s="239">
        <f t="shared" si="14"/>
        <v>0</v>
      </c>
    </row>
    <row r="84" spans="1:16" ht="11.25" customHeight="1"/>
    <row r="85" spans="1:16" s="62" customFormat="1" ht="11.25" customHeight="1">
      <c r="A85" s="764" t="s">
        <v>53</v>
      </c>
      <c r="B85" s="764"/>
      <c r="C85" s="765"/>
      <c r="D85" s="765"/>
      <c r="E85" s="765"/>
      <c r="F85" s="765"/>
      <c r="G85" s="98"/>
      <c r="H85" s="747" t="s">
        <v>54</v>
      </c>
      <c r="I85" s="748"/>
      <c r="J85" s="748"/>
      <c r="K85" s="748"/>
      <c r="L85" s="748"/>
      <c r="M85" s="748"/>
      <c r="O85" s="65"/>
      <c r="P85" s="65"/>
    </row>
    <row r="86" spans="1:16" s="99" customFormat="1" ht="11.25" customHeight="1">
      <c r="A86" s="756" t="s">
        <v>24</v>
      </c>
      <c r="B86" s="756"/>
      <c r="C86" s="746" t="s">
        <v>55</v>
      </c>
      <c r="D86" s="757"/>
      <c r="E86" s="746" t="s">
        <v>56</v>
      </c>
      <c r="F86" s="757"/>
      <c r="H86" s="758"/>
      <c r="I86" s="759"/>
      <c r="J86" s="759"/>
      <c r="K86" s="746" t="s">
        <v>57</v>
      </c>
      <c r="L86" s="746"/>
      <c r="M86" s="168"/>
      <c r="O86" s="62"/>
      <c r="P86" s="62"/>
    </row>
    <row r="87" spans="1:16" ht="11.25" customHeight="1">
      <c r="A87" s="751" t="s">
        <v>5</v>
      </c>
      <c r="B87" s="100" t="s">
        <v>6</v>
      </c>
      <c r="C87" s="90">
        <f>'2.Market-rate Rental Housing'!B9*160</f>
        <v>136960</v>
      </c>
      <c r="D87" s="209" t="s">
        <v>58</v>
      </c>
      <c r="E87" s="752">
        <f>SUM('2.Market-rate Rental Housing'!D22:M22)</f>
        <v>259383287.40511236</v>
      </c>
      <c r="F87" s="753"/>
      <c r="H87" s="754" t="s">
        <v>59</v>
      </c>
      <c r="I87" s="721"/>
      <c r="J87" s="721"/>
      <c r="K87" s="755"/>
      <c r="L87" s="755"/>
      <c r="M87" s="277"/>
      <c r="O87" s="99"/>
      <c r="P87" s="99"/>
    </row>
    <row r="88" spans="1:16" ht="11.25" customHeight="1">
      <c r="A88" s="750"/>
      <c r="B88" s="113" t="s">
        <v>7</v>
      </c>
      <c r="C88" s="90">
        <f>'3.Market-rate For-Sale Housing'!B9*185</f>
        <v>224775</v>
      </c>
      <c r="D88" s="205" t="s">
        <v>58</v>
      </c>
      <c r="E88" s="712">
        <f>SUM('3.Market-rate For-Sale Housing'!D22:M22)</f>
        <v>137463209.5554539</v>
      </c>
      <c r="F88" s="713"/>
      <c r="H88" s="718" t="s">
        <v>254</v>
      </c>
      <c r="I88" s="722"/>
      <c r="J88" s="722"/>
      <c r="K88" s="712">
        <f>VLOOKUP(H88,'Finance Schedule'!$Q$26:$T$40,3,FALSE)</f>
        <v>146188056.45856726</v>
      </c>
      <c r="L88" s="713"/>
      <c r="M88" s="697">
        <f>VLOOKUP(H88,'Finance Schedule'!$Q$26:$T$40,4,FALSE)</f>
        <v>0.15660583042060205</v>
      </c>
    </row>
    <row r="89" spans="1:16" ht="11.25" customHeight="1">
      <c r="A89" s="250" t="s">
        <v>8</v>
      </c>
      <c r="B89" s="210" t="s">
        <v>6</v>
      </c>
      <c r="C89" s="210"/>
      <c r="D89" s="210" t="s">
        <v>58</v>
      </c>
      <c r="E89" s="251"/>
      <c r="F89" s="251"/>
      <c r="K89" s="712"/>
      <c r="L89" s="713"/>
      <c r="M89" s="697"/>
    </row>
    <row r="90" spans="1:16" ht="11.25" customHeight="1">
      <c r="A90" s="749" t="s">
        <v>9</v>
      </c>
      <c r="B90" s="113" t="s">
        <v>6</v>
      </c>
      <c r="C90" s="90">
        <f>'4.Affordable Rental Housing'!B7*145</f>
        <v>130500</v>
      </c>
      <c r="D90" s="205" t="s">
        <v>58</v>
      </c>
      <c r="E90" s="712">
        <f>SUM('4.Affordable Rental Housing'!D27:M27)</f>
        <v>118722302.76564001</v>
      </c>
      <c r="F90" s="713"/>
      <c r="H90" s="725"/>
      <c r="I90" s="725"/>
      <c r="J90" s="725"/>
      <c r="K90" s="712"/>
      <c r="L90" s="713"/>
      <c r="M90" s="697"/>
    </row>
    <row r="91" spans="1:16" ht="11.25" customHeight="1">
      <c r="A91" s="750"/>
      <c r="B91" s="210" t="s">
        <v>7</v>
      </c>
      <c r="C91" s="249"/>
      <c r="D91" s="210" t="s">
        <v>58</v>
      </c>
      <c r="E91" s="742"/>
      <c r="F91" s="743"/>
      <c r="H91" s="720" t="s">
        <v>61</v>
      </c>
      <c r="I91" s="721"/>
      <c r="J91" s="721"/>
      <c r="K91" s="712"/>
      <c r="L91" s="713"/>
      <c r="M91" s="697"/>
    </row>
    <row r="92" spans="1:16" ht="11.25" customHeight="1">
      <c r="A92" s="718" t="s">
        <v>10</v>
      </c>
      <c r="B92" s="718"/>
      <c r="C92" s="90">
        <v>460</v>
      </c>
      <c r="D92" s="205" t="s">
        <v>60</v>
      </c>
      <c r="E92" s="712">
        <f>SUM('6.Retail '!D23:M23)</f>
        <v>14684769.204142297</v>
      </c>
      <c r="F92" s="713"/>
      <c r="H92" s="718" t="s">
        <v>252</v>
      </c>
      <c r="I92" s="722"/>
      <c r="J92" s="722"/>
      <c r="K92" s="712">
        <f>VLOOKUP(H92,'Finance Schedule'!$Q$26:$T$40,3,FALSE)</f>
        <v>634764862.36075842</v>
      </c>
      <c r="L92" s="713"/>
      <c r="M92" s="697">
        <f>VLOOKUP(H92,'Finance Schedule'!$Q$26:$T$40,4,FALSE)</f>
        <v>0.68</v>
      </c>
    </row>
    <row r="93" spans="1:16" ht="11.25" customHeight="1">
      <c r="A93" s="718" t="s">
        <v>25</v>
      </c>
      <c r="B93" s="718"/>
      <c r="C93" s="90">
        <v>200</v>
      </c>
      <c r="D93" s="205" t="s">
        <v>60</v>
      </c>
      <c r="E93" s="712">
        <f>SUM('6.Retail '!D23:M23)</f>
        <v>14684769.204142297</v>
      </c>
      <c r="F93" s="713"/>
      <c r="H93" s="744" t="s">
        <v>274</v>
      </c>
      <c r="I93" s="717"/>
      <c r="J93" s="717"/>
      <c r="K93" s="712">
        <f>VLOOKUP(H93,'Finance Schedule'!$Q$26:$T$40,3,FALSE)</f>
        <v>14684769.204142297</v>
      </c>
      <c r="L93" s="713"/>
      <c r="M93" s="697">
        <f>VLOOKUP(H93,'Finance Schedule'!$Q$26:$T$40,4,FALSE)</f>
        <v>1.5731247349891245E-2</v>
      </c>
    </row>
    <row r="94" spans="1:16" ht="11.25" customHeight="1">
      <c r="A94" s="741" t="s">
        <v>13</v>
      </c>
      <c r="B94" s="741"/>
      <c r="C94" s="249"/>
      <c r="D94" s="210" t="s">
        <v>62</v>
      </c>
      <c r="E94" s="742"/>
      <c r="F94" s="743"/>
      <c r="H94" s="760"/>
      <c r="I94" s="761"/>
      <c r="J94" s="761"/>
      <c r="K94" s="712"/>
      <c r="L94" s="713"/>
      <c r="M94" s="697"/>
    </row>
    <row r="95" spans="1:16" ht="11.25" customHeight="1">
      <c r="A95" s="718" t="s">
        <v>14</v>
      </c>
      <c r="B95" s="718"/>
      <c r="C95" s="90">
        <v>21000</v>
      </c>
      <c r="D95" s="205" t="s">
        <v>63</v>
      </c>
      <c r="E95" s="712">
        <f>SUM('9.Structured Parking'!D33:M33)</f>
        <v>11542213.80885046</v>
      </c>
      <c r="F95" s="713"/>
      <c r="H95" s="720" t="s">
        <v>69</v>
      </c>
      <c r="I95" s="721"/>
      <c r="J95" s="721"/>
      <c r="K95" s="712"/>
      <c r="L95" s="713"/>
      <c r="M95" s="697"/>
    </row>
    <row r="96" spans="1:16" ht="11.25" customHeight="1">
      <c r="A96" s="718" t="s">
        <v>16</v>
      </c>
      <c r="B96" s="718"/>
      <c r="C96" s="240">
        <v>35000</v>
      </c>
      <c r="D96" s="205" t="s">
        <v>63</v>
      </c>
      <c r="E96" s="712">
        <f>SUM('10.Parking-Underground'!D33:M33)</f>
        <v>12018927.852560462</v>
      </c>
      <c r="F96" s="713"/>
      <c r="H96" s="718" t="s">
        <v>276</v>
      </c>
      <c r="I96" s="718"/>
      <c r="J96" s="718"/>
      <c r="K96" s="712">
        <f>VLOOKUP(H96,'Finance Schedule'!$Q$26:$T$40,3,FALSE)</f>
        <v>15000000</v>
      </c>
      <c r="L96" s="713"/>
      <c r="M96" s="697">
        <f>VLOOKUP(H96,'Finance Schedule'!$Q$26:$T$40,4,FALSE)</f>
        <v>1.6068942382955965E-2</v>
      </c>
    </row>
    <row r="97" spans="1:13" ht="11.25" customHeight="1">
      <c r="A97" s="719" t="s">
        <v>20</v>
      </c>
      <c r="B97" s="719"/>
      <c r="C97" s="728" t="s">
        <v>63</v>
      </c>
      <c r="D97" s="729"/>
      <c r="E97" s="730"/>
      <c r="F97" s="731"/>
      <c r="H97" s="718" t="s">
        <v>284</v>
      </c>
      <c r="I97" s="722"/>
      <c r="J97" s="722"/>
      <c r="K97" s="712">
        <f>VLOOKUP(H97,'Finance Schedule'!$Q$26:$T$40,3,FALSE)</f>
        <v>40000</v>
      </c>
      <c r="L97" s="713"/>
      <c r="M97" s="697">
        <f>VLOOKUP(H97,'Finance Schedule'!$Q$26:$T$40,4,FALSE)</f>
        <v>4.2850513021215907E-5</v>
      </c>
    </row>
    <row r="98" spans="1:13" ht="11.25" customHeight="1">
      <c r="A98" s="77" t="s">
        <v>64</v>
      </c>
      <c r="B98" s="77"/>
      <c r="C98" s="745" t="s">
        <v>65</v>
      </c>
      <c r="D98" s="745"/>
      <c r="E98" s="762" t="s">
        <v>66</v>
      </c>
      <c r="F98" s="762"/>
      <c r="H98" s="718" t="s">
        <v>275</v>
      </c>
      <c r="I98" s="722"/>
      <c r="J98" s="722"/>
      <c r="K98" s="712">
        <f>VLOOKUP(H98,'Finance Schedule'!$Q$26:$T$40,3,FALSE)</f>
        <v>4005000</v>
      </c>
      <c r="L98" s="713"/>
      <c r="M98" s="697">
        <f>VLOOKUP(H98,'Finance Schedule'!$Q$26:$T$40,4,FALSE)</f>
        <v>4.2904076162492422E-3</v>
      </c>
    </row>
    <row r="99" spans="1:13" ht="11.25" customHeight="1">
      <c r="A99" s="101"/>
      <c r="B99" s="113" t="s">
        <v>67</v>
      </c>
      <c r="C99" s="714">
        <v>0</v>
      </c>
      <c r="D99" s="715"/>
      <c r="E99" s="714">
        <v>380000</v>
      </c>
      <c r="F99" s="715"/>
      <c r="H99" s="723" t="s">
        <v>265</v>
      </c>
      <c r="I99" s="724"/>
      <c r="J99" s="724"/>
      <c r="K99" s="726">
        <f>VLOOKUP(H99,'Finance Schedule'!$Q$26:$T$40,3,FALSE)</f>
        <v>5000000</v>
      </c>
      <c r="L99" s="727"/>
      <c r="M99" s="704">
        <f>VLOOKUP(H99,'Finance Schedule'!$Q$26:$T$40,4,FALSE)</f>
        <v>5.356314127651988E-3</v>
      </c>
    </row>
    <row r="100" spans="1:13" ht="11.25" customHeight="1">
      <c r="A100" s="101"/>
      <c r="B100" s="113" t="s">
        <v>68</v>
      </c>
      <c r="C100" s="714">
        <v>889000</v>
      </c>
      <c r="D100" s="715"/>
      <c r="E100" s="714">
        <v>0</v>
      </c>
      <c r="F100" s="715"/>
      <c r="H100" s="740" t="s">
        <v>273</v>
      </c>
      <c r="I100" s="724"/>
      <c r="J100" s="724"/>
      <c r="K100" s="738">
        <f>VLOOKUP(H100,'Finance Schedule'!$Q$26:$T$40,3,FALSE)</f>
        <v>6000000</v>
      </c>
      <c r="L100" s="739"/>
      <c r="M100" s="706">
        <f>VLOOKUP(H100,'Finance Schedule'!$Q$26:$T$40,4,FALSE)</f>
        <v>6.4275769531823854E-3</v>
      </c>
    </row>
    <row r="101" spans="1:13" ht="11.25" customHeight="1">
      <c r="A101" s="101"/>
      <c r="B101" s="107" t="s">
        <v>70</v>
      </c>
      <c r="C101" s="714">
        <v>0</v>
      </c>
      <c r="D101" s="715"/>
      <c r="E101" s="714">
        <f>SUM('1.Infrastructure Costs'!E24:N24)</f>
        <v>11275000</v>
      </c>
      <c r="F101" s="715"/>
      <c r="H101" s="723" t="s">
        <v>263</v>
      </c>
      <c r="I101" s="724"/>
      <c r="J101" s="724"/>
      <c r="K101" s="738">
        <f>VLOOKUP(H101,'Finance Schedule'!$Q$26:$T$40,3,FALSE)</f>
        <v>18000000</v>
      </c>
      <c r="L101" s="739"/>
      <c r="M101" s="706">
        <f>VLOOKUP(H101,'Finance Schedule'!$Q$26:$T$40,4,FALSE)</f>
        <v>1.9282730859547157E-2</v>
      </c>
    </row>
    <row r="102" spans="1:13" ht="11.25" customHeight="1">
      <c r="A102" s="101"/>
      <c r="B102" s="113" t="s">
        <v>71</v>
      </c>
      <c r="C102" s="714">
        <f>SUM('1.Infrastructure Costs'!E19:N19)</f>
        <v>2000000</v>
      </c>
      <c r="D102" s="715"/>
      <c r="E102" s="714">
        <v>0</v>
      </c>
      <c r="F102" s="715"/>
      <c r="H102" s="723" t="s">
        <v>248</v>
      </c>
      <c r="I102" s="723"/>
      <c r="J102" s="723"/>
      <c r="K102" s="736">
        <f>VLOOKUP(H102,'Finance Schedule'!$Q$26:$T$40,3,FALSE)</f>
        <v>15000000</v>
      </c>
      <c r="L102" s="737"/>
      <c r="M102" s="705">
        <f>VLOOKUP(H102,'Finance Schedule'!$Q$26:$T$40,4,FALSE)</f>
        <v>1.6068942382955965E-2</v>
      </c>
    </row>
    <row r="103" spans="1:13" ht="11.25" customHeight="1">
      <c r="A103" s="102"/>
      <c r="B103" s="118" t="s">
        <v>72</v>
      </c>
      <c r="C103" s="714">
        <v>0</v>
      </c>
      <c r="D103" s="715"/>
      <c r="E103" s="714">
        <v>2000000</v>
      </c>
      <c r="F103" s="715"/>
      <c r="H103" s="723" t="s">
        <v>251</v>
      </c>
      <c r="I103" s="723"/>
      <c r="J103" s="723"/>
      <c r="K103" s="712">
        <f>VLOOKUP(H103,'Finance Schedule'!$Q$26:$T$40,3,FALSE)</f>
        <v>74795050.742353201</v>
      </c>
      <c r="L103" s="713"/>
      <c r="M103" s="697">
        <f>VLOOKUP(H103,'Finance Schedule'!$Q$26:$T$40,4,FALSE)</f>
        <v>8.0125157393942756E-2</v>
      </c>
    </row>
    <row r="104" spans="1:13" ht="11.25" customHeight="1">
      <c r="A104" s="86"/>
      <c r="B104" s="82" t="s">
        <v>73</v>
      </c>
      <c r="C104" s="734">
        <f>D40+J40</f>
        <v>8800000</v>
      </c>
      <c r="D104" s="734"/>
      <c r="E104" s="734"/>
      <c r="F104" s="734"/>
      <c r="H104" s="702"/>
      <c r="I104" s="703"/>
      <c r="J104" s="703"/>
      <c r="K104" s="699"/>
      <c r="L104" s="700"/>
      <c r="M104" s="697"/>
    </row>
    <row r="105" spans="1:13" ht="11.25" customHeight="1">
      <c r="A105" s="86"/>
      <c r="B105" s="82" t="s">
        <v>74</v>
      </c>
      <c r="C105" s="734">
        <f>'1.Infrastructure Costs'!C27</f>
        <v>93695412.963657096</v>
      </c>
      <c r="D105" s="734"/>
      <c r="E105" s="734"/>
      <c r="F105" s="734"/>
      <c r="H105" s="716"/>
      <c r="I105" s="717"/>
      <c r="J105" s="717"/>
      <c r="K105" s="712"/>
      <c r="L105" s="713"/>
      <c r="M105" s="697"/>
    </row>
    <row r="106" spans="1:13" ht="11.25" customHeight="1">
      <c r="A106" s="86"/>
      <c r="B106" s="82" t="s">
        <v>29</v>
      </c>
      <c r="C106" s="735">
        <f>SUM(D43:M43)</f>
        <v>820844638.73086214</v>
      </c>
      <c r="D106" s="735"/>
      <c r="E106" s="735"/>
      <c r="F106" s="735"/>
      <c r="G106" s="103"/>
      <c r="H106" s="732" t="s">
        <v>52</v>
      </c>
      <c r="I106" s="733"/>
      <c r="J106" s="733"/>
      <c r="K106" s="712">
        <f>SUM(K87:L105)</f>
        <v>933477738.76582122</v>
      </c>
      <c r="L106" s="713"/>
      <c r="M106" s="697">
        <f>SUM(M88:M103)</f>
        <v>1</v>
      </c>
    </row>
    <row r="107" spans="1:13" ht="14.1" customHeight="1">
      <c r="C107" s="105"/>
      <c r="D107" s="106"/>
      <c r="F107" s="263">
        <f>C105+C106+C104</f>
        <v>923340051.69451928</v>
      </c>
    </row>
    <row r="108" spans="1:13" ht="14.1" customHeight="1">
      <c r="C108" s="105"/>
      <c r="D108" s="106"/>
    </row>
    <row r="109" spans="1:13" ht="14.1" customHeight="1">
      <c r="C109" s="105"/>
      <c r="D109" s="106"/>
      <c r="E109" s="263"/>
      <c r="H109" s="257"/>
      <c r="M109" s="275"/>
    </row>
    <row r="110" spans="1:13" ht="14.1" customHeight="1">
      <c r="C110" s="105"/>
      <c r="D110" s="106"/>
      <c r="H110" s="258"/>
    </row>
    <row r="111" spans="1:13" ht="14.1" customHeight="1">
      <c r="H111" s="259"/>
    </row>
    <row r="112" spans="1:13" ht="14.1" customHeight="1">
      <c r="H112" s="261"/>
      <c r="K112" s="707"/>
    </row>
    <row r="113" spans="8:10" ht="14.1" customHeight="1">
      <c r="H113" s="260"/>
    </row>
    <row r="115" spans="8:10" ht="14.1" customHeight="1">
      <c r="H115" s="718"/>
      <c r="I115" s="722"/>
      <c r="J115" s="722"/>
    </row>
  </sheetData>
  <mergeCells count="123">
    <mergeCell ref="A62:A63"/>
    <mergeCell ref="A64:A65"/>
    <mergeCell ref="A58:M58"/>
    <mergeCell ref="A69:B69"/>
    <mergeCell ref="A70:B70"/>
    <mergeCell ref="A72:A73"/>
    <mergeCell ref="A66:B66"/>
    <mergeCell ref="A67:B67"/>
    <mergeCell ref="A68:B68"/>
    <mergeCell ref="A34:B34"/>
    <mergeCell ref="A35:B35"/>
    <mergeCell ref="A36:B36"/>
    <mergeCell ref="A30:A31"/>
    <mergeCell ref="A32:B32"/>
    <mergeCell ref="A33:B33"/>
    <mergeCell ref="A46:B46"/>
    <mergeCell ref="A48:B48"/>
    <mergeCell ref="A49:B49"/>
    <mergeCell ref="A38:B38"/>
    <mergeCell ref="A41:B41"/>
    <mergeCell ref="A43:B43"/>
    <mergeCell ref="A37:B37"/>
    <mergeCell ref="A10:B10"/>
    <mergeCell ref="A11:B11"/>
    <mergeCell ref="A13:B13"/>
    <mergeCell ref="A23:B23"/>
    <mergeCell ref="A5:A6"/>
    <mergeCell ref="A8:A9"/>
    <mergeCell ref="A22:B22"/>
    <mergeCell ref="A27:A28"/>
    <mergeCell ref="A14:B14"/>
    <mergeCell ref="A16:B16"/>
    <mergeCell ref="A20:B20"/>
    <mergeCell ref="A15:B15"/>
    <mergeCell ref="A21:B21"/>
    <mergeCell ref="A18:B18"/>
    <mergeCell ref="A79:B79"/>
    <mergeCell ref="A80:B80"/>
    <mergeCell ref="A81:B81"/>
    <mergeCell ref="A74:A75"/>
    <mergeCell ref="A76:B76"/>
    <mergeCell ref="A77:B77"/>
    <mergeCell ref="A82:B82"/>
    <mergeCell ref="A83:B83"/>
    <mergeCell ref="A85:F85"/>
    <mergeCell ref="H101:J101"/>
    <mergeCell ref="K101:L101"/>
    <mergeCell ref="E91:F91"/>
    <mergeCell ref="A87:A88"/>
    <mergeCell ref="E87:F87"/>
    <mergeCell ref="H87:J87"/>
    <mergeCell ref="E88:F88"/>
    <mergeCell ref="H88:J88"/>
    <mergeCell ref="K87:L87"/>
    <mergeCell ref="C99:D99"/>
    <mergeCell ref="E99:F99"/>
    <mergeCell ref="H94:J94"/>
    <mergeCell ref="K94:L94"/>
    <mergeCell ref="E98:F98"/>
    <mergeCell ref="K89:L89"/>
    <mergeCell ref="K90:L90"/>
    <mergeCell ref="C100:D100"/>
    <mergeCell ref="H92:J92"/>
    <mergeCell ref="K92:L92"/>
    <mergeCell ref="K96:L96"/>
    <mergeCell ref="K86:L86"/>
    <mergeCell ref="A92:B92"/>
    <mergeCell ref="H85:M85"/>
    <mergeCell ref="K88:L88"/>
    <mergeCell ref="A90:A91"/>
    <mergeCell ref="E90:F90"/>
    <mergeCell ref="A86:B86"/>
    <mergeCell ref="C86:D86"/>
    <mergeCell ref="E86:F86"/>
    <mergeCell ref="H86:J86"/>
    <mergeCell ref="H115:J115"/>
    <mergeCell ref="H99:J99"/>
    <mergeCell ref="H90:J90"/>
    <mergeCell ref="K99:L99"/>
    <mergeCell ref="C97:D97"/>
    <mergeCell ref="E97:F97"/>
    <mergeCell ref="K93:L93"/>
    <mergeCell ref="K97:L97"/>
    <mergeCell ref="K95:L95"/>
    <mergeCell ref="C102:D102"/>
    <mergeCell ref="E102:F102"/>
    <mergeCell ref="H97:J97"/>
    <mergeCell ref="E100:F100"/>
    <mergeCell ref="H95:J95"/>
    <mergeCell ref="H106:J106"/>
    <mergeCell ref="E103:F103"/>
    <mergeCell ref="C104:F104"/>
    <mergeCell ref="C105:F105"/>
    <mergeCell ref="C106:F106"/>
    <mergeCell ref="K102:L102"/>
    <mergeCell ref="K103:L103"/>
    <mergeCell ref="K100:L100"/>
    <mergeCell ref="H100:J100"/>
    <mergeCell ref="E92:F92"/>
    <mergeCell ref="K106:L106"/>
    <mergeCell ref="C103:D103"/>
    <mergeCell ref="H105:J105"/>
    <mergeCell ref="K105:L105"/>
    <mergeCell ref="A96:B96"/>
    <mergeCell ref="E96:F96"/>
    <mergeCell ref="A97:B97"/>
    <mergeCell ref="H91:J91"/>
    <mergeCell ref="K91:L91"/>
    <mergeCell ref="H102:J102"/>
    <mergeCell ref="H103:J103"/>
    <mergeCell ref="A94:B94"/>
    <mergeCell ref="E94:F94"/>
    <mergeCell ref="A93:B93"/>
    <mergeCell ref="E93:F93"/>
    <mergeCell ref="A95:B95"/>
    <mergeCell ref="E95:F95"/>
    <mergeCell ref="H93:J93"/>
    <mergeCell ref="H96:J96"/>
    <mergeCell ref="C101:D101"/>
    <mergeCell ref="E101:F101"/>
    <mergeCell ref="H98:J98"/>
    <mergeCell ref="K98:L98"/>
    <mergeCell ref="C98:D98"/>
  </mergeCells>
  <pageMargins left="0.25" right="0.25" top="0.75" bottom="0.75" header="0.3" footer="0.3"/>
  <pageSetup paperSize="3" scale="72" orientation="portrait" r:id="rId1"/>
  <headerFooter alignWithMargins="0">
    <oddHeader xml:space="preserve">&amp;L&amp;"Arial,Bold"2022 ULI Hines Student Competition&amp;C2022 5122&amp;RTeam &amp;A
&amp;G 
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2FB8E-B1CB-403D-AFC0-BBA482DC75F0}">
  <dimension ref="A1:M40"/>
  <sheetViews>
    <sheetView view="pageLayout" zoomScale="85" zoomScaleNormal="100" zoomScalePageLayoutView="85" workbookViewId="0">
      <selection activeCell="T18" sqref="T18"/>
    </sheetView>
  </sheetViews>
  <sheetFormatPr defaultColWidth="9.140625" defaultRowHeight="12.75"/>
  <cols>
    <col min="1" max="1" width="23" style="1" customWidth="1"/>
    <col min="2" max="2" width="14.5703125" style="3" customWidth="1"/>
    <col min="3" max="3" width="11.42578125" style="3" customWidth="1"/>
    <col min="4" max="4" width="11.7109375" style="1" bestFit="1" customWidth="1"/>
    <col min="5" max="5" width="11.5703125" style="1" bestFit="1" customWidth="1"/>
    <col min="6" max="6" width="11.7109375" style="1" bestFit="1" customWidth="1"/>
    <col min="7" max="9" width="12.42578125" style="1" bestFit="1" customWidth="1"/>
    <col min="10" max="10" width="12.28515625" style="1" bestFit="1" customWidth="1"/>
    <col min="11" max="11" width="12.42578125" style="1" customWidth="1"/>
    <col min="12" max="13" width="10.42578125" style="1" bestFit="1" customWidth="1"/>
    <col min="14" max="16384" width="9.140625" style="1"/>
  </cols>
  <sheetData>
    <row r="1" spans="1:13" ht="14.1" customHeight="1">
      <c r="A1" s="207"/>
      <c r="B1" s="207"/>
      <c r="C1" s="206"/>
      <c r="D1" s="208"/>
      <c r="E1" s="208"/>
      <c r="F1" s="208"/>
      <c r="G1" s="208"/>
      <c r="H1" s="208"/>
      <c r="I1" s="208"/>
      <c r="J1" s="208"/>
      <c r="K1" s="208"/>
      <c r="L1" s="109" t="s">
        <v>1</v>
      </c>
      <c r="M1" s="110" t="s">
        <v>236</v>
      </c>
    </row>
    <row r="2" spans="1:13" ht="14.1" customHeight="1">
      <c r="A2" s="43"/>
      <c r="B2" s="46"/>
      <c r="C2" s="46"/>
      <c r="D2" s="43"/>
      <c r="E2" s="43"/>
      <c r="F2" s="43"/>
      <c r="G2" s="43"/>
      <c r="H2" s="43"/>
      <c r="I2" s="43"/>
      <c r="J2" s="43"/>
      <c r="K2" s="43"/>
      <c r="L2" s="47"/>
      <c r="M2" s="48"/>
    </row>
    <row r="3" spans="1:13" ht="14.1" customHeight="1">
      <c r="A3" s="43"/>
      <c r="B3" s="46"/>
      <c r="C3" s="46" t="s">
        <v>2</v>
      </c>
      <c r="D3" s="306" t="s">
        <v>3</v>
      </c>
      <c r="E3" s="300"/>
      <c r="F3" s="300"/>
      <c r="G3" s="401" t="s">
        <v>198</v>
      </c>
      <c r="H3" s="244"/>
      <c r="I3" s="244"/>
      <c r="J3" s="496" t="s">
        <v>221</v>
      </c>
      <c r="K3" s="174"/>
      <c r="L3" s="174"/>
      <c r="M3" s="174"/>
    </row>
    <row r="4" spans="1:13">
      <c r="A4" s="39"/>
      <c r="B4" s="49" t="s">
        <v>75</v>
      </c>
      <c r="C4" s="67" t="s">
        <v>124</v>
      </c>
      <c r="D4" s="297">
        <v>2024</v>
      </c>
      <c r="E4" s="307">
        <f t="shared" ref="E4:M4" si="0">D4+1</f>
        <v>2025</v>
      </c>
      <c r="F4" s="307">
        <f t="shared" si="0"/>
        <v>2026</v>
      </c>
      <c r="G4" s="380">
        <f t="shared" si="0"/>
        <v>2027</v>
      </c>
      <c r="H4" s="380">
        <f t="shared" si="0"/>
        <v>2028</v>
      </c>
      <c r="I4" s="380">
        <f t="shared" si="0"/>
        <v>2029</v>
      </c>
      <c r="J4" s="465">
        <f t="shared" si="0"/>
        <v>2030</v>
      </c>
      <c r="K4" s="465">
        <f t="shared" si="0"/>
        <v>2031</v>
      </c>
      <c r="L4" s="465">
        <f t="shared" si="0"/>
        <v>2032</v>
      </c>
      <c r="M4" s="465">
        <f t="shared" si="0"/>
        <v>2033</v>
      </c>
    </row>
    <row r="5" spans="1:13" ht="18" customHeight="1">
      <c r="A5" s="37" t="s">
        <v>95</v>
      </c>
      <c r="B5" s="50"/>
      <c r="C5" s="50"/>
      <c r="D5" s="321"/>
      <c r="E5" s="321"/>
      <c r="F5" s="321"/>
      <c r="G5" s="381"/>
      <c r="H5" s="381"/>
      <c r="I5" s="381"/>
      <c r="J5" s="466"/>
      <c r="K5" s="466"/>
      <c r="L5" s="466"/>
      <c r="M5" s="466"/>
    </row>
    <row r="6" spans="1:13" ht="14.1" customHeight="1">
      <c r="A6" s="21" t="s">
        <v>76</v>
      </c>
      <c r="B6" s="24">
        <v>0.02</v>
      </c>
      <c r="C6" s="24"/>
      <c r="D6" s="322"/>
      <c r="E6" s="322"/>
      <c r="F6" s="322"/>
      <c r="G6" s="382"/>
      <c r="H6" s="382"/>
      <c r="I6" s="382"/>
      <c r="J6" s="467"/>
      <c r="K6" s="467"/>
      <c r="L6" s="467"/>
      <c r="M6" s="467"/>
    </row>
    <row r="7" spans="1:13" ht="14.1" customHeight="1">
      <c r="A7" s="21" t="s">
        <v>103</v>
      </c>
      <c r="B7" s="158">
        <f>SUM(D7:M7)</f>
        <v>57016.378299999997</v>
      </c>
      <c r="C7" s="158"/>
      <c r="D7" s="351">
        <f>Parcel_Pharse!J7</f>
        <v>14108.781924999999</v>
      </c>
      <c r="E7" s="351">
        <f>Parcel_Pharse!K7</f>
        <v>14108.781924999999</v>
      </c>
      <c r="F7" s="351">
        <f>Parcel_Pharse!L7</f>
        <v>0</v>
      </c>
      <c r="G7" s="416">
        <f>Parcel_Pharse!M7</f>
        <v>11460.862525</v>
      </c>
      <c r="H7" s="416">
        <f>Parcel_Pharse!N7</f>
        <v>11460.862525</v>
      </c>
      <c r="I7" s="416">
        <f>Parcel_Pharse!O7</f>
        <v>0</v>
      </c>
      <c r="J7" s="506">
        <f>Parcel_Pharse!P7</f>
        <v>2938.5446999999999</v>
      </c>
      <c r="K7" s="506">
        <f>Parcel_Pharse!Q7</f>
        <v>2938.5446999999999</v>
      </c>
      <c r="L7" s="506"/>
      <c r="M7" s="506"/>
    </row>
    <row r="8" spans="1:13" ht="14.1" customHeight="1">
      <c r="A8" s="21" t="s">
        <v>104</v>
      </c>
      <c r="B8" s="41" t="s">
        <v>51</v>
      </c>
      <c r="C8" s="41"/>
      <c r="D8" s="325">
        <v>0</v>
      </c>
      <c r="E8" s="353"/>
      <c r="F8" s="353">
        <f>D7+E7</f>
        <v>28217.563849999999</v>
      </c>
      <c r="G8" s="417">
        <f t="shared" ref="G8" si="1">F8+F7</f>
        <v>28217.563849999999</v>
      </c>
      <c r="H8" s="417">
        <f>F8</f>
        <v>28217.563849999999</v>
      </c>
      <c r="I8" s="417"/>
      <c r="J8" s="490">
        <f>I8</f>
        <v>0</v>
      </c>
      <c r="K8" s="490">
        <f>J8</f>
        <v>0</v>
      </c>
      <c r="L8" s="490">
        <f>J7+K7</f>
        <v>5877.0893999999998</v>
      </c>
      <c r="M8" s="490"/>
    </row>
    <row r="9" spans="1:13" ht="14.1" customHeight="1">
      <c r="A9" s="21" t="s">
        <v>87</v>
      </c>
      <c r="B9" s="24">
        <v>0.9</v>
      </c>
      <c r="C9" s="24"/>
      <c r="D9" s="326">
        <f>D8*$B$9</f>
        <v>0</v>
      </c>
      <c r="E9" s="326"/>
      <c r="F9" s="354">
        <f t="shared" ref="F9:L9" si="2">F8*$B$9</f>
        <v>25395.807464999998</v>
      </c>
      <c r="G9" s="418">
        <f t="shared" si="2"/>
        <v>25395.807464999998</v>
      </c>
      <c r="H9" s="418">
        <f t="shared" si="2"/>
        <v>25395.807464999998</v>
      </c>
      <c r="I9" s="418">
        <f t="shared" si="2"/>
        <v>0</v>
      </c>
      <c r="J9" s="512">
        <f t="shared" si="2"/>
        <v>0</v>
      </c>
      <c r="K9" s="512">
        <f t="shared" si="2"/>
        <v>0</v>
      </c>
      <c r="L9" s="512">
        <f t="shared" si="2"/>
        <v>5289.3804600000003</v>
      </c>
      <c r="M9" s="512"/>
    </row>
    <row r="10" spans="1:13" ht="14.1" customHeight="1">
      <c r="A10" s="279" t="s">
        <v>105</v>
      </c>
      <c r="B10" s="24">
        <v>0.05</v>
      </c>
      <c r="C10" s="24"/>
      <c r="D10" s="326">
        <f>D9*$B$10</f>
        <v>0</v>
      </c>
      <c r="E10" s="326"/>
      <c r="F10" s="354">
        <f t="shared" ref="F10:L10" si="3">F9*$B$10</f>
        <v>1269.7903732499999</v>
      </c>
      <c r="G10" s="418">
        <f t="shared" si="3"/>
        <v>1269.7903732499999</v>
      </c>
      <c r="H10" s="418">
        <f t="shared" si="3"/>
        <v>1269.7903732499999</v>
      </c>
      <c r="I10" s="418">
        <f t="shared" si="3"/>
        <v>0</v>
      </c>
      <c r="J10" s="512">
        <f t="shared" si="3"/>
        <v>0</v>
      </c>
      <c r="K10" s="512">
        <f t="shared" si="3"/>
        <v>0</v>
      </c>
      <c r="L10" s="512">
        <f t="shared" si="3"/>
        <v>264.46902300000005</v>
      </c>
      <c r="M10" s="512"/>
    </row>
    <row r="11" spans="1:13" ht="14.1" customHeight="1">
      <c r="A11" s="56" t="s">
        <v>237</v>
      </c>
      <c r="B11" s="291">
        <v>20</v>
      </c>
      <c r="C11" s="218"/>
      <c r="D11" s="360">
        <f>$B11*1.02^(D4-$D$4)</f>
        <v>20</v>
      </c>
      <c r="E11" s="360">
        <f t="shared" ref="E11:L11" si="4">$B11*1.02^(E4-$D$4)</f>
        <v>20.399999999999999</v>
      </c>
      <c r="F11" s="360">
        <f t="shared" si="4"/>
        <v>20.808</v>
      </c>
      <c r="G11" s="424">
        <f t="shared" si="4"/>
        <v>21.224159999999998</v>
      </c>
      <c r="H11" s="424">
        <f t="shared" si="4"/>
        <v>21.648643199999999</v>
      </c>
      <c r="I11" s="424">
        <f t="shared" si="4"/>
        <v>22.081616064000002</v>
      </c>
      <c r="J11" s="513">
        <f t="shared" si="4"/>
        <v>22.523248385280002</v>
      </c>
      <c r="K11" s="513">
        <f t="shared" si="4"/>
        <v>22.973713352985598</v>
      </c>
      <c r="L11" s="513">
        <f t="shared" si="4"/>
        <v>23.43318762004531</v>
      </c>
      <c r="M11" s="513"/>
    </row>
    <row r="12" spans="1:13" ht="14.1" customHeight="1">
      <c r="A12" s="56" t="s">
        <v>239</v>
      </c>
      <c r="B12" s="218">
        <v>0.25</v>
      </c>
      <c r="C12" s="218"/>
      <c r="D12" s="360"/>
      <c r="E12" s="360"/>
      <c r="F12" s="360"/>
      <c r="G12" s="424"/>
      <c r="H12" s="424"/>
      <c r="I12" s="424"/>
      <c r="J12" s="513"/>
      <c r="K12" s="513"/>
      <c r="L12" s="513"/>
      <c r="M12" s="513"/>
    </row>
    <row r="13" spans="1:13" ht="14.1" customHeight="1">
      <c r="A13" s="30" t="s">
        <v>238</v>
      </c>
      <c r="B13" s="44">
        <v>30</v>
      </c>
      <c r="C13" s="44"/>
      <c r="D13" s="360">
        <f>$B13*1.02^(D4-$D$4)</f>
        <v>30</v>
      </c>
      <c r="E13" s="360">
        <f t="shared" ref="E13:L13" si="5">$B13*1.02^(E4-$D$4)</f>
        <v>30.6</v>
      </c>
      <c r="F13" s="360">
        <f t="shared" si="5"/>
        <v>31.212</v>
      </c>
      <c r="G13" s="424">
        <f t="shared" si="5"/>
        <v>31.836239999999997</v>
      </c>
      <c r="H13" s="424">
        <f t="shared" si="5"/>
        <v>32.4729648</v>
      </c>
      <c r="I13" s="424">
        <f t="shared" si="5"/>
        <v>33.122424096000003</v>
      </c>
      <c r="J13" s="513">
        <f t="shared" si="5"/>
        <v>33.784872577920005</v>
      </c>
      <c r="K13" s="513">
        <f t="shared" si="5"/>
        <v>34.460570029478397</v>
      </c>
      <c r="L13" s="513">
        <f t="shared" si="5"/>
        <v>35.149781430067968</v>
      </c>
      <c r="M13" s="513"/>
    </row>
    <row r="14" spans="1:13" ht="18" customHeight="1">
      <c r="A14" s="37" t="s">
        <v>4</v>
      </c>
      <c r="B14" s="41"/>
      <c r="C14" s="41"/>
      <c r="D14" s="325"/>
      <c r="E14" s="325"/>
      <c r="F14" s="325"/>
      <c r="G14" s="384"/>
      <c r="H14" s="384"/>
      <c r="I14" s="384"/>
      <c r="J14" s="469"/>
      <c r="K14" s="469"/>
      <c r="L14" s="469"/>
      <c r="M14" s="469"/>
    </row>
    <row r="15" spans="1:13" ht="14.1" customHeight="1">
      <c r="A15" s="21" t="s">
        <v>106</v>
      </c>
      <c r="B15" s="20"/>
      <c r="C15" s="20"/>
      <c r="D15" s="356">
        <f>(D9-D10)*D13</f>
        <v>0</v>
      </c>
      <c r="E15" s="356">
        <f>(E9-E10)*((1-$B$12)*E13+$B$12*E11)</f>
        <v>0</v>
      </c>
      <c r="F15" s="356">
        <f>(F9-F10)*F13*(1-$B$12)</f>
        <v>564765.93410077575</v>
      </c>
      <c r="G15" s="420">
        <f t="shared" ref="G15:L15" si="6">(G9-G10)*G13*(1-$B$12)</f>
        <v>576061.25278279115</v>
      </c>
      <c r="H15" s="420">
        <f t="shared" si="6"/>
        <v>587582.47783844708</v>
      </c>
      <c r="I15" s="420">
        <f t="shared" si="6"/>
        <v>0</v>
      </c>
      <c r="J15" s="509">
        <f t="shared" si="6"/>
        <v>0</v>
      </c>
      <c r="K15" s="509">
        <f t="shared" si="6"/>
        <v>0</v>
      </c>
      <c r="L15" s="509">
        <f t="shared" si="6"/>
        <v>132468.40403699907</v>
      </c>
      <c r="M15" s="509"/>
    </row>
    <row r="16" spans="1:13" ht="14.1" customHeight="1">
      <c r="A16" s="273" t="s">
        <v>278</v>
      </c>
      <c r="B16" s="20"/>
      <c r="C16" s="20"/>
      <c r="D16" s="357">
        <f t="shared" ref="D16:E16" si="7">(D9-D10)*D11*0.1</f>
        <v>0</v>
      </c>
      <c r="E16" s="357">
        <f t="shared" si="7"/>
        <v>0</v>
      </c>
      <c r="F16" s="357">
        <f>(F9-F10)*F11*$B$12</f>
        <v>125503.5409112835</v>
      </c>
      <c r="G16" s="421">
        <f t="shared" ref="G16:L16" si="8">(G9-G10)*G11*$B$12</f>
        <v>128013.61172950915</v>
      </c>
      <c r="H16" s="421">
        <f t="shared" si="8"/>
        <v>130573.88396409934</v>
      </c>
      <c r="I16" s="421">
        <f t="shared" si="8"/>
        <v>0</v>
      </c>
      <c r="J16" s="514">
        <f t="shared" si="8"/>
        <v>0</v>
      </c>
      <c r="K16" s="514">
        <f t="shared" si="8"/>
        <v>0</v>
      </c>
      <c r="L16" s="514">
        <f t="shared" si="8"/>
        <v>29437.423119333125</v>
      </c>
      <c r="M16" s="514"/>
    </row>
    <row r="17" spans="1:13" s="29" customFormat="1" ht="25.5">
      <c r="A17" s="45" t="s">
        <v>108</v>
      </c>
      <c r="B17" s="176">
        <f>D13*0.21</f>
        <v>6.3</v>
      </c>
      <c r="C17" s="28"/>
      <c r="D17" s="360">
        <f>$B17*1.02^(D4-$D$4)</f>
        <v>6.3</v>
      </c>
      <c r="E17" s="360">
        <f t="shared" ref="E17:L17" si="9">$B17*1.02^(E4-$D$4)</f>
        <v>6.4260000000000002</v>
      </c>
      <c r="F17" s="360">
        <f t="shared" si="9"/>
        <v>6.5545200000000001</v>
      </c>
      <c r="G17" s="424">
        <f t="shared" si="9"/>
        <v>6.685610399999999</v>
      </c>
      <c r="H17" s="424">
        <f t="shared" si="9"/>
        <v>6.8193226079999993</v>
      </c>
      <c r="I17" s="424"/>
      <c r="J17" s="513"/>
      <c r="K17" s="513"/>
      <c r="L17" s="513">
        <f t="shared" si="9"/>
        <v>7.3814541003142722</v>
      </c>
      <c r="M17" s="513"/>
    </row>
    <row r="18" spans="1:13" ht="14.1" customHeight="1">
      <c r="A18" s="51" t="s">
        <v>31</v>
      </c>
      <c r="B18" s="26"/>
      <c r="C18" s="26"/>
      <c r="D18" s="355"/>
      <c r="E18" s="355"/>
      <c r="F18" s="355">
        <f>F15-F17+F16</f>
        <v>690262.9204920592</v>
      </c>
      <c r="G18" s="419">
        <f t="shared" ref="G18:L18" si="10">G15-G17+G16</f>
        <v>704068.1789019003</v>
      </c>
      <c r="H18" s="419">
        <f t="shared" si="10"/>
        <v>718149.54247993848</v>
      </c>
      <c r="I18" s="419"/>
      <c r="J18" s="508">
        <f t="shared" si="10"/>
        <v>0</v>
      </c>
      <c r="K18" s="508">
        <f t="shared" si="10"/>
        <v>0</v>
      </c>
      <c r="L18" s="508">
        <f t="shared" si="10"/>
        <v>161898.4457022319</v>
      </c>
      <c r="M18" s="508"/>
    </row>
    <row r="19" spans="1:13" ht="18" customHeight="1">
      <c r="A19" s="37" t="s">
        <v>24</v>
      </c>
      <c r="B19" s="41"/>
      <c r="C19" s="41"/>
      <c r="D19" s="325"/>
      <c r="E19" s="325"/>
      <c r="F19" s="325"/>
      <c r="G19" s="384"/>
      <c r="H19" s="384"/>
      <c r="I19" s="384"/>
      <c r="J19" s="469"/>
      <c r="K19" s="469"/>
      <c r="L19" s="469"/>
      <c r="M19" s="469"/>
    </row>
    <row r="20" spans="1:13" ht="14.1" customHeight="1">
      <c r="A20" s="21" t="s">
        <v>92</v>
      </c>
      <c r="B20" s="20"/>
      <c r="C20" s="20"/>
      <c r="D20" s="347">
        <f>D7/$B$7</f>
        <v>0.24745138757787427</v>
      </c>
      <c r="E20" s="347">
        <f t="shared" ref="E20:K20" si="11">E7/$B$7</f>
        <v>0.24745138757787427</v>
      </c>
      <c r="F20" s="347">
        <f t="shared" si="11"/>
        <v>0</v>
      </c>
      <c r="G20" s="414">
        <f t="shared" si="11"/>
        <v>0.20101000566358318</v>
      </c>
      <c r="H20" s="414">
        <f t="shared" si="11"/>
        <v>0.20101000566358318</v>
      </c>
      <c r="I20" s="414">
        <f t="shared" si="11"/>
        <v>0</v>
      </c>
      <c r="J20" s="502">
        <f t="shared" si="11"/>
        <v>5.153860675854257E-2</v>
      </c>
      <c r="K20" s="502">
        <f t="shared" si="11"/>
        <v>5.153860675854257E-2</v>
      </c>
      <c r="L20" s="502"/>
      <c r="M20" s="502"/>
    </row>
    <row r="21" spans="1:13" ht="14.1" customHeight="1">
      <c r="A21" s="674" t="s">
        <v>293</v>
      </c>
      <c r="B21" s="20"/>
      <c r="C21" s="20"/>
      <c r="D21" s="308">
        <f>D7*220</f>
        <v>3103932.0234999997</v>
      </c>
      <c r="E21" s="308">
        <f t="shared" ref="E21:M21" si="12">E7*220</f>
        <v>3103932.0234999997</v>
      </c>
      <c r="F21" s="308">
        <f t="shared" si="12"/>
        <v>0</v>
      </c>
      <c r="G21" s="388">
        <f t="shared" si="12"/>
        <v>2521389.7555</v>
      </c>
      <c r="H21" s="388">
        <f t="shared" si="12"/>
        <v>2521389.7555</v>
      </c>
      <c r="I21" s="388">
        <f t="shared" si="12"/>
        <v>0</v>
      </c>
      <c r="J21" s="473">
        <f t="shared" si="12"/>
        <v>646479.83400000003</v>
      </c>
      <c r="K21" s="473">
        <f t="shared" si="12"/>
        <v>646479.83400000003</v>
      </c>
      <c r="L21" s="473">
        <f t="shared" si="12"/>
        <v>0</v>
      </c>
      <c r="M21" s="473">
        <f t="shared" si="12"/>
        <v>0</v>
      </c>
    </row>
    <row r="22" spans="1:13" ht="14.1" customHeight="1">
      <c r="A22" s="21" t="s">
        <v>281</v>
      </c>
      <c r="B22" s="234"/>
      <c r="C22" s="20"/>
      <c r="D22" s="308">
        <f>20*D7</f>
        <v>282175.6385</v>
      </c>
      <c r="E22" s="308">
        <f t="shared" ref="E22:M22" si="13">20*E7</f>
        <v>282175.6385</v>
      </c>
      <c r="F22" s="308">
        <f t="shared" si="13"/>
        <v>0</v>
      </c>
      <c r="G22" s="388">
        <f t="shared" si="13"/>
        <v>229217.25050000002</v>
      </c>
      <c r="H22" s="388">
        <f t="shared" si="13"/>
        <v>229217.25050000002</v>
      </c>
      <c r="I22" s="388">
        <f t="shared" si="13"/>
        <v>0</v>
      </c>
      <c r="J22" s="473">
        <f t="shared" si="13"/>
        <v>58770.894</v>
      </c>
      <c r="K22" s="473">
        <f t="shared" si="13"/>
        <v>58770.894</v>
      </c>
      <c r="L22" s="473">
        <f t="shared" si="13"/>
        <v>0</v>
      </c>
      <c r="M22" s="473">
        <f t="shared" si="13"/>
        <v>0</v>
      </c>
    </row>
    <row r="23" spans="1:13" ht="14.1" customHeight="1">
      <c r="A23" s="51" t="s">
        <v>29</v>
      </c>
      <c r="B23" s="26"/>
      <c r="C23" s="26"/>
      <c r="D23" s="309">
        <f>(D21+D22)*1.03^(D4-$D$4)</f>
        <v>3386107.6619999995</v>
      </c>
      <c r="E23" s="309">
        <f t="shared" ref="E23:L23" si="14">(E21+E22)*1.03^(E4-$D$4)</f>
        <v>3487690.8918599994</v>
      </c>
      <c r="F23" s="309">
        <f t="shared" si="14"/>
        <v>0</v>
      </c>
      <c r="G23" s="392">
        <f t="shared" si="14"/>
        <v>3005662.5418453622</v>
      </c>
      <c r="H23" s="392">
        <f t="shared" si="14"/>
        <v>3095832.4181007226</v>
      </c>
      <c r="I23" s="392">
        <f t="shared" si="14"/>
        <v>0</v>
      </c>
      <c r="J23" s="477">
        <f t="shared" si="14"/>
        <v>842106.25139714906</v>
      </c>
      <c r="K23" s="477">
        <f t="shared" si="14"/>
        <v>867369.43893906358</v>
      </c>
      <c r="L23" s="477">
        <f t="shared" si="14"/>
        <v>0</v>
      </c>
      <c r="M23" s="477"/>
    </row>
    <row r="24" spans="1:13" ht="18" customHeight="1">
      <c r="A24" s="37" t="s">
        <v>30</v>
      </c>
      <c r="B24" s="41"/>
      <c r="C24" s="41"/>
      <c r="D24" s="338"/>
      <c r="E24" s="338"/>
      <c r="F24" s="338"/>
      <c r="G24" s="403"/>
      <c r="H24" s="403"/>
      <c r="I24" s="403"/>
      <c r="J24" s="498"/>
      <c r="K24" s="498"/>
      <c r="L24" s="469"/>
      <c r="M24" s="469"/>
    </row>
    <row r="25" spans="1:13" ht="14.1" customHeight="1">
      <c r="A25" s="21" t="s">
        <v>31</v>
      </c>
      <c r="B25" s="23"/>
      <c r="C25" s="23"/>
      <c r="D25" s="308">
        <f>D18</f>
        <v>0</v>
      </c>
      <c r="E25" s="308">
        <f t="shared" ref="E25:L25" si="15">E18</f>
        <v>0</v>
      </c>
      <c r="F25" s="308">
        <f t="shared" si="15"/>
        <v>690262.9204920592</v>
      </c>
      <c r="G25" s="388">
        <f t="shared" si="15"/>
        <v>704068.1789019003</v>
      </c>
      <c r="H25" s="388">
        <f t="shared" si="15"/>
        <v>718149.54247993848</v>
      </c>
      <c r="I25" s="388">
        <f t="shared" si="15"/>
        <v>0</v>
      </c>
      <c r="J25" s="473">
        <f t="shared" si="15"/>
        <v>0</v>
      </c>
      <c r="K25" s="473">
        <f t="shared" si="15"/>
        <v>0</v>
      </c>
      <c r="L25" s="473">
        <f t="shared" si="15"/>
        <v>161898.4457022319</v>
      </c>
      <c r="M25" s="473"/>
    </row>
    <row r="26" spans="1:13" ht="14.1" customHeight="1">
      <c r="A26" s="21" t="s">
        <v>93</v>
      </c>
      <c r="B26" s="23"/>
      <c r="C26" s="23"/>
      <c r="D26" s="308"/>
      <c r="E26" s="308"/>
      <c r="F26" s="308"/>
      <c r="G26" s="388"/>
      <c r="H26" s="388"/>
      <c r="I26" s="388">
        <f>H18/6%</f>
        <v>11969159.041332308</v>
      </c>
      <c r="J26" s="473"/>
      <c r="K26" s="473"/>
      <c r="L26" s="509"/>
      <c r="M26" s="509">
        <f>L18/6%</f>
        <v>2698307.4283705316</v>
      </c>
    </row>
    <row r="27" spans="1:13" ht="14.1" customHeight="1">
      <c r="A27" s="270" t="s">
        <v>271</v>
      </c>
      <c r="B27" s="24"/>
      <c r="C27" s="24"/>
      <c r="D27" s="326"/>
      <c r="E27" s="326"/>
      <c r="F27" s="359"/>
      <c r="G27" s="385"/>
      <c r="H27" s="385"/>
      <c r="I27" s="420">
        <f>3%*I26</f>
        <v>359074.77123996924</v>
      </c>
      <c r="J27" s="473"/>
      <c r="K27" s="470"/>
      <c r="L27" s="515"/>
      <c r="M27" s="474">
        <f>3.5%*M26</f>
        <v>94440.759992968611</v>
      </c>
    </row>
    <row r="28" spans="1:13" ht="14.1" customHeight="1">
      <c r="A28" s="21" t="s">
        <v>29</v>
      </c>
      <c r="B28" s="24"/>
      <c r="C28" s="24"/>
      <c r="D28" s="308">
        <f>D23</f>
        <v>3386107.6619999995</v>
      </c>
      <c r="E28" s="308">
        <f t="shared" ref="E28:L28" si="16">E23</f>
        <v>3487690.8918599994</v>
      </c>
      <c r="F28" s="308">
        <f t="shared" si="16"/>
        <v>0</v>
      </c>
      <c r="G28" s="388">
        <f t="shared" si="16"/>
        <v>3005662.5418453622</v>
      </c>
      <c r="H28" s="388">
        <f t="shared" si="16"/>
        <v>3095832.4181007226</v>
      </c>
      <c r="I28" s="388">
        <f t="shared" si="16"/>
        <v>0</v>
      </c>
      <c r="J28" s="473">
        <f t="shared" si="16"/>
        <v>842106.25139714906</v>
      </c>
      <c r="K28" s="473">
        <f t="shared" si="16"/>
        <v>867369.43893906358</v>
      </c>
      <c r="L28" s="473">
        <f t="shared" si="16"/>
        <v>0</v>
      </c>
      <c r="M28" s="473"/>
    </row>
    <row r="29" spans="1:13" ht="14.1" customHeight="1">
      <c r="A29" s="30" t="s">
        <v>34</v>
      </c>
      <c r="B29" s="52"/>
      <c r="C29" s="52"/>
      <c r="D29" s="361">
        <f>D25-D28</f>
        <v>-3386107.6619999995</v>
      </c>
      <c r="E29" s="361">
        <f t="shared" ref="E29:K29" si="17">E25-E28</f>
        <v>-3487690.8918599994</v>
      </c>
      <c r="F29" s="361">
        <f t="shared" si="17"/>
        <v>690262.9204920592</v>
      </c>
      <c r="G29" s="425">
        <f t="shared" si="17"/>
        <v>-2301594.3629434621</v>
      </c>
      <c r="H29" s="425">
        <f t="shared" si="17"/>
        <v>-2377682.8756207842</v>
      </c>
      <c r="I29" s="425">
        <f>I25-I28+I26-I27</f>
        <v>11610084.270092338</v>
      </c>
      <c r="J29" s="516">
        <f t="shared" si="17"/>
        <v>-842106.25139714906</v>
      </c>
      <c r="K29" s="516">
        <f t="shared" si="17"/>
        <v>-867369.43893906358</v>
      </c>
      <c r="L29" s="516">
        <f>L25-L28+L26-L27</f>
        <v>161898.4457022319</v>
      </c>
      <c r="M29" s="516">
        <f>M25-M28+M26-M27</f>
        <v>2603866.6683775629</v>
      </c>
    </row>
    <row r="30" spans="1:13" ht="18" customHeight="1">
      <c r="A30" s="37" t="s">
        <v>37</v>
      </c>
      <c r="B30" s="161">
        <f>NPV(10%,D29:M29)</f>
        <v>-1701051.9684562604</v>
      </c>
      <c r="C30" s="53"/>
      <c r="D30" s="325"/>
      <c r="E30" s="325"/>
      <c r="F30" s="325"/>
      <c r="G30" s="384"/>
      <c r="H30" s="384"/>
      <c r="I30" s="384"/>
      <c r="J30" s="469"/>
      <c r="K30" s="469"/>
      <c r="L30" s="469"/>
      <c r="M30" s="469"/>
    </row>
    <row r="31" spans="1:13" ht="18" customHeight="1">
      <c r="A31" s="54" t="s">
        <v>39</v>
      </c>
      <c r="B31" s="52">
        <f>IRR(D29:M29)</f>
        <v>3.9630133352673846E-2</v>
      </c>
      <c r="C31" s="26"/>
      <c r="D31" s="343"/>
      <c r="E31" s="343"/>
      <c r="F31" s="343"/>
      <c r="G31" s="400"/>
      <c r="H31" s="400"/>
      <c r="I31" s="400"/>
      <c r="J31" s="487"/>
      <c r="K31" s="487"/>
      <c r="L31" s="487"/>
      <c r="M31" s="487"/>
    </row>
    <row r="32" spans="1:13" ht="18" customHeight="1">
      <c r="A32" s="21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6" spans="2:11">
      <c r="B36" s="1"/>
      <c r="D36" s="3"/>
      <c r="E36" s="141"/>
    </row>
    <row r="37" spans="2:11">
      <c r="B37" s="142"/>
      <c r="C37" s="143"/>
      <c r="D37" s="143"/>
      <c r="E37" s="204"/>
    </row>
    <row r="38" spans="2:11">
      <c r="B38" s="29"/>
      <c r="C38" s="144"/>
    </row>
    <row r="39" spans="2:11">
      <c r="B39" s="1"/>
      <c r="D39" s="145"/>
      <c r="E39" s="145"/>
      <c r="F39" s="145"/>
      <c r="G39" s="145"/>
      <c r="H39" s="145"/>
      <c r="I39" s="145"/>
      <c r="J39" s="145"/>
      <c r="K39" s="145"/>
    </row>
    <row r="40" spans="2:11">
      <c r="B40" s="1"/>
      <c r="D40" s="141"/>
      <c r="E40" s="141"/>
      <c r="F40" s="141"/>
      <c r="G40" s="141"/>
      <c r="H40" s="141"/>
      <c r="I40" s="141"/>
      <c r="J40" s="141"/>
      <c r="K40" s="141"/>
    </row>
  </sheetData>
  <pageMargins left="0.5" right="0.5" top="1" bottom="0.5" header="0.5" footer="0.5"/>
  <pageSetup orientation="landscape" r:id="rId1"/>
  <headerFooter alignWithMargins="0">
    <oddHeader>&amp;L&amp;"Arial,Bold"7. Income Statement: Retail&amp;R&amp;G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9"/>
  <sheetViews>
    <sheetView view="pageLayout" zoomScale="85" zoomScaleNormal="100" zoomScalePageLayoutView="85" workbookViewId="0">
      <selection activeCell="J3" sqref="J3:M28"/>
    </sheetView>
  </sheetViews>
  <sheetFormatPr defaultColWidth="9.140625" defaultRowHeight="12.75"/>
  <cols>
    <col min="1" max="1" width="23" style="1" customWidth="1"/>
    <col min="2" max="2" width="14.5703125" style="3" customWidth="1"/>
    <col min="3" max="3" width="11.42578125" style="3" customWidth="1"/>
    <col min="4" max="4" width="11.7109375" style="1" bestFit="1" customWidth="1"/>
    <col min="5" max="5" width="11.5703125" style="1" bestFit="1" customWidth="1"/>
    <col min="6" max="6" width="11.7109375" style="1" bestFit="1" customWidth="1"/>
    <col min="7" max="9" width="12.42578125" style="1" bestFit="1" customWidth="1"/>
    <col min="10" max="10" width="12.28515625" style="1" bestFit="1" customWidth="1"/>
    <col min="11" max="11" width="12.42578125" style="1" customWidth="1"/>
    <col min="12" max="13" width="10.42578125" style="1" bestFit="1" customWidth="1"/>
    <col min="14" max="16384" width="9.140625" style="1"/>
  </cols>
  <sheetData>
    <row r="1" spans="1:13" ht="14.1" customHeight="1">
      <c r="A1" s="115"/>
      <c r="B1" s="115"/>
      <c r="C1" s="116"/>
      <c r="D1" s="117"/>
      <c r="E1" s="117"/>
      <c r="F1" s="117"/>
      <c r="G1" s="117"/>
      <c r="H1" s="117"/>
      <c r="I1" s="117"/>
      <c r="J1" s="117"/>
      <c r="K1" s="117"/>
      <c r="L1" s="109" t="s">
        <v>1</v>
      </c>
      <c r="M1" s="110" t="s">
        <v>236</v>
      </c>
    </row>
    <row r="2" spans="1:13" ht="14.1" customHeight="1">
      <c r="A2" s="43"/>
      <c r="B2" s="46"/>
      <c r="C2" s="46"/>
      <c r="D2" s="43"/>
      <c r="E2" s="43"/>
      <c r="F2" s="43"/>
      <c r="G2" s="43"/>
      <c r="H2" s="43"/>
      <c r="I2" s="43"/>
      <c r="J2" s="43"/>
      <c r="K2" s="43"/>
      <c r="L2" s="47"/>
      <c r="M2" s="48"/>
    </row>
    <row r="3" spans="1:13" ht="14.1" customHeight="1">
      <c r="A3" s="43"/>
      <c r="B3" s="46"/>
      <c r="C3" s="46" t="s">
        <v>2</v>
      </c>
      <c r="D3" s="306" t="s">
        <v>3</v>
      </c>
      <c r="E3" s="300"/>
      <c r="F3" s="300"/>
      <c r="G3" s="401" t="s">
        <v>198</v>
      </c>
      <c r="H3" s="244"/>
      <c r="I3" s="244"/>
      <c r="J3" s="496" t="s">
        <v>221</v>
      </c>
      <c r="K3" s="174"/>
      <c r="L3" s="174"/>
      <c r="M3" s="174"/>
    </row>
    <row r="4" spans="1:13">
      <c r="A4" s="39"/>
      <c r="B4" s="49" t="s">
        <v>75</v>
      </c>
      <c r="C4" s="67" t="s">
        <v>124</v>
      </c>
      <c r="D4" s="297">
        <v>2024</v>
      </c>
      <c r="E4" s="307">
        <f t="shared" ref="E4:M4" si="0">D4+1</f>
        <v>2025</v>
      </c>
      <c r="F4" s="307">
        <f t="shared" si="0"/>
        <v>2026</v>
      </c>
      <c r="G4" s="380">
        <f t="shared" si="0"/>
        <v>2027</v>
      </c>
      <c r="H4" s="380">
        <f t="shared" si="0"/>
        <v>2028</v>
      </c>
      <c r="I4" s="380">
        <f t="shared" si="0"/>
        <v>2029</v>
      </c>
      <c r="J4" s="465">
        <f t="shared" si="0"/>
        <v>2030</v>
      </c>
      <c r="K4" s="465">
        <f t="shared" si="0"/>
        <v>2031</v>
      </c>
      <c r="L4" s="465">
        <f t="shared" si="0"/>
        <v>2032</v>
      </c>
      <c r="M4" s="465">
        <f t="shared" si="0"/>
        <v>2033</v>
      </c>
    </row>
    <row r="5" spans="1:13" ht="18" customHeight="1">
      <c r="A5" s="37" t="s">
        <v>95</v>
      </c>
      <c r="B5" s="50"/>
      <c r="C5" s="50"/>
      <c r="D5" s="321"/>
      <c r="E5" s="321"/>
      <c r="F5" s="321"/>
      <c r="G5" s="381"/>
      <c r="H5" s="381"/>
      <c r="I5" s="381"/>
      <c r="J5" s="466"/>
      <c r="K5" s="466"/>
      <c r="L5" s="466"/>
      <c r="M5" s="466"/>
    </row>
    <row r="6" spans="1:13" ht="14.1" customHeight="1">
      <c r="A6" s="21" t="s">
        <v>76</v>
      </c>
      <c r="B6" s="24">
        <v>0.02</v>
      </c>
      <c r="C6" s="24"/>
      <c r="D6" s="322"/>
      <c r="E6" s="322"/>
      <c r="F6" s="322"/>
      <c r="G6" s="382"/>
      <c r="H6" s="382"/>
      <c r="I6" s="382"/>
      <c r="J6" s="467"/>
      <c r="K6" s="467"/>
      <c r="L6" s="467"/>
      <c r="M6" s="467"/>
    </row>
    <row r="7" spans="1:13" ht="14.1" customHeight="1">
      <c r="A7" s="21" t="s">
        <v>103</v>
      </c>
      <c r="B7" s="158">
        <f>SUM(D7:M7)</f>
        <v>18449.3246</v>
      </c>
      <c r="C7" s="158"/>
      <c r="D7" s="351">
        <f>Parcel_Pharse!J8</f>
        <v>0</v>
      </c>
      <c r="E7" s="351">
        <f>Parcel_Pharse!K8</f>
        <v>0</v>
      </c>
      <c r="F7" s="351">
        <f>Parcel_Pharse!L8</f>
        <v>0</v>
      </c>
      <c r="G7" s="416">
        <f>Parcel_Pharse!M8</f>
        <v>9224.6623</v>
      </c>
      <c r="H7" s="416">
        <f>Parcel_Pharse!N8</f>
        <v>9224.6623</v>
      </c>
      <c r="I7" s="416">
        <f>Parcel_Pharse!O8</f>
        <v>0</v>
      </c>
      <c r="J7" s="506">
        <f>Parcel_Pharse!P8</f>
        <v>0</v>
      </c>
      <c r="K7" s="506">
        <f>Parcel_Pharse!Q8</f>
        <v>0</v>
      </c>
      <c r="L7" s="506"/>
      <c r="M7" s="506"/>
    </row>
    <row r="8" spans="1:13" ht="14.1" customHeight="1">
      <c r="A8" s="21" t="s">
        <v>104</v>
      </c>
      <c r="B8" s="41" t="s">
        <v>51</v>
      </c>
      <c r="C8" s="41"/>
      <c r="D8" s="325">
        <v>0</v>
      </c>
      <c r="E8" s="353"/>
      <c r="F8" s="353">
        <f>D7+E7</f>
        <v>0</v>
      </c>
      <c r="G8" s="417">
        <f t="shared" ref="G8" si="1">F8+F7</f>
        <v>0</v>
      </c>
      <c r="H8" s="417">
        <f>F8</f>
        <v>0</v>
      </c>
      <c r="I8" s="417">
        <f>H7+G7</f>
        <v>18449.3246</v>
      </c>
      <c r="J8" s="490">
        <f>I8</f>
        <v>18449.3246</v>
      </c>
      <c r="K8" s="490">
        <f>J8</f>
        <v>18449.3246</v>
      </c>
      <c r="L8" s="490"/>
      <c r="M8" s="490"/>
    </row>
    <row r="9" spans="1:13" ht="14.1" customHeight="1">
      <c r="A9" s="21" t="s">
        <v>87</v>
      </c>
      <c r="B9" s="24">
        <v>0.9</v>
      </c>
      <c r="C9" s="24"/>
      <c r="D9" s="326">
        <f>D8*$B$9</f>
        <v>0</v>
      </c>
      <c r="E9" s="326"/>
      <c r="F9" s="354">
        <f t="shared" ref="F9" si="2">F8*$B$9</f>
        <v>0</v>
      </c>
      <c r="G9" s="418">
        <f t="shared" ref="G9" si="3">G8*$B$9</f>
        <v>0</v>
      </c>
      <c r="H9" s="418">
        <f t="shared" ref="H9" si="4">H8*$B$9</f>
        <v>0</v>
      </c>
      <c r="I9" s="418">
        <f t="shared" ref="I9" si="5">I8*$B$9</f>
        <v>16604.39214</v>
      </c>
      <c r="J9" s="512">
        <f t="shared" ref="J9" si="6">J8*$B$9</f>
        <v>16604.39214</v>
      </c>
      <c r="K9" s="512">
        <f>J9</f>
        <v>16604.39214</v>
      </c>
      <c r="L9" s="512"/>
      <c r="M9" s="512"/>
    </row>
    <row r="10" spans="1:13" ht="14.1" customHeight="1">
      <c r="A10" s="21" t="s">
        <v>244</v>
      </c>
      <c r="B10" s="24">
        <v>0.6</v>
      </c>
      <c r="C10" s="24"/>
      <c r="D10" s="326">
        <f>D9*$B$10</f>
        <v>0</v>
      </c>
      <c r="E10" s="326"/>
      <c r="F10" s="354">
        <f t="shared" ref="F10" si="7">F9*$B$10</f>
        <v>0</v>
      </c>
      <c r="G10" s="418">
        <f t="shared" ref="G10" si="8">G9*$B$10</f>
        <v>0</v>
      </c>
      <c r="H10" s="418">
        <f t="shared" ref="H10" si="9">H9*$B$10</f>
        <v>0</v>
      </c>
      <c r="I10" s="418">
        <f t="shared" ref="I10" si="10">I9*$B$10</f>
        <v>9962.635284</v>
      </c>
      <c r="J10" s="512">
        <f t="shared" ref="J10" si="11">J9*$B$10</f>
        <v>9962.635284</v>
      </c>
      <c r="K10" s="512">
        <f>J10</f>
        <v>9962.635284</v>
      </c>
      <c r="L10" s="512"/>
      <c r="M10" s="512"/>
    </row>
    <row r="11" spans="1:13" ht="14.1" customHeight="1">
      <c r="A11" s="30" t="s">
        <v>238</v>
      </c>
      <c r="B11" s="44">
        <v>22</v>
      </c>
      <c r="C11" s="44"/>
      <c r="D11" s="360">
        <f t="shared" ref="D11:K11" si="12">$B11*1.02^(D4-$D$4)</f>
        <v>22</v>
      </c>
      <c r="E11" s="360">
        <f t="shared" si="12"/>
        <v>22.44</v>
      </c>
      <c r="F11" s="360">
        <f t="shared" si="12"/>
        <v>22.8888</v>
      </c>
      <c r="G11" s="424">
        <f t="shared" si="12"/>
        <v>23.346575999999999</v>
      </c>
      <c r="H11" s="424">
        <f t="shared" si="12"/>
        <v>23.813507519999998</v>
      </c>
      <c r="I11" s="424">
        <f t="shared" si="12"/>
        <v>24.289777670399999</v>
      </c>
      <c r="J11" s="513">
        <f t="shared" si="12"/>
        <v>24.775573223808003</v>
      </c>
      <c r="K11" s="513">
        <f t="shared" si="12"/>
        <v>25.271084688284155</v>
      </c>
      <c r="L11" s="513"/>
      <c r="M11" s="513"/>
    </row>
    <row r="12" spans="1:13" ht="18" customHeight="1">
      <c r="A12" s="37" t="s">
        <v>4</v>
      </c>
      <c r="B12" s="41"/>
      <c r="C12" s="41"/>
      <c r="D12" s="325"/>
      <c r="E12" s="325"/>
      <c r="F12" s="325"/>
      <c r="G12" s="384"/>
      <c r="H12" s="384"/>
      <c r="I12" s="384"/>
      <c r="J12" s="469"/>
      <c r="K12" s="469"/>
      <c r="L12" s="469"/>
      <c r="M12" s="469"/>
    </row>
    <row r="13" spans="1:13" ht="14.1" customHeight="1">
      <c r="A13" s="21" t="s">
        <v>106</v>
      </c>
      <c r="B13" s="20"/>
      <c r="C13" s="20"/>
      <c r="D13" s="356">
        <f>(D9-D10)*D11</f>
        <v>0</v>
      </c>
      <c r="E13" s="356">
        <f t="shared" ref="E13:H13" si="13">(E9-E10)*E11</f>
        <v>0</v>
      </c>
      <c r="F13" s="356">
        <f t="shared" si="13"/>
        <v>0</v>
      </c>
      <c r="G13" s="420">
        <f t="shared" si="13"/>
        <v>0</v>
      </c>
      <c r="H13" s="420">
        <f t="shared" si="13"/>
        <v>0</v>
      </c>
      <c r="I13" s="420">
        <f>I10*I11</f>
        <v>241990.19605964236</v>
      </c>
      <c r="J13" s="509">
        <f t="shared" ref="J13:K13" si="14">J10*J11</f>
        <v>246829.99998083524</v>
      </c>
      <c r="K13" s="509">
        <f t="shared" si="14"/>
        <v>251766.59998045187</v>
      </c>
      <c r="L13" s="509"/>
      <c r="M13" s="509"/>
    </row>
    <row r="14" spans="1:13" s="29" customFormat="1" ht="25.5">
      <c r="A14" s="45" t="s">
        <v>108</v>
      </c>
      <c r="B14" s="176">
        <v>3.1</v>
      </c>
      <c r="C14" s="28"/>
      <c r="D14" s="360">
        <f t="shared" ref="D14:K14" si="15">$B14*1.02^(D4-$D$4)</f>
        <v>3.1</v>
      </c>
      <c r="E14" s="360">
        <f t="shared" si="15"/>
        <v>3.1620000000000004</v>
      </c>
      <c r="F14" s="360">
        <f t="shared" si="15"/>
        <v>3.2252399999999999</v>
      </c>
      <c r="G14" s="424">
        <f t="shared" si="15"/>
        <v>3.2897447999999998</v>
      </c>
      <c r="H14" s="424">
        <f t="shared" si="15"/>
        <v>3.3555396960000001</v>
      </c>
      <c r="I14" s="424">
        <f t="shared" si="15"/>
        <v>3.4226504899200001</v>
      </c>
      <c r="J14" s="513">
        <f t="shared" si="15"/>
        <v>3.4911034997184003</v>
      </c>
      <c r="K14" s="513">
        <f t="shared" si="15"/>
        <v>3.5609255697127677</v>
      </c>
      <c r="L14" s="513"/>
      <c r="M14" s="513"/>
    </row>
    <row r="15" spans="1:13" ht="14.1" customHeight="1">
      <c r="A15" s="51" t="s">
        <v>31</v>
      </c>
      <c r="B15" s="26"/>
      <c r="C15" s="26"/>
      <c r="D15" s="355"/>
      <c r="E15" s="355">
        <f t="shared" ref="E15:K15" si="16">E13-E14*(E9-E10)</f>
        <v>0</v>
      </c>
      <c r="F15" s="355">
        <f t="shared" si="16"/>
        <v>0</v>
      </c>
      <c r="G15" s="419">
        <f t="shared" si="16"/>
        <v>0</v>
      </c>
      <c r="H15" s="419">
        <f t="shared" si="16"/>
        <v>0</v>
      </c>
      <c r="I15" s="419">
        <f t="shared" si="16"/>
        <v>219257.78370252444</v>
      </c>
      <c r="J15" s="508">
        <f t="shared" si="16"/>
        <v>223642.93937657497</v>
      </c>
      <c r="K15" s="508">
        <f t="shared" si="16"/>
        <v>228115.79816410638</v>
      </c>
      <c r="L15" s="508"/>
      <c r="M15" s="508"/>
    </row>
    <row r="16" spans="1:13" ht="18" customHeight="1">
      <c r="A16" s="37" t="s">
        <v>24</v>
      </c>
      <c r="B16" s="41"/>
      <c r="C16" s="41"/>
      <c r="D16" s="325"/>
      <c r="E16" s="325"/>
      <c r="F16" s="325"/>
      <c r="G16" s="384"/>
      <c r="H16" s="384"/>
      <c r="I16" s="384"/>
      <c r="J16" s="469"/>
      <c r="K16" s="469"/>
      <c r="L16" s="469"/>
      <c r="M16" s="469"/>
    </row>
    <row r="17" spans="1:13" ht="14.1" customHeight="1">
      <c r="A17" s="21" t="s">
        <v>92</v>
      </c>
      <c r="B17" s="20"/>
      <c r="C17" s="20"/>
      <c r="D17" s="347">
        <f t="shared" ref="D17:K17" si="17">D7/$B$7</f>
        <v>0</v>
      </c>
      <c r="E17" s="347">
        <f t="shared" si="17"/>
        <v>0</v>
      </c>
      <c r="F17" s="347">
        <f t="shared" si="17"/>
        <v>0</v>
      </c>
      <c r="G17" s="414">
        <f t="shared" si="17"/>
        <v>0.5</v>
      </c>
      <c r="H17" s="414">
        <f t="shared" si="17"/>
        <v>0.5</v>
      </c>
      <c r="I17" s="414">
        <f t="shared" si="17"/>
        <v>0</v>
      </c>
      <c r="J17" s="502">
        <f t="shared" si="17"/>
        <v>0</v>
      </c>
      <c r="K17" s="502">
        <f t="shared" si="17"/>
        <v>0</v>
      </c>
      <c r="L17" s="502"/>
      <c r="M17" s="502"/>
    </row>
    <row r="18" spans="1:13" ht="14.1" customHeight="1">
      <c r="A18" s="674" t="s">
        <v>307</v>
      </c>
      <c r="B18" s="20"/>
      <c r="C18" s="20"/>
      <c r="D18" s="308">
        <f>D7*200</f>
        <v>0</v>
      </c>
      <c r="E18" s="308">
        <f t="shared" ref="E18:F18" si="18">E7*200</f>
        <v>0</v>
      </c>
      <c r="F18" s="308">
        <f t="shared" si="18"/>
        <v>0</v>
      </c>
      <c r="G18" s="388">
        <f>G7*300</f>
        <v>2767398.69</v>
      </c>
      <c r="H18" s="388">
        <f t="shared" ref="H18:M18" si="19">H7*300</f>
        <v>2767398.69</v>
      </c>
      <c r="I18" s="388">
        <f t="shared" si="19"/>
        <v>0</v>
      </c>
      <c r="J18" s="473">
        <f t="shared" si="19"/>
        <v>0</v>
      </c>
      <c r="K18" s="473">
        <f t="shared" si="19"/>
        <v>0</v>
      </c>
      <c r="L18" s="473">
        <f t="shared" si="19"/>
        <v>0</v>
      </c>
      <c r="M18" s="473">
        <f t="shared" si="19"/>
        <v>0</v>
      </c>
    </row>
    <row r="19" spans="1:13" ht="14.1" customHeight="1">
      <c r="A19" s="674" t="s">
        <v>281</v>
      </c>
      <c r="B19" s="234"/>
      <c r="C19" s="20"/>
      <c r="D19" s="308">
        <f>10*D7</f>
        <v>0</v>
      </c>
      <c r="E19" s="308">
        <f>10*E7</f>
        <v>0</v>
      </c>
      <c r="F19" s="308">
        <f>10*F7</f>
        <v>0</v>
      </c>
      <c r="G19" s="388">
        <f>20*G7</f>
        <v>184493.24599999998</v>
      </c>
      <c r="H19" s="388">
        <f>20*H7</f>
        <v>184493.24599999998</v>
      </c>
      <c r="I19" s="388">
        <f t="shared" ref="I19:L19" si="20">6*I7</f>
        <v>0</v>
      </c>
      <c r="J19" s="473">
        <f t="shared" si="20"/>
        <v>0</v>
      </c>
      <c r="K19" s="473">
        <f t="shared" si="20"/>
        <v>0</v>
      </c>
      <c r="L19" s="473">
        <f t="shared" si="20"/>
        <v>0</v>
      </c>
      <c r="M19" s="473"/>
    </row>
    <row r="20" spans="1:13" ht="14.1" customHeight="1">
      <c r="A20" s="51" t="s">
        <v>29</v>
      </c>
      <c r="B20" s="26"/>
      <c r="C20" s="26"/>
      <c r="D20" s="309">
        <f t="shared" ref="D20:L20" si="21">(D18+D19)*1.03^(D4-$D$4)</f>
        <v>0</v>
      </c>
      <c r="E20" s="309">
        <f t="shared" si="21"/>
        <v>0</v>
      </c>
      <c r="F20" s="309">
        <f t="shared" si="21"/>
        <v>0</v>
      </c>
      <c r="G20" s="392">
        <f t="shared" si="21"/>
        <v>3225612.0195494718</v>
      </c>
      <c r="H20" s="392">
        <f t="shared" si="21"/>
        <v>3322380.3801359558</v>
      </c>
      <c r="I20" s="392">
        <f t="shared" si="21"/>
        <v>0</v>
      </c>
      <c r="J20" s="477">
        <f t="shared" si="21"/>
        <v>0</v>
      </c>
      <c r="K20" s="477">
        <f t="shared" si="21"/>
        <v>0</v>
      </c>
      <c r="L20" s="477">
        <f t="shared" si="21"/>
        <v>0</v>
      </c>
      <c r="M20" s="477"/>
    </row>
    <row r="21" spans="1:13" ht="18" customHeight="1">
      <c r="A21" s="37" t="s">
        <v>30</v>
      </c>
      <c r="B21" s="41"/>
      <c r="C21" s="41"/>
      <c r="D21" s="338"/>
      <c r="E21" s="338"/>
      <c r="F21" s="338"/>
      <c r="G21" s="403"/>
      <c r="H21" s="403"/>
      <c r="I21" s="403"/>
      <c r="J21" s="498"/>
      <c r="K21" s="498"/>
      <c r="L21" s="469"/>
      <c r="M21" s="469"/>
    </row>
    <row r="22" spans="1:13" ht="14.1" customHeight="1">
      <c r="A22" s="21" t="s">
        <v>31</v>
      </c>
      <c r="B22" s="23"/>
      <c r="C22" s="23"/>
      <c r="D22" s="308">
        <f>D15</f>
        <v>0</v>
      </c>
      <c r="E22" s="308">
        <f t="shared" ref="E22:L22" si="22">E15</f>
        <v>0</v>
      </c>
      <c r="F22" s="308">
        <f t="shared" si="22"/>
        <v>0</v>
      </c>
      <c r="G22" s="388">
        <f t="shared" si="22"/>
        <v>0</v>
      </c>
      <c r="H22" s="388">
        <f t="shared" si="22"/>
        <v>0</v>
      </c>
      <c r="I22" s="388">
        <f t="shared" si="22"/>
        <v>219257.78370252444</v>
      </c>
      <c r="J22" s="473">
        <f t="shared" si="22"/>
        <v>223642.93937657497</v>
      </c>
      <c r="K22" s="473">
        <f t="shared" si="22"/>
        <v>228115.79816410638</v>
      </c>
      <c r="L22" s="473">
        <f t="shared" si="22"/>
        <v>0</v>
      </c>
      <c r="M22" s="473"/>
    </row>
    <row r="23" spans="1:13" ht="14.1" customHeight="1">
      <c r="A23" s="21" t="s">
        <v>93</v>
      </c>
      <c r="B23" s="23"/>
      <c r="C23" s="23"/>
      <c r="D23" s="308"/>
      <c r="E23" s="308"/>
      <c r="F23" s="308"/>
      <c r="G23" s="388"/>
      <c r="H23" s="388"/>
      <c r="I23" s="388"/>
      <c r="J23" s="473"/>
      <c r="K23" s="473"/>
      <c r="L23" s="509">
        <f>K15/6%</f>
        <v>3801929.9694017731</v>
      </c>
      <c r="M23" s="509"/>
    </row>
    <row r="24" spans="1:13" ht="14.1" customHeight="1">
      <c r="A24" s="271" t="s">
        <v>271</v>
      </c>
      <c r="B24" s="23"/>
      <c r="C24" s="23"/>
      <c r="D24" s="308"/>
      <c r="E24" s="308"/>
      <c r="F24" s="308"/>
      <c r="G24" s="388"/>
      <c r="H24" s="388"/>
      <c r="I24" s="388"/>
      <c r="J24" s="473"/>
      <c r="K24" s="473"/>
      <c r="L24" s="509">
        <f>3.5%*L23</f>
        <v>133067.54892906206</v>
      </c>
      <c r="M24" s="509"/>
    </row>
    <row r="25" spans="1:13" ht="14.1" customHeight="1">
      <c r="A25" s="21" t="s">
        <v>29</v>
      </c>
      <c r="B25" s="24"/>
      <c r="C25" s="24"/>
      <c r="D25" s="308">
        <f>D20</f>
        <v>0</v>
      </c>
      <c r="E25" s="308">
        <f t="shared" ref="E25:L25" si="23">E20</f>
        <v>0</v>
      </c>
      <c r="F25" s="308">
        <f t="shared" si="23"/>
        <v>0</v>
      </c>
      <c r="G25" s="388">
        <f t="shared" si="23"/>
        <v>3225612.0195494718</v>
      </c>
      <c r="H25" s="388">
        <f t="shared" si="23"/>
        <v>3322380.3801359558</v>
      </c>
      <c r="I25" s="388">
        <f t="shared" si="23"/>
        <v>0</v>
      </c>
      <c r="J25" s="473">
        <f t="shared" si="23"/>
        <v>0</v>
      </c>
      <c r="K25" s="473">
        <f t="shared" si="23"/>
        <v>0</v>
      </c>
      <c r="L25" s="473">
        <f t="shared" si="23"/>
        <v>0</v>
      </c>
      <c r="M25" s="473"/>
    </row>
    <row r="26" spans="1:13" ht="14.1" customHeight="1">
      <c r="A26" s="30" t="s">
        <v>34</v>
      </c>
      <c r="B26" s="52"/>
      <c r="C26" s="52"/>
      <c r="D26" s="361">
        <f>D22-D25</f>
        <v>0</v>
      </c>
      <c r="E26" s="361">
        <f t="shared" ref="E26:K26" si="24">E22-E25</f>
        <v>0</v>
      </c>
      <c r="F26" s="361">
        <f t="shared" si="24"/>
        <v>0</v>
      </c>
      <c r="G26" s="425">
        <f t="shared" si="24"/>
        <v>-3225612.0195494718</v>
      </c>
      <c r="H26" s="425">
        <f t="shared" si="24"/>
        <v>-3322380.3801359558</v>
      </c>
      <c r="I26" s="425">
        <f t="shared" si="24"/>
        <v>219257.78370252444</v>
      </c>
      <c r="J26" s="516">
        <f t="shared" si="24"/>
        <v>223642.93937657497</v>
      </c>
      <c r="K26" s="516">
        <f t="shared" si="24"/>
        <v>228115.79816410638</v>
      </c>
      <c r="L26" s="516">
        <f>L22-L25+L23-L24</f>
        <v>3668862.4204727109</v>
      </c>
      <c r="M26" s="516"/>
    </row>
    <row r="27" spans="1:13" ht="18" customHeight="1">
      <c r="A27" s="37" t="s">
        <v>37</v>
      </c>
      <c r="B27" s="161">
        <f>NPV(10%,D26:L26)</f>
        <v>-2365170.2216470949</v>
      </c>
      <c r="C27" s="53"/>
      <c r="D27" s="325"/>
      <c r="E27" s="325"/>
      <c r="F27" s="325"/>
      <c r="G27" s="384"/>
      <c r="H27" s="384"/>
      <c r="I27" s="384"/>
      <c r="J27" s="469"/>
      <c r="K27" s="469"/>
      <c r="L27" s="469"/>
      <c r="M27" s="469"/>
    </row>
    <row r="28" spans="1:13" ht="18" customHeight="1">
      <c r="A28" s="54" t="s">
        <v>39</v>
      </c>
      <c r="B28" s="52">
        <f>IRR(D26:M26)</f>
        <v>-9.3254970166743556E-2</v>
      </c>
      <c r="C28" s="26"/>
      <c r="D28" s="343"/>
      <c r="E28" s="343"/>
      <c r="F28" s="343"/>
      <c r="G28" s="400"/>
      <c r="H28" s="400"/>
      <c r="I28" s="400"/>
      <c r="J28" s="487"/>
      <c r="K28" s="487"/>
      <c r="L28" s="487"/>
      <c r="M28" s="487"/>
    </row>
    <row r="29" spans="1:13" ht="18" customHeight="1">
      <c r="A29" s="21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5" spans="2:11">
      <c r="B35" s="1"/>
      <c r="D35" s="3"/>
      <c r="E35" s="141"/>
    </row>
    <row r="36" spans="2:11">
      <c r="B36" s="142"/>
      <c r="C36" s="143"/>
      <c r="D36" s="143"/>
      <c r="E36" s="204"/>
    </row>
    <row r="37" spans="2:11">
      <c r="B37" s="29"/>
      <c r="C37" s="144"/>
    </row>
    <row r="38" spans="2:11">
      <c r="B38" s="1"/>
      <c r="D38" s="145"/>
      <c r="E38" s="145"/>
      <c r="F38" s="145"/>
      <c r="G38" s="145"/>
      <c r="H38" s="145"/>
      <c r="I38" s="145"/>
      <c r="J38" s="145"/>
      <c r="K38" s="145"/>
    </row>
    <row r="39" spans="2:11">
      <c r="B39" s="1"/>
      <c r="D39" s="141"/>
      <c r="E39" s="141"/>
      <c r="F39" s="141"/>
      <c r="G39" s="141"/>
      <c r="H39" s="141"/>
      <c r="I39" s="141"/>
      <c r="J39" s="141"/>
      <c r="K39" s="141"/>
    </row>
  </sheetData>
  <phoneticPr fontId="2" type="noConversion"/>
  <pageMargins left="0.5" right="0.5" top="1" bottom="0.5" header="0.5" footer="0.5"/>
  <pageSetup orientation="landscape" r:id="rId1"/>
  <headerFooter alignWithMargins="0">
    <oddHeader>&amp;L&amp;"Arial,Bold"7. Income Statement: Community Space&amp;R&amp;G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48"/>
  <sheetViews>
    <sheetView view="pageLayout" zoomScale="85" zoomScaleNormal="100" zoomScalePageLayoutView="85" workbookViewId="0">
      <selection activeCell="U20" sqref="U20"/>
    </sheetView>
  </sheetViews>
  <sheetFormatPr defaultColWidth="9.140625" defaultRowHeight="12.75"/>
  <cols>
    <col min="1" max="1" width="29.5703125" style="1" customWidth="1"/>
    <col min="2" max="2" width="13.7109375" style="3" customWidth="1"/>
    <col min="3" max="3" width="11.85546875" style="3" customWidth="1"/>
    <col min="4" max="4" width="13.7109375" style="1" bestFit="1" customWidth="1"/>
    <col min="5" max="6" width="8.85546875" style="1" customWidth="1"/>
    <col min="7" max="7" width="13.7109375" style="1" bestFit="1" customWidth="1"/>
    <col min="8" max="11" width="8.85546875" style="1" customWidth="1"/>
    <col min="12" max="12" width="11.85546875" style="1" customWidth="1"/>
    <col min="13" max="13" width="14" style="1" customWidth="1"/>
    <col min="14" max="16384" width="9.140625" style="1"/>
  </cols>
  <sheetData>
    <row r="1" spans="1:15" ht="14.1" customHeight="1">
      <c r="A1" s="115"/>
      <c r="B1" s="115"/>
      <c r="C1" s="116"/>
      <c r="D1" s="117"/>
      <c r="E1" s="117"/>
      <c r="F1" s="117"/>
      <c r="G1" s="117"/>
      <c r="H1" s="117"/>
      <c r="I1" s="117"/>
      <c r="J1" s="117"/>
      <c r="K1" s="117"/>
      <c r="L1" s="109" t="s">
        <v>1</v>
      </c>
      <c r="M1" s="110" t="s">
        <v>236</v>
      </c>
    </row>
    <row r="2" spans="1:15" ht="14.1" customHeight="1">
      <c r="L2" s="32"/>
      <c r="M2" s="33"/>
    </row>
    <row r="3" spans="1:15" ht="14.1" customHeight="1">
      <c r="B3" s="46"/>
      <c r="C3" s="46" t="s">
        <v>2</v>
      </c>
      <c r="D3" s="306" t="s">
        <v>3</v>
      </c>
      <c r="E3" s="306"/>
      <c r="F3" s="306"/>
      <c r="G3" s="401" t="s">
        <v>198</v>
      </c>
      <c r="H3" s="401"/>
      <c r="I3" s="401"/>
      <c r="J3" s="496" t="s">
        <v>221</v>
      </c>
      <c r="K3" s="496"/>
      <c r="L3" s="496"/>
      <c r="M3" s="496"/>
      <c r="N3" s="43"/>
      <c r="O3" s="43"/>
    </row>
    <row r="4" spans="1:15">
      <c r="A4" s="5"/>
      <c r="B4" s="49" t="s">
        <v>75</v>
      </c>
      <c r="C4" s="67" t="s">
        <v>124</v>
      </c>
      <c r="D4" s="297">
        <v>2024</v>
      </c>
      <c r="E4" s="307">
        <f t="shared" ref="E4:L4" si="0">D4+1</f>
        <v>2025</v>
      </c>
      <c r="F4" s="307">
        <f t="shared" si="0"/>
        <v>2026</v>
      </c>
      <c r="G4" s="380">
        <f t="shared" si="0"/>
        <v>2027</v>
      </c>
      <c r="H4" s="380">
        <f t="shared" si="0"/>
        <v>2028</v>
      </c>
      <c r="I4" s="380">
        <f t="shared" si="0"/>
        <v>2029</v>
      </c>
      <c r="J4" s="465">
        <f t="shared" si="0"/>
        <v>2030</v>
      </c>
      <c r="K4" s="465">
        <f t="shared" si="0"/>
        <v>2031</v>
      </c>
      <c r="L4" s="465">
        <f t="shared" si="0"/>
        <v>2032</v>
      </c>
      <c r="M4" s="465">
        <v>2034</v>
      </c>
      <c r="N4" s="43"/>
      <c r="O4" s="43"/>
    </row>
    <row r="5" spans="1:15" ht="18" customHeight="1">
      <c r="A5" s="13" t="s">
        <v>95</v>
      </c>
      <c r="B5" s="31"/>
      <c r="C5" s="31"/>
      <c r="D5" s="362"/>
      <c r="E5" s="363"/>
      <c r="F5" s="362"/>
      <c r="G5" s="426"/>
      <c r="H5" s="426"/>
      <c r="I5" s="426"/>
      <c r="J5" s="517"/>
      <c r="K5" s="517"/>
      <c r="L5" s="517"/>
      <c r="M5" s="517"/>
    </row>
    <row r="6" spans="1:15" ht="14.1" customHeight="1">
      <c r="A6" s="211" t="s">
        <v>76</v>
      </c>
      <c r="B6" s="14">
        <v>0.02</v>
      </c>
      <c r="C6" s="14"/>
      <c r="D6" s="364"/>
      <c r="E6" s="364"/>
      <c r="F6" s="364"/>
      <c r="G6" s="427"/>
      <c r="H6" s="427"/>
      <c r="I6" s="427"/>
      <c r="J6" s="518"/>
      <c r="K6" s="518"/>
      <c r="L6" s="518"/>
      <c r="M6" s="518"/>
    </row>
    <row r="7" spans="1:15" ht="14.1" customHeight="1">
      <c r="A7" s="211" t="s">
        <v>109</v>
      </c>
      <c r="B7" s="235">
        <f>SUM(D7:M7)</f>
        <v>1179.0913106166668</v>
      </c>
      <c r="C7" s="11"/>
      <c r="D7" s="365">
        <f>Parcel_Pharse!E12+Parcel_Pharse!E47/3*2</f>
        <v>461.09131061666665</v>
      </c>
      <c r="E7" s="366"/>
      <c r="F7" s="366"/>
      <c r="G7" s="428">
        <v>555</v>
      </c>
      <c r="H7" s="428"/>
      <c r="I7" s="428"/>
      <c r="J7" s="519">
        <f>Parcel_Pharse!P13</f>
        <v>163</v>
      </c>
      <c r="K7" s="520"/>
      <c r="L7" s="520"/>
      <c r="M7" s="520"/>
    </row>
    <row r="8" spans="1:15" ht="14.1" customHeight="1">
      <c r="A8" s="119" t="s">
        <v>110</v>
      </c>
      <c r="B8" s="11">
        <v>200</v>
      </c>
      <c r="C8" s="11"/>
      <c r="D8" s="365">
        <f>$B$8*(1.02)^(E4-$D$4)</f>
        <v>204</v>
      </c>
      <c r="E8" s="365">
        <f t="shared" ref="E8:K8" si="1">$B$8*(1.02)^(F4-$D$4)</f>
        <v>208.07999999999998</v>
      </c>
      <c r="F8" s="365">
        <f t="shared" si="1"/>
        <v>212.24159999999998</v>
      </c>
      <c r="G8" s="437">
        <f t="shared" si="1"/>
        <v>216.48643200000001</v>
      </c>
      <c r="H8" s="437">
        <f t="shared" si="1"/>
        <v>220.81616063999999</v>
      </c>
      <c r="I8" s="437">
        <f t="shared" si="1"/>
        <v>225.23248385280002</v>
      </c>
      <c r="J8" s="519">
        <f t="shared" si="1"/>
        <v>229.73713352985595</v>
      </c>
      <c r="K8" s="519">
        <f t="shared" si="1"/>
        <v>234.33187620045311</v>
      </c>
      <c r="L8" s="519">
        <f>$B$8*(1.02)^(M4-$D$4)</f>
        <v>243.79888399895142</v>
      </c>
      <c r="M8" s="521"/>
    </row>
    <row r="9" spans="1:15" ht="14.1" customHeight="1">
      <c r="A9" s="119" t="s">
        <v>111</v>
      </c>
      <c r="B9" s="235">
        <f>0.6*B7</f>
        <v>707.45478637000008</v>
      </c>
      <c r="C9" s="11"/>
      <c r="D9" s="366"/>
      <c r="E9" s="317"/>
      <c r="F9" s="317"/>
      <c r="G9" s="395"/>
      <c r="H9" s="395"/>
      <c r="I9" s="395"/>
      <c r="J9" s="522"/>
      <c r="K9" s="522"/>
      <c r="L9" s="522"/>
      <c r="M9" s="522"/>
    </row>
    <row r="10" spans="1:15" ht="14.1" customHeight="1">
      <c r="A10" s="22" t="s">
        <v>112</v>
      </c>
      <c r="B10" s="195">
        <v>0.6</v>
      </c>
      <c r="C10" s="196"/>
      <c r="D10" s="368"/>
      <c r="E10" s="368"/>
      <c r="F10" s="368"/>
      <c r="G10" s="430"/>
      <c r="H10" s="430"/>
      <c r="I10" s="430"/>
      <c r="J10" s="523"/>
      <c r="K10" s="523"/>
      <c r="L10" s="523"/>
      <c r="M10" s="523"/>
    </row>
    <row r="11" spans="1:15" s="198" customFormat="1" ht="14.1" customHeight="1">
      <c r="A11" s="197" t="s">
        <v>117</v>
      </c>
      <c r="B11" s="31">
        <v>15</v>
      </c>
      <c r="C11" s="31"/>
      <c r="D11" s="362">
        <v>15</v>
      </c>
      <c r="E11" s="367">
        <f t="shared" ref="E11:L11" si="2">$D$11*(1.02)^(E4-$D$4)</f>
        <v>15.3</v>
      </c>
      <c r="F11" s="367">
        <f t="shared" si="2"/>
        <v>15.606</v>
      </c>
      <c r="G11" s="429">
        <f t="shared" si="2"/>
        <v>15.918119999999998</v>
      </c>
      <c r="H11" s="429">
        <f t="shared" si="2"/>
        <v>16.2364824</v>
      </c>
      <c r="I11" s="429">
        <f t="shared" si="2"/>
        <v>16.561212048000002</v>
      </c>
      <c r="J11" s="521">
        <f t="shared" si="2"/>
        <v>16.892436288960003</v>
      </c>
      <c r="K11" s="521">
        <f t="shared" si="2"/>
        <v>17.230285014739199</v>
      </c>
      <c r="L11" s="521">
        <f t="shared" si="2"/>
        <v>17.574890715033984</v>
      </c>
      <c r="M11" s="521"/>
    </row>
    <row r="12" spans="1:15" ht="14.1" customHeight="1">
      <c r="A12" s="119" t="s">
        <v>229</v>
      </c>
      <c r="B12" s="235">
        <f>40%*B7</f>
        <v>471.63652424666674</v>
      </c>
      <c r="C12" s="11"/>
      <c r="D12" s="366"/>
      <c r="E12" s="366"/>
      <c r="F12" s="366"/>
      <c r="G12" s="428"/>
      <c r="H12" s="428"/>
      <c r="I12" s="428"/>
      <c r="J12" s="520"/>
      <c r="K12" s="520"/>
      <c r="L12" s="520"/>
      <c r="M12" s="520"/>
    </row>
    <row r="13" spans="1:15" ht="14.1" customHeight="1">
      <c r="A13" s="666" t="s">
        <v>113</v>
      </c>
      <c r="B13" s="20">
        <f>365-B16</f>
        <v>105</v>
      </c>
      <c r="C13" s="11"/>
      <c r="D13" s="366"/>
      <c r="E13" s="366"/>
      <c r="F13" s="366"/>
      <c r="G13" s="428"/>
      <c r="H13" s="428"/>
      <c r="I13" s="428"/>
      <c r="J13" s="520"/>
      <c r="K13" s="520"/>
      <c r="L13" s="520"/>
      <c r="M13" s="520"/>
    </row>
    <row r="14" spans="1:15" ht="14.1" customHeight="1">
      <c r="A14" s="666" t="s">
        <v>114</v>
      </c>
      <c r="B14" s="11">
        <v>4</v>
      </c>
      <c r="C14" s="11"/>
      <c r="D14" s="366"/>
      <c r="E14" s="366"/>
      <c r="F14" s="366"/>
      <c r="G14" s="428"/>
      <c r="H14" s="428"/>
      <c r="I14" s="428"/>
      <c r="J14" s="520"/>
      <c r="K14" s="520"/>
      <c r="L14" s="520"/>
      <c r="M14" s="520"/>
    </row>
    <row r="15" spans="1:15" ht="14.1" customHeight="1">
      <c r="A15" s="666" t="s">
        <v>115</v>
      </c>
      <c r="B15" s="14">
        <v>0.8</v>
      </c>
      <c r="C15" s="11"/>
      <c r="D15" s="366"/>
      <c r="E15" s="366"/>
      <c r="F15" s="366"/>
      <c r="G15" s="428"/>
      <c r="H15" s="428"/>
      <c r="I15" s="428"/>
      <c r="J15" s="520"/>
      <c r="K15" s="520"/>
      <c r="L15" s="520"/>
      <c r="M15" s="520"/>
    </row>
    <row r="16" spans="1:15" ht="14.1" customHeight="1">
      <c r="A16" s="667" t="s">
        <v>116</v>
      </c>
      <c r="B16" s="20">
        <v>260</v>
      </c>
      <c r="C16" s="11"/>
      <c r="D16" s="366"/>
      <c r="E16" s="366"/>
      <c r="F16" s="366"/>
      <c r="G16" s="428"/>
      <c r="H16" s="428"/>
      <c r="I16" s="428"/>
      <c r="J16" s="520"/>
      <c r="K16" s="520"/>
      <c r="L16" s="520"/>
      <c r="M16" s="520"/>
    </row>
    <row r="17" spans="1:13" ht="14.1" customHeight="1">
      <c r="A17" s="667" t="s">
        <v>114</v>
      </c>
      <c r="B17" s="11">
        <v>5</v>
      </c>
      <c r="C17" s="11"/>
      <c r="D17" s="366"/>
      <c r="E17" s="366"/>
      <c r="F17" s="366"/>
      <c r="G17" s="428"/>
      <c r="H17" s="428"/>
      <c r="I17" s="428"/>
      <c r="J17" s="520"/>
      <c r="K17" s="520"/>
      <c r="L17" s="520"/>
      <c r="M17" s="520"/>
    </row>
    <row r="18" spans="1:13" ht="14.1" customHeight="1">
      <c r="A18" s="667" t="s">
        <v>115</v>
      </c>
      <c r="B18" s="14">
        <v>0.6</v>
      </c>
      <c r="C18" s="11"/>
      <c r="D18" s="366"/>
      <c r="E18" s="366"/>
      <c r="F18" s="366"/>
      <c r="G18" s="428"/>
      <c r="H18" s="428"/>
      <c r="I18" s="428"/>
      <c r="J18" s="520"/>
      <c r="K18" s="520"/>
      <c r="L18" s="520"/>
      <c r="M18" s="520"/>
    </row>
    <row r="19" spans="1:13" ht="14.1" customHeight="1">
      <c r="A19" s="119" t="s">
        <v>230</v>
      </c>
      <c r="B19" s="11">
        <f>B13*B14*B15+B16*B17*B18</f>
        <v>1116</v>
      </c>
      <c r="C19" s="11"/>
      <c r="D19" s="366">
        <f>B19</f>
        <v>1116</v>
      </c>
      <c r="E19" s="367">
        <f t="shared" ref="E19:L19" si="3">$D$19*(1.02)^(E4-$D$4)</f>
        <v>1138.32</v>
      </c>
      <c r="F19" s="367">
        <f t="shared" si="3"/>
        <v>1161.0863999999999</v>
      </c>
      <c r="G19" s="429">
        <f t="shared" si="3"/>
        <v>1184.3081279999999</v>
      </c>
      <c r="H19" s="429">
        <f t="shared" si="3"/>
        <v>1207.9942905600001</v>
      </c>
      <c r="I19" s="429">
        <f t="shared" si="3"/>
        <v>1232.1541763712</v>
      </c>
      <c r="J19" s="521">
        <f t="shared" si="3"/>
        <v>1256.7972598986241</v>
      </c>
      <c r="K19" s="521">
        <f t="shared" si="3"/>
        <v>1281.9332050965963</v>
      </c>
      <c r="L19" s="521">
        <f t="shared" si="3"/>
        <v>1307.5718691985282</v>
      </c>
      <c r="M19" s="521"/>
    </row>
    <row r="20" spans="1:13" ht="14.1" customHeight="1">
      <c r="A20" s="18" t="s">
        <v>119</v>
      </c>
      <c r="B20" s="200">
        <v>0.1</v>
      </c>
      <c r="C20" s="4"/>
      <c r="D20" s="369"/>
      <c r="E20" s="369"/>
      <c r="F20" s="369"/>
      <c r="G20" s="399"/>
      <c r="H20" s="399"/>
      <c r="I20" s="399"/>
      <c r="J20" s="524"/>
      <c r="K20" s="524"/>
      <c r="L20" s="524"/>
      <c r="M20" s="524"/>
    </row>
    <row r="21" spans="1:13" ht="18" customHeight="1">
      <c r="A21" s="13" t="s">
        <v>31</v>
      </c>
      <c r="B21" s="31"/>
      <c r="C21" s="31"/>
      <c r="D21" s="362"/>
      <c r="E21" s="362"/>
      <c r="F21" s="362"/>
      <c r="G21" s="426"/>
      <c r="H21" s="426"/>
      <c r="I21" s="426"/>
      <c r="J21" s="517"/>
      <c r="K21" s="517"/>
      <c r="L21" s="517"/>
      <c r="M21" s="517"/>
    </row>
    <row r="22" spans="1:13" ht="14.1" customHeight="1">
      <c r="A22" s="12" t="s">
        <v>120</v>
      </c>
      <c r="B22" s="11"/>
      <c r="C22" s="11"/>
      <c r="D22" s="366"/>
      <c r="E22" s="366"/>
      <c r="F22" s="366"/>
      <c r="G22" s="428"/>
      <c r="H22" s="428"/>
      <c r="I22" s="428"/>
      <c r="J22" s="520"/>
      <c r="K22" s="520"/>
      <c r="L22" s="520"/>
      <c r="M22" s="520"/>
    </row>
    <row r="23" spans="1:13" ht="14.1" customHeight="1">
      <c r="A23" s="119" t="s">
        <v>121</v>
      </c>
      <c r="B23" s="11"/>
      <c r="C23" s="11"/>
      <c r="D23" s="366"/>
      <c r="E23" s="301">
        <f>0.5*$B$9*E8*$D$30*12</f>
        <v>270489.16768721759</v>
      </c>
      <c r="F23" s="301">
        <f>$B$9*F8*$D$30*12</f>
        <v>551797.90208192391</v>
      </c>
      <c r="G23" s="245">
        <f>$B$9*G8*$D$30*12</f>
        <v>562833.86012356239</v>
      </c>
      <c r="H23" s="245">
        <f>$B$9*H8*$D$30*12</f>
        <v>574090.53732603358</v>
      </c>
      <c r="I23" s="245">
        <f>$B$9*I8*12*SUM(D30:G30)</f>
        <v>750983.08421405079</v>
      </c>
      <c r="J23" s="184">
        <f>$B$9*J8*12*SUM(D30:G30)</f>
        <v>766002.74589833152</v>
      </c>
      <c r="K23" s="184">
        <f>$B$9*K8*12*SUM(D30:J30)</f>
        <v>1056334.6907251501</v>
      </c>
      <c r="L23" s="184"/>
      <c r="M23" s="184"/>
    </row>
    <row r="24" spans="1:13" ht="14.1" customHeight="1">
      <c r="A24" s="119" t="s">
        <v>122</v>
      </c>
      <c r="B24" s="11"/>
      <c r="C24" s="11"/>
      <c r="D24" s="366"/>
      <c r="E24" s="301">
        <f>0.5*$B$12*$D$30*B19*0.2</f>
        <v>16119.116105927998</v>
      </c>
      <c r="F24" s="301">
        <f>$B$12*$D$30*B19</f>
        <v>161191.16105927998</v>
      </c>
      <c r="G24" s="245">
        <f>$B$12*$D$30*B19</f>
        <v>161191.16105927998</v>
      </c>
      <c r="H24" s="245">
        <f>$B$12*B19</f>
        <v>526346.36105928011</v>
      </c>
      <c r="I24" s="245">
        <f>$B$12*I19*SUM(D30:G30)</f>
        <v>228239.95696701543</v>
      </c>
      <c r="J24" s="184">
        <f>$B$12*J19*SUM(D30:G30)</f>
        <v>232804.75610635572</v>
      </c>
      <c r="K24" s="184">
        <f>$B$12*K19*SUM(D30:G30)</f>
        <v>237460.85122848279</v>
      </c>
      <c r="L24" s="184"/>
      <c r="M24" s="184"/>
    </row>
    <row r="25" spans="1:13" ht="14.1" customHeight="1">
      <c r="A25" s="12" t="s">
        <v>123</v>
      </c>
      <c r="B25" s="11"/>
      <c r="C25" s="11"/>
      <c r="D25" s="366"/>
      <c r="E25" s="370">
        <f>E23+E24</f>
        <v>286608.28379314556</v>
      </c>
      <c r="F25" s="370">
        <f t="shared" ref="F25:J25" si="4">F23+F24</f>
        <v>712989.06314120395</v>
      </c>
      <c r="G25" s="431">
        <f t="shared" si="4"/>
        <v>724025.02118284232</v>
      </c>
      <c r="H25" s="431">
        <f t="shared" si="4"/>
        <v>1100436.8983853138</v>
      </c>
      <c r="I25" s="431">
        <f t="shared" si="4"/>
        <v>979223.04118106619</v>
      </c>
      <c r="J25" s="525">
        <f t="shared" si="4"/>
        <v>998807.50200468721</v>
      </c>
      <c r="K25" s="525">
        <f>K23+K24</f>
        <v>1293795.5419536328</v>
      </c>
      <c r="L25" s="525"/>
      <c r="M25" s="525"/>
    </row>
    <row r="26" spans="1:13" ht="14.1" customHeight="1">
      <c r="A26" s="12" t="s">
        <v>118</v>
      </c>
      <c r="B26" s="11"/>
      <c r="C26" s="11"/>
      <c r="D26" s="366"/>
      <c r="E26" s="370">
        <f>E25*$B$20</f>
        <v>28660.828379314557</v>
      </c>
      <c r="F26" s="370">
        <f t="shared" ref="F26:K26" si="5">F25*$B$20</f>
        <v>71298.906314120395</v>
      </c>
      <c r="G26" s="431">
        <f t="shared" si="5"/>
        <v>72402.502118284232</v>
      </c>
      <c r="H26" s="431">
        <f t="shared" si="5"/>
        <v>110043.68983853138</v>
      </c>
      <c r="I26" s="431">
        <f t="shared" si="5"/>
        <v>97922.304118106622</v>
      </c>
      <c r="J26" s="525">
        <f t="shared" si="5"/>
        <v>99880.750200468727</v>
      </c>
      <c r="K26" s="525">
        <f t="shared" si="5"/>
        <v>129379.55419536329</v>
      </c>
      <c r="L26" s="525"/>
      <c r="M26" s="525"/>
    </row>
    <row r="27" spans="1:13" ht="14.1" customHeight="1">
      <c r="A27" s="5" t="s">
        <v>31</v>
      </c>
      <c r="B27" s="4"/>
      <c r="C27" s="4"/>
      <c r="D27" s="369"/>
      <c r="E27" s="316">
        <f>E25-E26</f>
        <v>257947.45541383099</v>
      </c>
      <c r="F27" s="316">
        <f t="shared" ref="F27:K27" si="6">F25-F26</f>
        <v>641690.15682708356</v>
      </c>
      <c r="G27" s="432">
        <f t="shared" si="6"/>
        <v>651622.51906455809</v>
      </c>
      <c r="H27" s="432">
        <f t="shared" si="6"/>
        <v>990393.20854678238</v>
      </c>
      <c r="I27" s="432">
        <f t="shared" si="6"/>
        <v>881300.73706295958</v>
      </c>
      <c r="J27" s="526">
        <f t="shared" si="6"/>
        <v>898926.75180421851</v>
      </c>
      <c r="K27" s="526">
        <f t="shared" si="6"/>
        <v>1164415.9877582695</v>
      </c>
      <c r="L27" s="526"/>
      <c r="M27" s="526"/>
    </row>
    <row r="28" spans="1:13" ht="18" customHeight="1">
      <c r="A28" s="13" t="s">
        <v>24</v>
      </c>
      <c r="B28" s="31"/>
      <c r="C28" s="31"/>
      <c r="D28" s="362"/>
      <c r="E28" s="362"/>
      <c r="F28" s="362"/>
      <c r="G28" s="426"/>
      <c r="H28" s="426"/>
      <c r="I28" s="426"/>
      <c r="J28" s="517"/>
      <c r="K28" s="517"/>
      <c r="L28" s="517"/>
      <c r="M28" s="517"/>
    </row>
    <row r="29" spans="1:13" ht="13.5" customHeight="1">
      <c r="A29" s="12" t="s">
        <v>226</v>
      </c>
      <c r="B29" s="182"/>
      <c r="C29" s="182"/>
      <c r="D29" s="371">
        <f>D7 - 100</f>
        <v>361.09131061666665</v>
      </c>
      <c r="E29" s="371">
        <f>E7</f>
        <v>0</v>
      </c>
      <c r="F29" s="371">
        <f>F7</f>
        <v>0</v>
      </c>
      <c r="G29" s="433">
        <f>G7 - 453</f>
        <v>102</v>
      </c>
      <c r="H29" s="433">
        <f>H7</f>
        <v>0</v>
      </c>
      <c r="I29" s="433">
        <f>I7</f>
        <v>0</v>
      </c>
      <c r="J29" s="527">
        <f>J7</f>
        <v>163</v>
      </c>
      <c r="K29" s="527">
        <f>K7</f>
        <v>0</v>
      </c>
      <c r="L29" s="527">
        <f>L7</f>
        <v>0</v>
      </c>
      <c r="M29" s="527"/>
    </row>
    <row r="30" spans="1:13" ht="14.1" customHeight="1">
      <c r="A30" s="12" t="s">
        <v>92</v>
      </c>
      <c r="B30" s="11"/>
      <c r="C30" s="11"/>
      <c r="D30" s="372">
        <f>D29/$B$7</f>
        <v>0.30624541743744621</v>
      </c>
      <c r="E30" s="372">
        <f t="shared" ref="E30:L30" si="7">E29/$B$7</f>
        <v>0</v>
      </c>
      <c r="F30" s="372">
        <f t="shared" si="7"/>
        <v>0</v>
      </c>
      <c r="G30" s="434">
        <f t="shared" si="7"/>
        <v>8.6507295136161955E-2</v>
      </c>
      <c r="H30" s="434">
        <f t="shared" si="7"/>
        <v>0</v>
      </c>
      <c r="I30" s="434">
        <f t="shared" si="7"/>
        <v>0</v>
      </c>
      <c r="J30" s="528">
        <f t="shared" si="7"/>
        <v>0.13824205007053331</v>
      </c>
      <c r="K30" s="528">
        <f t="shared" si="7"/>
        <v>0</v>
      </c>
      <c r="L30" s="528">
        <f t="shared" si="7"/>
        <v>0</v>
      </c>
      <c r="M30" s="528"/>
    </row>
    <row r="31" spans="1:13" ht="14.1" customHeight="1">
      <c r="A31" s="12" t="s">
        <v>294</v>
      </c>
      <c r="B31" s="20"/>
      <c r="C31" s="11"/>
      <c r="D31" s="301">
        <f>17000*D29</f>
        <v>6138552.2804833334</v>
      </c>
      <c r="E31" s="301">
        <f t="shared" ref="E31:M31" si="8">17000*E29</f>
        <v>0</v>
      </c>
      <c r="F31" s="301">
        <f t="shared" si="8"/>
        <v>0</v>
      </c>
      <c r="G31" s="245">
        <f t="shared" si="8"/>
        <v>1734000</v>
      </c>
      <c r="H31" s="245">
        <f t="shared" si="8"/>
        <v>0</v>
      </c>
      <c r="I31" s="245">
        <f t="shared" si="8"/>
        <v>0</v>
      </c>
      <c r="J31" s="184">
        <f t="shared" si="8"/>
        <v>2771000</v>
      </c>
      <c r="K31" s="184">
        <f t="shared" si="8"/>
        <v>0</v>
      </c>
      <c r="L31" s="184">
        <f t="shared" si="8"/>
        <v>0</v>
      </c>
      <c r="M31" s="184">
        <f t="shared" si="8"/>
        <v>0</v>
      </c>
    </row>
    <row r="32" spans="1:13" ht="14.1" customHeight="1">
      <c r="A32" s="290" t="s">
        <v>250</v>
      </c>
      <c r="B32" s="20"/>
      <c r="C32" s="11"/>
      <c r="D32" s="301">
        <f>300*D29</f>
        <v>108327.39318499999</v>
      </c>
      <c r="E32" s="301">
        <f t="shared" ref="E32:J32" si="9">300*E29</f>
        <v>0</v>
      </c>
      <c r="F32" s="301">
        <f t="shared" si="9"/>
        <v>0</v>
      </c>
      <c r="G32" s="245">
        <f t="shared" si="9"/>
        <v>30600</v>
      </c>
      <c r="H32" s="245">
        <f t="shared" si="9"/>
        <v>0</v>
      </c>
      <c r="I32" s="245">
        <f t="shared" si="9"/>
        <v>0</v>
      </c>
      <c r="J32" s="184">
        <f t="shared" si="9"/>
        <v>48900</v>
      </c>
      <c r="K32" s="184">
        <f t="shared" ref="K32:L32" si="10">300*K29</f>
        <v>0</v>
      </c>
      <c r="L32" s="184">
        <f t="shared" si="10"/>
        <v>0</v>
      </c>
      <c r="M32" s="184"/>
    </row>
    <row r="33" spans="1:22" ht="14.1" customHeight="1">
      <c r="A33" s="5" t="s">
        <v>29</v>
      </c>
      <c r="B33" s="4"/>
      <c r="C33" s="4"/>
      <c r="D33" s="373">
        <f t="shared" ref="D33:L33" si="11">(D31+D32)*1.03^(D4-$D$4)</f>
        <v>6246879.6736683333</v>
      </c>
      <c r="E33" s="373">
        <f t="shared" si="11"/>
        <v>0</v>
      </c>
      <c r="F33" s="373">
        <f t="shared" si="11"/>
        <v>0</v>
      </c>
      <c r="G33" s="435">
        <f t="shared" si="11"/>
        <v>1928226.0641999999</v>
      </c>
      <c r="H33" s="435">
        <f t="shared" si="11"/>
        <v>0</v>
      </c>
      <c r="I33" s="435">
        <f t="shared" si="11"/>
        <v>0</v>
      </c>
      <c r="J33" s="529">
        <f t="shared" si="11"/>
        <v>3367108.070982127</v>
      </c>
      <c r="K33" s="529">
        <f t="shared" si="11"/>
        <v>0</v>
      </c>
      <c r="L33" s="529">
        <f t="shared" si="11"/>
        <v>0</v>
      </c>
      <c r="M33" s="529"/>
    </row>
    <row r="34" spans="1:22" ht="18" customHeight="1">
      <c r="A34" s="13" t="s">
        <v>30</v>
      </c>
      <c r="B34" s="31"/>
      <c r="C34" s="31"/>
      <c r="D34" s="362"/>
      <c r="E34" s="362"/>
      <c r="F34" s="362"/>
      <c r="G34" s="426"/>
      <c r="H34" s="426"/>
      <c r="I34" s="426"/>
      <c r="J34" s="517"/>
      <c r="K34" s="517"/>
      <c r="L34" s="517"/>
      <c r="M34" s="517"/>
    </row>
    <row r="35" spans="1:22" ht="14.1" customHeight="1">
      <c r="A35" s="12" t="s">
        <v>31</v>
      </c>
      <c r="B35" s="11"/>
      <c r="C35" s="11"/>
      <c r="D35" s="366"/>
      <c r="E35" s="370">
        <f>E27</f>
        <v>257947.45541383099</v>
      </c>
      <c r="F35" s="370">
        <f t="shared" ref="F35:L35" si="12">F27</f>
        <v>641690.15682708356</v>
      </c>
      <c r="G35" s="431">
        <f t="shared" si="12"/>
        <v>651622.51906455809</v>
      </c>
      <c r="H35" s="431">
        <f t="shared" si="12"/>
        <v>990393.20854678238</v>
      </c>
      <c r="I35" s="431">
        <f t="shared" si="12"/>
        <v>881300.73706295958</v>
      </c>
      <c r="J35" s="525">
        <f t="shared" si="12"/>
        <v>898926.75180421851</v>
      </c>
      <c r="K35" s="525">
        <f t="shared" si="12"/>
        <v>1164415.9877582695</v>
      </c>
      <c r="L35" s="525">
        <f t="shared" si="12"/>
        <v>0</v>
      </c>
      <c r="M35" s="525"/>
    </row>
    <row r="36" spans="1:22" ht="14.1" customHeight="1">
      <c r="A36" s="12" t="s">
        <v>93</v>
      </c>
      <c r="B36" s="11"/>
      <c r="C36" s="11"/>
      <c r="D36" s="366"/>
      <c r="E36" s="366"/>
      <c r="F36" s="366"/>
      <c r="G36" s="428"/>
      <c r="H36" s="428"/>
      <c r="I36" s="428"/>
      <c r="J36" s="520"/>
      <c r="K36" s="520"/>
      <c r="L36" s="530">
        <f>K27/6%</f>
        <v>19406933.129304495</v>
      </c>
      <c r="M36" s="522"/>
    </row>
    <row r="37" spans="1:22" ht="14.1" customHeight="1">
      <c r="A37" s="12" t="s">
        <v>94</v>
      </c>
      <c r="B37" s="11"/>
      <c r="C37" s="11"/>
      <c r="D37" s="366"/>
      <c r="E37" s="366"/>
      <c r="F37" s="366"/>
      <c r="G37" s="428"/>
      <c r="H37" s="428"/>
      <c r="I37" s="428"/>
      <c r="J37" s="520"/>
      <c r="K37" s="520"/>
      <c r="L37" s="530">
        <f>3.5%*L36</f>
        <v>679242.65952565742</v>
      </c>
      <c r="M37" s="522"/>
    </row>
    <row r="38" spans="1:22" ht="14.1" customHeight="1">
      <c r="A38" s="12" t="s">
        <v>29</v>
      </c>
      <c r="B38" s="11"/>
      <c r="C38" s="11"/>
      <c r="D38" s="370">
        <f>D33</f>
        <v>6246879.6736683333</v>
      </c>
      <c r="E38" s="370">
        <f t="shared" ref="E38:L38" si="13">E33</f>
        <v>0</v>
      </c>
      <c r="F38" s="370">
        <f t="shared" si="13"/>
        <v>0</v>
      </c>
      <c r="G38" s="431">
        <f t="shared" si="13"/>
        <v>1928226.0641999999</v>
      </c>
      <c r="H38" s="431">
        <f t="shared" si="13"/>
        <v>0</v>
      </c>
      <c r="I38" s="431">
        <f t="shared" si="13"/>
        <v>0</v>
      </c>
      <c r="J38" s="525">
        <f t="shared" si="13"/>
        <v>3367108.070982127</v>
      </c>
      <c r="K38" s="525">
        <f t="shared" si="13"/>
        <v>0</v>
      </c>
      <c r="L38" s="525">
        <f t="shared" si="13"/>
        <v>0</v>
      </c>
      <c r="M38" s="525"/>
      <c r="N38" s="199"/>
    </row>
    <row r="39" spans="1:22" ht="14.1" customHeight="1">
      <c r="A39" s="12" t="s">
        <v>34</v>
      </c>
      <c r="B39" s="11"/>
      <c r="C39" s="11"/>
      <c r="D39" s="374">
        <f>D35-D38</f>
        <v>-6246879.6736683333</v>
      </c>
      <c r="E39" s="374">
        <f t="shared" ref="E39:K39" si="14">E35-E38</f>
        <v>257947.45541383099</v>
      </c>
      <c r="F39" s="374">
        <f t="shared" si="14"/>
        <v>641690.15682708356</v>
      </c>
      <c r="G39" s="436">
        <f t="shared" si="14"/>
        <v>-1276603.5451354417</v>
      </c>
      <c r="H39" s="436">
        <f t="shared" si="14"/>
        <v>990393.20854678238</v>
      </c>
      <c r="I39" s="436">
        <f t="shared" si="14"/>
        <v>881300.73706295958</v>
      </c>
      <c r="J39" s="531">
        <f t="shared" si="14"/>
        <v>-2468181.3191779084</v>
      </c>
      <c r="K39" s="531">
        <f t="shared" si="14"/>
        <v>1164415.9877582695</v>
      </c>
      <c r="L39" s="531">
        <f>L35-L38+L36-L37</f>
        <v>18727690.469778836</v>
      </c>
      <c r="M39" s="531"/>
    </row>
    <row r="40" spans="1:22" ht="14.1" customHeight="1">
      <c r="A40" s="5" t="s">
        <v>37</v>
      </c>
      <c r="B40" s="236">
        <f>NPV(10%,D39:L39)</f>
        <v>2475809.9562052516</v>
      </c>
      <c r="C40" s="6"/>
      <c r="D40" s="369"/>
      <c r="E40" s="369"/>
      <c r="F40" s="369"/>
      <c r="G40" s="399"/>
      <c r="H40" s="399"/>
      <c r="I40" s="399"/>
      <c r="J40" s="524"/>
      <c r="K40" s="524"/>
      <c r="L40" s="524"/>
      <c r="M40" s="524"/>
    </row>
    <row r="41" spans="1:22" ht="18" customHeight="1">
      <c r="A41" s="7" t="s">
        <v>39</v>
      </c>
      <c r="B41" s="6">
        <f>IRR(D39:M39)</f>
        <v>0.15287252209229418</v>
      </c>
      <c r="C41" s="4"/>
      <c r="D41" s="369"/>
      <c r="E41" s="369"/>
      <c r="F41" s="369"/>
      <c r="G41" s="399"/>
      <c r="H41" s="399"/>
      <c r="I41" s="399"/>
      <c r="J41" s="524"/>
      <c r="K41" s="524"/>
      <c r="L41" s="524"/>
      <c r="M41" s="524"/>
      <c r="V41" s="1" t="s">
        <v>285</v>
      </c>
    </row>
    <row r="42" spans="1:22" ht="18" customHeight="1">
      <c r="A42" s="222"/>
      <c r="B42" s="9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22">
      <c r="A43" s="8"/>
      <c r="B43" s="9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22">
      <c r="A44" s="8"/>
      <c r="B44" s="8"/>
      <c r="C44" s="9"/>
      <c r="D44" s="9"/>
      <c r="E44" s="375"/>
      <c r="F44" s="8"/>
      <c r="G44" s="8"/>
      <c r="H44" s="8"/>
      <c r="I44" s="8"/>
      <c r="J44" s="8"/>
      <c r="K44" s="8"/>
      <c r="L44" s="8"/>
      <c r="M44" s="8"/>
    </row>
    <row r="45" spans="1:22">
      <c r="A45" s="8"/>
      <c r="B45" s="376"/>
      <c r="C45" s="377"/>
      <c r="D45" s="377"/>
      <c r="E45" s="378"/>
      <c r="F45" s="8"/>
      <c r="G45" s="8"/>
      <c r="H45" s="8"/>
      <c r="I45" s="8"/>
      <c r="J45" s="8"/>
      <c r="K45" s="8"/>
      <c r="L45" s="8"/>
      <c r="M45" s="8"/>
    </row>
    <row r="46" spans="1:22">
      <c r="B46" s="29"/>
      <c r="C46" s="144"/>
    </row>
    <row r="47" spans="1:22">
      <c r="B47" s="1"/>
      <c r="D47" s="145"/>
      <c r="E47" s="145"/>
      <c r="F47" s="145"/>
      <c r="G47" s="145"/>
      <c r="H47" s="145"/>
      <c r="I47" s="145"/>
      <c r="J47" s="145"/>
      <c r="K47" s="145"/>
    </row>
    <row r="48" spans="1:22">
      <c r="B48" s="1"/>
      <c r="D48" s="141"/>
      <c r="E48" s="141"/>
      <c r="F48" s="141"/>
      <c r="G48" s="141"/>
      <c r="H48" s="141"/>
      <c r="I48" s="141"/>
      <c r="J48" s="141"/>
      <c r="K48" s="141"/>
    </row>
  </sheetData>
  <phoneticPr fontId="2" type="noConversion"/>
  <pageMargins left="0.5" right="0.5" top="1" bottom="0.5" header="0.5" footer="0.5"/>
  <pageSetup paperSize="4" orientation="landscape" r:id="rId1"/>
  <headerFooter alignWithMargins="0">
    <oddHeader>&amp;L&amp;"Arial,Bold"10. Income Statement: Structured Parking&amp;R&amp;G</oddHeader>
  </headerFooter>
  <legacy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D3119-48E1-4D5A-AD68-2ECFD0182419}">
  <dimension ref="A1:T48"/>
  <sheetViews>
    <sheetView view="pageLayout" zoomScale="85" zoomScaleNormal="100" zoomScalePageLayoutView="85" workbookViewId="0">
      <selection activeCell="R19" sqref="R19"/>
    </sheetView>
  </sheetViews>
  <sheetFormatPr defaultColWidth="9.140625" defaultRowHeight="12.75"/>
  <cols>
    <col min="1" max="1" width="29.5703125" style="1" customWidth="1"/>
    <col min="2" max="2" width="14.5703125" style="3" customWidth="1"/>
    <col min="3" max="3" width="12.28515625" style="3" customWidth="1"/>
    <col min="4" max="4" width="12" style="1" bestFit="1" customWidth="1"/>
    <col min="5" max="6" width="8.85546875" style="1" customWidth="1"/>
    <col min="7" max="7" width="12.85546875" style="1" bestFit="1" customWidth="1"/>
    <col min="8" max="12" width="8.85546875" style="1" customWidth="1"/>
    <col min="13" max="13" width="14.140625" style="1" customWidth="1"/>
    <col min="14" max="16384" width="9.140625" style="1"/>
  </cols>
  <sheetData>
    <row r="1" spans="1:15" ht="14.1" customHeight="1">
      <c r="A1" s="190"/>
      <c r="B1" s="190"/>
      <c r="C1" s="189"/>
      <c r="D1" s="191"/>
      <c r="E1" s="191"/>
      <c r="F1" s="191"/>
      <c r="G1" s="191"/>
      <c r="H1" s="191"/>
      <c r="I1" s="191"/>
      <c r="J1" s="191"/>
      <c r="K1" s="191"/>
      <c r="L1" s="109" t="s">
        <v>1</v>
      </c>
      <c r="M1" s="110" t="s">
        <v>236</v>
      </c>
    </row>
    <row r="2" spans="1:15" ht="14.1" customHeight="1">
      <c r="L2" s="32"/>
      <c r="M2" s="33"/>
    </row>
    <row r="3" spans="1:15" ht="14.1" customHeight="1">
      <c r="B3" s="46"/>
      <c r="C3" s="46" t="s">
        <v>2</v>
      </c>
      <c r="D3" s="306" t="s">
        <v>3</v>
      </c>
      <c r="E3" s="306"/>
      <c r="F3" s="306"/>
      <c r="G3" s="401" t="s">
        <v>198</v>
      </c>
      <c r="H3" s="401"/>
      <c r="I3" s="401"/>
      <c r="J3" s="496" t="s">
        <v>221</v>
      </c>
      <c r="K3" s="496"/>
      <c r="L3" s="496"/>
      <c r="M3" s="496"/>
      <c r="N3" s="43"/>
      <c r="O3" s="43"/>
    </row>
    <row r="4" spans="1:15">
      <c r="A4" s="5"/>
      <c r="B4" s="49" t="s">
        <v>75</v>
      </c>
      <c r="C4" s="67" t="s">
        <v>124</v>
      </c>
      <c r="D4" s="297">
        <v>2024</v>
      </c>
      <c r="E4" s="307">
        <f t="shared" ref="E4:M4" si="0">D4+1</f>
        <v>2025</v>
      </c>
      <c r="F4" s="307">
        <f t="shared" si="0"/>
        <v>2026</v>
      </c>
      <c r="G4" s="380">
        <f t="shared" si="0"/>
        <v>2027</v>
      </c>
      <c r="H4" s="380">
        <f t="shared" si="0"/>
        <v>2028</v>
      </c>
      <c r="I4" s="380">
        <f t="shared" si="0"/>
        <v>2029</v>
      </c>
      <c r="J4" s="465">
        <f t="shared" si="0"/>
        <v>2030</v>
      </c>
      <c r="K4" s="465">
        <f t="shared" si="0"/>
        <v>2031</v>
      </c>
      <c r="L4" s="465">
        <f t="shared" si="0"/>
        <v>2032</v>
      </c>
      <c r="M4" s="465">
        <f t="shared" si="0"/>
        <v>2033</v>
      </c>
      <c r="N4" s="43"/>
      <c r="O4" s="43"/>
    </row>
    <row r="5" spans="1:15" ht="18" customHeight="1">
      <c r="A5" s="13" t="s">
        <v>95</v>
      </c>
      <c r="B5" s="31"/>
      <c r="C5" s="31"/>
      <c r="D5" s="362"/>
      <c r="E5" s="363"/>
      <c r="F5" s="362"/>
      <c r="G5" s="426"/>
      <c r="H5" s="426"/>
      <c r="I5" s="426"/>
      <c r="J5" s="517"/>
      <c r="K5" s="517"/>
      <c r="L5" s="517"/>
      <c r="M5" s="517"/>
    </row>
    <row r="6" spans="1:15" ht="14.1" customHeight="1">
      <c r="A6" s="211" t="s">
        <v>76</v>
      </c>
      <c r="B6" s="14">
        <v>0.02</v>
      </c>
      <c r="C6" s="14"/>
      <c r="D6" s="364"/>
      <c r="E6" s="364"/>
      <c r="F6" s="364"/>
      <c r="G6" s="427"/>
      <c r="H6" s="427"/>
      <c r="I6" s="427"/>
      <c r="J6" s="518"/>
      <c r="K6" s="518"/>
      <c r="L6" s="518"/>
      <c r="M6" s="518"/>
    </row>
    <row r="7" spans="1:15" ht="13.5" customHeight="1">
      <c r="A7" s="211" t="s">
        <v>246</v>
      </c>
      <c r="B7" s="235">
        <f>SUM(D7:J7)</f>
        <v>374.85721720000004</v>
      </c>
      <c r="C7" s="11"/>
      <c r="D7" s="365">
        <f>Parcel_Pharse!E47/3</f>
        <v>160.75499126666665</v>
      </c>
      <c r="E7" s="366"/>
      <c r="F7" s="366"/>
      <c r="G7" s="437">
        <f>Parcel_Pharse!E36+(Parcel_Pharse!E23-'9.Structured Parking'!G7)</f>
        <v>214.10222593333339</v>
      </c>
      <c r="H7" s="428"/>
      <c r="I7" s="428"/>
      <c r="J7" s="519"/>
      <c r="K7" s="520"/>
      <c r="L7" s="520"/>
      <c r="M7" s="520"/>
    </row>
    <row r="8" spans="1:15" ht="14.1" customHeight="1">
      <c r="A8" s="192" t="s">
        <v>110</v>
      </c>
      <c r="B8" s="11">
        <v>200</v>
      </c>
      <c r="C8" s="11"/>
      <c r="D8" s="366">
        <f>B8</f>
        <v>200</v>
      </c>
      <c r="E8" s="367">
        <f t="shared" ref="E8:M8" si="1">$D$8*(1.02)^(E4-$D$4)</f>
        <v>204</v>
      </c>
      <c r="F8" s="367">
        <f t="shared" si="1"/>
        <v>208.07999999999998</v>
      </c>
      <c r="G8" s="429">
        <f t="shared" si="1"/>
        <v>212.24159999999998</v>
      </c>
      <c r="H8" s="429">
        <f t="shared" si="1"/>
        <v>216.48643200000001</v>
      </c>
      <c r="I8" s="429">
        <f t="shared" si="1"/>
        <v>220.81616063999999</v>
      </c>
      <c r="J8" s="521">
        <f t="shared" si="1"/>
        <v>225.23248385280002</v>
      </c>
      <c r="K8" s="521">
        <f t="shared" si="1"/>
        <v>229.73713352985595</v>
      </c>
      <c r="L8" s="521">
        <f t="shared" si="1"/>
        <v>234.33187620045311</v>
      </c>
      <c r="M8" s="521">
        <f t="shared" si="1"/>
        <v>239.01851372446217</v>
      </c>
    </row>
    <row r="9" spans="1:15" ht="14.1" customHeight="1">
      <c r="A9" s="192" t="s">
        <v>111</v>
      </c>
      <c r="B9" s="235">
        <f>60%*B7</f>
        <v>224.91433032</v>
      </c>
      <c r="C9" s="11"/>
      <c r="D9" s="366"/>
      <c r="E9" s="317"/>
      <c r="F9" s="317"/>
      <c r="G9" s="395"/>
      <c r="H9" s="395"/>
      <c r="I9" s="395"/>
      <c r="J9" s="522"/>
      <c r="K9" s="522"/>
      <c r="L9" s="522"/>
      <c r="M9" s="522"/>
    </row>
    <row r="10" spans="1:15" ht="14.1" customHeight="1">
      <c r="A10" s="22" t="s">
        <v>112</v>
      </c>
      <c r="B10" s="195">
        <v>0.6</v>
      </c>
      <c r="C10" s="196"/>
      <c r="D10" s="368"/>
      <c r="E10" s="368"/>
      <c r="F10" s="368"/>
      <c r="G10" s="430"/>
      <c r="H10" s="430"/>
      <c r="I10" s="430"/>
      <c r="J10" s="523"/>
      <c r="K10" s="523"/>
      <c r="L10" s="523"/>
      <c r="M10" s="523"/>
    </row>
    <row r="11" spans="1:15" s="198" customFormat="1" ht="14.1" customHeight="1">
      <c r="A11" s="197" t="s">
        <v>117</v>
      </c>
      <c r="B11" s="31">
        <v>15</v>
      </c>
      <c r="C11" s="31"/>
      <c r="D11" s="362">
        <v>15</v>
      </c>
      <c r="E11" s="379">
        <f t="shared" ref="E11:M11" si="2">$D$11*(1.02)^(E4-$D$4)</f>
        <v>15.3</v>
      </c>
      <c r="F11" s="379">
        <f t="shared" si="2"/>
        <v>15.606</v>
      </c>
      <c r="G11" s="438">
        <f t="shared" si="2"/>
        <v>15.918119999999998</v>
      </c>
      <c r="H11" s="438">
        <f t="shared" si="2"/>
        <v>16.2364824</v>
      </c>
      <c r="I11" s="438">
        <f t="shared" si="2"/>
        <v>16.561212048000002</v>
      </c>
      <c r="J11" s="532">
        <f t="shared" si="2"/>
        <v>16.892436288960003</v>
      </c>
      <c r="K11" s="532">
        <f t="shared" si="2"/>
        <v>17.230285014739199</v>
      </c>
      <c r="L11" s="532">
        <f t="shared" si="2"/>
        <v>17.574890715033984</v>
      </c>
      <c r="M11" s="532">
        <f t="shared" si="2"/>
        <v>17.926388529334663</v>
      </c>
    </row>
    <row r="12" spans="1:15" ht="14.1" customHeight="1">
      <c r="A12" s="192" t="s">
        <v>229</v>
      </c>
      <c r="B12" s="235">
        <f>40%*B7</f>
        <v>149.94288688000003</v>
      </c>
      <c r="C12" s="11"/>
      <c r="D12" s="366"/>
      <c r="E12" s="366"/>
      <c r="F12" s="366"/>
      <c r="G12" s="428"/>
      <c r="H12" s="428"/>
      <c r="I12" s="428"/>
      <c r="J12" s="520"/>
      <c r="K12" s="520"/>
      <c r="L12" s="520"/>
      <c r="M12" s="520"/>
    </row>
    <row r="13" spans="1:15" ht="14.1" customHeight="1">
      <c r="A13" s="666" t="s">
        <v>113</v>
      </c>
      <c r="B13" s="20">
        <f>365-B16</f>
        <v>105</v>
      </c>
      <c r="C13" s="11"/>
      <c r="D13" s="366"/>
      <c r="E13" s="366"/>
      <c r="F13" s="366"/>
      <c r="G13" s="428"/>
      <c r="H13" s="428"/>
      <c r="I13" s="428"/>
      <c r="J13" s="520"/>
      <c r="K13" s="520"/>
      <c r="L13" s="520"/>
      <c r="M13" s="520"/>
    </row>
    <row r="14" spans="1:15" ht="14.1" customHeight="1">
      <c r="A14" s="666" t="s">
        <v>114</v>
      </c>
      <c r="B14" s="11">
        <v>4</v>
      </c>
      <c r="C14" s="11"/>
      <c r="D14" s="366"/>
      <c r="E14" s="366"/>
      <c r="F14" s="366"/>
      <c r="G14" s="428"/>
      <c r="H14" s="428"/>
      <c r="I14" s="428"/>
      <c r="J14" s="520"/>
      <c r="K14" s="520"/>
      <c r="L14" s="520"/>
      <c r="M14" s="520"/>
    </row>
    <row r="15" spans="1:15" ht="14.1" customHeight="1">
      <c r="A15" s="666" t="s">
        <v>115</v>
      </c>
      <c r="B15" s="14">
        <v>0.7</v>
      </c>
      <c r="C15" s="11"/>
      <c r="D15" s="366"/>
      <c r="E15" s="366"/>
      <c r="F15" s="366"/>
      <c r="G15" s="428"/>
      <c r="H15" s="428"/>
      <c r="I15" s="428"/>
      <c r="J15" s="520"/>
      <c r="K15" s="520"/>
      <c r="L15" s="520"/>
      <c r="M15" s="520"/>
    </row>
    <row r="16" spans="1:15" ht="14.1" customHeight="1">
      <c r="A16" s="667" t="s">
        <v>116</v>
      </c>
      <c r="B16" s="20">
        <v>260</v>
      </c>
      <c r="C16" s="11"/>
      <c r="D16" s="366"/>
      <c r="E16" s="366"/>
      <c r="F16" s="366"/>
      <c r="G16" s="428"/>
      <c r="H16" s="428"/>
      <c r="I16" s="428"/>
      <c r="J16" s="520"/>
      <c r="K16" s="520"/>
      <c r="L16" s="520"/>
      <c r="M16" s="520"/>
    </row>
    <row r="17" spans="1:13" ht="14.1" customHeight="1">
      <c r="A17" s="667" t="s">
        <v>114</v>
      </c>
      <c r="B17" s="11">
        <v>5</v>
      </c>
      <c r="C17" s="11"/>
      <c r="D17" s="366"/>
      <c r="E17" s="366"/>
      <c r="F17" s="366"/>
      <c r="G17" s="428"/>
      <c r="H17" s="428"/>
      <c r="I17" s="428"/>
      <c r="J17" s="520"/>
      <c r="K17" s="520"/>
      <c r="L17" s="520"/>
      <c r="M17" s="520"/>
    </row>
    <row r="18" spans="1:13" ht="14.1" customHeight="1">
      <c r="A18" s="667" t="s">
        <v>115</v>
      </c>
      <c r="B18" s="14">
        <v>0.6</v>
      </c>
      <c r="C18" s="11"/>
      <c r="D18" s="366"/>
      <c r="E18" s="366"/>
      <c r="F18" s="366"/>
      <c r="G18" s="428"/>
      <c r="H18" s="428"/>
      <c r="I18" s="428"/>
      <c r="J18" s="520"/>
      <c r="K18" s="520"/>
      <c r="L18" s="520"/>
      <c r="M18" s="520"/>
    </row>
    <row r="19" spans="1:13" ht="14.1" customHeight="1">
      <c r="A19" s="192" t="s">
        <v>230</v>
      </c>
      <c r="B19" s="11">
        <f>B13*B14*B15+B16*B17*B18</f>
        <v>1074</v>
      </c>
      <c r="C19" s="11"/>
      <c r="D19" s="366">
        <f>B19</f>
        <v>1074</v>
      </c>
      <c r="E19" s="367">
        <f t="shared" ref="E19:M19" si="3">$D$19*(1.02)^(E4-$D$4)</f>
        <v>1095.48</v>
      </c>
      <c r="F19" s="367">
        <f t="shared" si="3"/>
        <v>1117.3896</v>
      </c>
      <c r="G19" s="429">
        <f t="shared" si="3"/>
        <v>1139.737392</v>
      </c>
      <c r="H19" s="429">
        <f t="shared" si="3"/>
        <v>1162.5321398399999</v>
      </c>
      <c r="I19" s="429">
        <f t="shared" si="3"/>
        <v>1185.7827826368</v>
      </c>
      <c r="J19" s="521">
        <f t="shared" si="3"/>
        <v>1209.4984382895361</v>
      </c>
      <c r="K19" s="521">
        <f t="shared" si="3"/>
        <v>1233.6884070553265</v>
      </c>
      <c r="L19" s="521">
        <f t="shared" si="3"/>
        <v>1258.3621751964331</v>
      </c>
      <c r="M19" s="521">
        <f t="shared" si="3"/>
        <v>1283.5294187003619</v>
      </c>
    </row>
    <row r="20" spans="1:13" ht="14.1" customHeight="1">
      <c r="A20" s="18" t="s">
        <v>119</v>
      </c>
      <c r="B20" s="200">
        <v>0.1</v>
      </c>
      <c r="C20" s="4"/>
      <c r="D20" s="369"/>
      <c r="E20" s="369"/>
      <c r="F20" s="369"/>
      <c r="G20" s="399"/>
      <c r="H20" s="399"/>
      <c r="I20" s="399"/>
      <c r="J20" s="524"/>
      <c r="K20" s="524"/>
      <c r="L20" s="524"/>
      <c r="M20" s="524"/>
    </row>
    <row r="21" spans="1:13" ht="18" customHeight="1">
      <c r="A21" s="13" t="s">
        <v>31</v>
      </c>
      <c r="B21" s="31"/>
      <c r="C21" s="31"/>
      <c r="D21" s="362"/>
      <c r="E21" s="362"/>
      <c r="F21" s="362"/>
      <c r="G21" s="426"/>
      <c r="H21" s="426"/>
      <c r="I21" s="426"/>
      <c r="J21" s="517"/>
      <c r="K21" s="517"/>
      <c r="L21" s="517"/>
      <c r="M21" s="517"/>
    </row>
    <row r="22" spans="1:13" ht="14.1" customHeight="1">
      <c r="A22" s="12" t="s">
        <v>120</v>
      </c>
      <c r="B22" s="11"/>
      <c r="C22" s="11"/>
      <c r="D22" s="366"/>
      <c r="E22" s="366"/>
      <c r="F22" s="366"/>
      <c r="G22" s="428"/>
      <c r="H22" s="428"/>
      <c r="I22" s="428"/>
      <c r="J22" s="520"/>
      <c r="K22" s="520"/>
      <c r="L22" s="520"/>
      <c r="M22" s="520"/>
    </row>
    <row r="23" spans="1:13" ht="14.1" customHeight="1">
      <c r="A23" s="192" t="s">
        <v>121</v>
      </c>
      <c r="B23" s="11"/>
      <c r="C23" s="11"/>
      <c r="D23" s="366"/>
      <c r="E23" s="301"/>
      <c r="F23" s="301">
        <f>$B$9*F8*$D$30*12</f>
        <v>240839.26979592952</v>
      </c>
      <c r="G23" s="245">
        <f>$B$9*G8*$D$30*12</f>
        <v>245656.05519184811</v>
      </c>
      <c r="H23" s="245">
        <f>$B$9*H8*$D$30*12</f>
        <v>250569.17629568512</v>
      </c>
      <c r="I23" s="245">
        <f>$B$9*I8*SUM($D$30:$G$30)*12</f>
        <v>595976.62673014961</v>
      </c>
      <c r="J23" s="184">
        <f>$B$9*J8*SUM($D$30:$G$30)*12</f>
        <v>607896.15926475276</v>
      </c>
      <c r="K23" s="184">
        <f>$B$9*K8*SUM($D$30:$G$30)*12</f>
        <v>620054.0824500476</v>
      </c>
      <c r="L23" s="184">
        <f>$B$9*L8*SUM($D$30:$J$30)*12</f>
        <v>632455.16409904871</v>
      </c>
      <c r="M23" s="184"/>
    </row>
    <row r="24" spans="1:13" ht="14.1" customHeight="1">
      <c r="A24" s="192" t="s">
        <v>122</v>
      </c>
      <c r="B24" s="11"/>
      <c r="C24" s="11"/>
      <c r="D24" s="366"/>
      <c r="E24" s="301"/>
      <c r="F24" s="301">
        <f>$B$12*F19*$D$30*0.5</f>
        <v>35925.191077892829</v>
      </c>
      <c r="G24" s="245">
        <f>$B$12*$D$30*G19</f>
        <v>73287.389798901379</v>
      </c>
      <c r="H24" s="245">
        <f>$B$12*D30*H19</f>
        <v>74753.137594879401</v>
      </c>
      <c r="I24" s="245">
        <f>$B$12*SUM($D$30:$G$30)*I19</f>
        <v>177799.69364116137</v>
      </c>
      <c r="J24" s="184">
        <f t="shared" ref="J24:K24" si="4">$B$12*SUM($D$30:$G$30)*J19</f>
        <v>181355.68751398462</v>
      </c>
      <c r="K24" s="184">
        <f t="shared" si="4"/>
        <v>184982.80126426424</v>
      </c>
      <c r="L24" s="184">
        <f>$B$12*SUM($D$30:$J$30)*L19</f>
        <v>188682.45728954955</v>
      </c>
      <c r="M24" s="184"/>
    </row>
    <row r="25" spans="1:13" ht="14.1" customHeight="1">
      <c r="A25" s="12" t="s">
        <v>123</v>
      </c>
      <c r="B25" s="11"/>
      <c r="C25" s="11"/>
      <c r="D25" s="366"/>
      <c r="E25" s="370"/>
      <c r="F25" s="370">
        <f t="shared" ref="F25:J25" si="5">F23+F24</f>
        <v>276764.46087382233</v>
      </c>
      <c r="G25" s="431">
        <f t="shared" si="5"/>
        <v>318943.44499074947</v>
      </c>
      <c r="H25" s="431">
        <f t="shared" si="5"/>
        <v>325322.31389056449</v>
      </c>
      <c r="I25" s="431">
        <f t="shared" si="5"/>
        <v>773776.32037131093</v>
      </c>
      <c r="J25" s="525">
        <f t="shared" si="5"/>
        <v>789251.84677873738</v>
      </c>
      <c r="K25" s="525">
        <f>K23+K24</f>
        <v>805036.88371431187</v>
      </c>
      <c r="L25" s="525">
        <f t="shared" ref="L25" si="6">L23+L24</f>
        <v>821137.62138859823</v>
      </c>
      <c r="M25" s="525"/>
    </row>
    <row r="26" spans="1:13" ht="14.1" customHeight="1">
      <c r="A26" s="12" t="s">
        <v>118</v>
      </c>
      <c r="B26" s="11"/>
      <c r="C26" s="11"/>
      <c r="D26" s="366"/>
      <c r="E26" s="370"/>
      <c r="F26" s="370">
        <f t="shared" ref="F26:L26" si="7">F25*$B$20</f>
        <v>27676.446087382235</v>
      </c>
      <c r="G26" s="431">
        <f t="shared" si="7"/>
        <v>31894.344499074949</v>
      </c>
      <c r="H26" s="431">
        <f t="shared" si="7"/>
        <v>32532.231389056451</v>
      </c>
      <c r="I26" s="431">
        <f t="shared" si="7"/>
        <v>77377.632037131101</v>
      </c>
      <c r="J26" s="525">
        <f t="shared" si="7"/>
        <v>78925.184677873738</v>
      </c>
      <c r="K26" s="525">
        <f t="shared" si="7"/>
        <v>80503.688371431199</v>
      </c>
      <c r="L26" s="525">
        <f t="shared" si="7"/>
        <v>82113.762138859835</v>
      </c>
      <c r="M26" s="525"/>
    </row>
    <row r="27" spans="1:13" ht="14.1" customHeight="1">
      <c r="A27" s="5" t="s">
        <v>31</v>
      </c>
      <c r="B27" s="4"/>
      <c r="C27" s="4"/>
      <c r="D27" s="369"/>
      <c r="E27" s="316"/>
      <c r="F27" s="316">
        <f t="shared" ref="F27:L27" si="8">F25-F26</f>
        <v>249088.01478644009</v>
      </c>
      <c r="G27" s="432">
        <f t="shared" si="8"/>
        <v>287049.1004916745</v>
      </c>
      <c r="H27" s="432">
        <f t="shared" si="8"/>
        <v>292790.08250150806</v>
      </c>
      <c r="I27" s="432">
        <f t="shared" si="8"/>
        <v>696398.68833417981</v>
      </c>
      <c r="J27" s="526">
        <f t="shared" si="8"/>
        <v>710326.66210086364</v>
      </c>
      <c r="K27" s="526">
        <f t="shared" si="8"/>
        <v>724533.19534288067</v>
      </c>
      <c r="L27" s="526">
        <f t="shared" si="8"/>
        <v>739023.85924973839</v>
      </c>
      <c r="M27" s="526"/>
    </row>
    <row r="28" spans="1:13" ht="18" customHeight="1">
      <c r="A28" s="13" t="s">
        <v>24</v>
      </c>
      <c r="B28" s="31"/>
      <c r="C28" s="31"/>
      <c r="D28" s="362"/>
      <c r="E28" s="362"/>
      <c r="F28" s="362"/>
      <c r="G28" s="426"/>
      <c r="H28" s="426"/>
      <c r="I28" s="426"/>
      <c r="J28" s="517"/>
      <c r="K28" s="517"/>
      <c r="L28" s="517"/>
      <c r="M28" s="517"/>
    </row>
    <row r="29" spans="1:13" ht="13.5" customHeight="1">
      <c r="A29" s="12" t="s">
        <v>226</v>
      </c>
      <c r="B29" s="182"/>
      <c r="C29" s="182"/>
      <c r="D29" s="371">
        <f t="shared" ref="D29:M29" si="9">D7</f>
        <v>160.75499126666665</v>
      </c>
      <c r="E29" s="371">
        <f t="shared" si="9"/>
        <v>0</v>
      </c>
      <c r="F29" s="371">
        <f t="shared" si="9"/>
        <v>0</v>
      </c>
      <c r="G29" s="433">
        <f t="shared" si="9"/>
        <v>214.10222593333339</v>
      </c>
      <c r="H29" s="433">
        <f t="shared" si="9"/>
        <v>0</v>
      </c>
      <c r="I29" s="433">
        <f t="shared" si="9"/>
        <v>0</v>
      </c>
      <c r="J29" s="527">
        <f t="shared" si="9"/>
        <v>0</v>
      </c>
      <c r="K29" s="527">
        <f t="shared" si="9"/>
        <v>0</v>
      </c>
      <c r="L29" s="527">
        <f t="shared" si="9"/>
        <v>0</v>
      </c>
      <c r="M29" s="527">
        <f t="shared" si="9"/>
        <v>0</v>
      </c>
    </row>
    <row r="30" spans="1:13" ht="14.1" customHeight="1">
      <c r="A30" s="12" t="s">
        <v>92</v>
      </c>
      <c r="B30" s="20"/>
      <c r="C30" s="11"/>
      <c r="D30" s="372">
        <f>D29/$B$7</f>
        <v>0.42884326055511951</v>
      </c>
      <c r="E30" s="372">
        <f t="shared" ref="E30:M30" si="10">E29/$B$7</f>
        <v>0</v>
      </c>
      <c r="F30" s="372">
        <f t="shared" si="10"/>
        <v>0</v>
      </c>
      <c r="G30" s="434">
        <f t="shared" si="10"/>
        <v>0.57115673944488043</v>
      </c>
      <c r="H30" s="434">
        <f t="shared" si="10"/>
        <v>0</v>
      </c>
      <c r="I30" s="434">
        <f t="shared" si="10"/>
        <v>0</v>
      </c>
      <c r="J30" s="528">
        <f t="shared" si="10"/>
        <v>0</v>
      </c>
      <c r="K30" s="528">
        <f t="shared" si="10"/>
        <v>0</v>
      </c>
      <c r="L30" s="528">
        <f t="shared" si="10"/>
        <v>0</v>
      </c>
      <c r="M30" s="528">
        <f t="shared" si="10"/>
        <v>0</v>
      </c>
    </row>
    <row r="31" spans="1:13" ht="14.1" customHeight="1">
      <c r="A31" s="12" t="s">
        <v>247</v>
      </c>
      <c r="B31" s="20"/>
      <c r="C31" s="11"/>
      <c r="D31" s="301">
        <f>30000*D29</f>
        <v>4822649.7379999999</v>
      </c>
      <c r="E31" s="301">
        <f t="shared" ref="E31:M31" si="11">30000*E29</f>
        <v>0</v>
      </c>
      <c r="F31" s="301">
        <f t="shared" si="11"/>
        <v>0</v>
      </c>
      <c r="G31" s="245">
        <f t="shared" si="11"/>
        <v>6423066.7780000018</v>
      </c>
      <c r="H31" s="245">
        <f t="shared" si="11"/>
        <v>0</v>
      </c>
      <c r="I31" s="245">
        <f t="shared" si="11"/>
        <v>0</v>
      </c>
      <c r="J31" s="184">
        <f t="shared" si="11"/>
        <v>0</v>
      </c>
      <c r="K31" s="184">
        <f t="shared" si="11"/>
        <v>0</v>
      </c>
      <c r="L31" s="184">
        <f t="shared" si="11"/>
        <v>0</v>
      </c>
      <c r="M31" s="184">
        <f t="shared" si="11"/>
        <v>0</v>
      </c>
    </row>
    <row r="32" spans="1:13" ht="14.1" customHeight="1">
      <c r="A32" s="290" t="s">
        <v>282</v>
      </c>
      <c r="B32" s="20"/>
      <c r="C32" s="11"/>
      <c r="D32" s="301">
        <f>450*D29</f>
        <v>72339.746069999994</v>
      </c>
      <c r="E32" s="301">
        <f t="shared" ref="E32:M32" si="12">450*E29</f>
        <v>0</v>
      </c>
      <c r="F32" s="301">
        <f t="shared" si="12"/>
        <v>0</v>
      </c>
      <c r="G32" s="245">
        <f t="shared" si="12"/>
        <v>96346.001670000027</v>
      </c>
      <c r="H32" s="245">
        <f t="shared" si="12"/>
        <v>0</v>
      </c>
      <c r="I32" s="245">
        <f t="shared" si="12"/>
        <v>0</v>
      </c>
      <c r="J32" s="184">
        <f t="shared" si="12"/>
        <v>0</v>
      </c>
      <c r="K32" s="184">
        <f t="shared" si="12"/>
        <v>0</v>
      </c>
      <c r="L32" s="184">
        <f t="shared" si="12"/>
        <v>0</v>
      </c>
      <c r="M32" s="184">
        <f t="shared" si="12"/>
        <v>0</v>
      </c>
    </row>
    <row r="33" spans="1:20" ht="14.1" customHeight="1">
      <c r="A33" s="5" t="s">
        <v>29</v>
      </c>
      <c r="B33" s="4"/>
      <c r="C33" s="4"/>
      <c r="D33" s="373">
        <f t="shared" ref="D33:M33" si="13">(D31+D32)*1.03^(D4-$D$4)</f>
        <v>4894989.4840700002</v>
      </c>
      <c r="E33" s="373">
        <f t="shared" si="13"/>
        <v>0</v>
      </c>
      <c r="F33" s="373">
        <f t="shared" si="13"/>
        <v>0</v>
      </c>
      <c r="G33" s="435">
        <f t="shared" si="13"/>
        <v>7123938.3684904622</v>
      </c>
      <c r="H33" s="435">
        <f t="shared" si="13"/>
        <v>0</v>
      </c>
      <c r="I33" s="435">
        <f t="shared" si="13"/>
        <v>0</v>
      </c>
      <c r="J33" s="529">
        <f t="shared" si="13"/>
        <v>0</v>
      </c>
      <c r="K33" s="529">
        <f t="shared" si="13"/>
        <v>0</v>
      </c>
      <c r="L33" s="529">
        <f t="shared" si="13"/>
        <v>0</v>
      </c>
      <c r="M33" s="529">
        <f t="shared" si="13"/>
        <v>0</v>
      </c>
      <c r="T33"/>
    </row>
    <row r="34" spans="1:20" ht="18" customHeight="1">
      <c r="A34" s="13" t="s">
        <v>30</v>
      </c>
      <c r="B34" s="31"/>
      <c r="C34" s="31"/>
      <c r="D34" s="362"/>
      <c r="E34" s="362"/>
      <c r="F34" s="362"/>
      <c r="G34" s="426"/>
      <c r="H34" s="426"/>
      <c r="I34" s="426"/>
      <c r="J34" s="517"/>
      <c r="K34" s="517"/>
      <c r="L34" s="517"/>
      <c r="M34" s="517"/>
    </row>
    <row r="35" spans="1:20" ht="14.1" customHeight="1">
      <c r="A35" s="12" t="s">
        <v>31</v>
      </c>
      <c r="B35" s="11"/>
      <c r="C35" s="11"/>
      <c r="D35" s="366"/>
      <c r="E35" s="370">
        <f>E27</f>
        <v>0</v>
      </c>
      <c r="F35" s="370">
        <f t="shared" ref="F35:M35" si="14">F27</f>
        <v>249088.01478644009</v>
      </c>
      <c r="G35" s="431">
        <f t="shared" si="14"/>
        <v>287049.1004916745</v>
      </c>
      <c r="H35" s="431">
        <f t="shared" si="14"/>
        <v>292790.08250150806</v>
      </c>
      <c r="I35" s="431">
        <f t="shared" si="14"/>
        <v>696398.68833417981</v>
      </c>
      <c r="J35" s="525">
        <f t="shared" si="14"/>
        <v>710326.66210086364</v>
      </c>
      <c r="K35" s="525">
        <f t="shared" si="14"/>
        <v>724533.19534288067</v>
      </c>
      <c r="L35" s="525">
        <f t="shared" si="14"/>
        <v>739023.85924973839</v>
      </c>
      <c r="M35" s="525">
        <f t="shared" si="14"/>
        <v>0</v>
      </c>
    </row>
    <row r="36" spans="1:20" ht="14.1" customHeight="1">
      <c r="A36" s="12" t="s">
        <v>93</v>
      </c>
      <c r="B36" s="11"/>
      <c r="C36" s="11"/>
      <c r="D36" s="366"/>
      <c r="E36" s="366"/>
      <c r="F36" s="366"/>
      <c r="G36" s="428"/>
      <c r="H36" s="428"/>
      <c r="I36" s="428"/>
      <c r="J36" s="520"/>
      <c r="K36" s="520"/>
      <c r="L36" s="520"/>
      <c r="M36" s="525">
        <f>L27/6%</f>
        <v>12317064.320828974</v>
      </c>
    </row>
    <row r="37" spans="1:20" ht="14.1" customHeight="1">
      <c r="A37" s="12" t="s">
        <v>94</v>
      </c>
      <c r="B37" s="11"/>
      <c r="C37" s="11"/>
      <c r="D37" s="366"/>
      <c r="E37" s="366"/>
      <c r="F37" s="366"/>
      <c r="G37" s="428"/>
      <c r="H37" s="428"/>
      <c r="I37" s="428"/>
      <c r="J37" s="520"/>
      <c r="K37" s="520"/>
      <c r="L37" s="520"/>
      <c r="M37" s="525">
        <f>3.5%*M36</f>
        <v>431097.25122901413</v>
      </c>
    </row>
    <row r="38" spans="1:20" ht="14.1" customHeight="1">
      <c r="A38" s="12" t="s">
        <v>29</v>
      </c>
      <c r="B38" s="11"/>
      <c r="C38" s="11"/>
      <c r="D38" s="370">
        <f>D33</f>
        <v>4894989.4840700002</v>
      </c>
      <c r="E38" s="370">
        <f t="shared" ref="E38:M38" si="15">E33</f>
        <v>0</v>
      </c>
      <c r="F38" s="370">
        <f t="shared" si="15"/>
        <v>0</v>
      </c>
      <c r="G38" s="431">
        <f t="shared" si="15"/>
        <v>7123938.3684904622</v>
      </c>
      <c r="H38" s="431">
        <f t="shared" si="15"/>
        <v>0</v>
      </c>
      <c r="I38" s="431">
        <f t="shared" si="15"/>
        <v>0</v>
      </c>
      <c r="J38" s="525">
        <f t="shared" si="15"/>
        <v>0</v>
      </c>
      <c r="K38" s="525">
        <f t="shared" si="15"/>
        <v>0</v>
      </c>
      <c r="L38" s="525">
        <f t="shared" si="15"/>
        <v>0</v>
      </c>
      <c r="M38" s="525">
        <f t="shared" si="15"/>
        <v>0</v>
      </c>
      <c r="N38" s="199"/>
    </row>
    <row r="39" spans="1:20" ht="14.1" customHeight="1">
      <c r="A39" s="12" t="s">
        <v>34</v>
      </c>
      <c r="B39" s="11"/>
      <c r="C39" s="11"/>
      <c r="D39" s="374">
        <f>D35-D38</f>
        <v>-4894989.4840700002</v>
      </c>
      <c r="E39" s="374">
        <f t="shared" ref="E39:L39" si="16">E35-E38</f>
        <v>0</v>
      </c>
      <c r="F39" s="374">
        <f t="shared" si="16"/>
        <v>249088.01478644009</v>
      </c>
      <c r="G39" s="436">
        <f t="shared" si="16"/>
        <v>-6836889.2679987876</v>
      </c>
      <c r="H39" s="436">
        <f t="shared" si="16"/>
        <v>292790.08250150806</v>
      </c>
      <c r="I39" s="436">
        <f t="shared" si="16"/>
        <v>696398.68833417981</v>
      </c>
      <c r="J39" s="531">
        <f t="shared" si="16"/>
        <v>710326.66210086364</v>
      </c>
      <c r="K39" s="531">
        <f t="shared" si="16"/>
        <v>724533.19534288067</v>
      </c>
      <c r="L39" s="531">
        <f t="shared" si="16"/>
        <v>739023.85924973839</v>
      </c>
      <c r="M39" s="531">
        <f>M35-M38+M36-M37</f>
        <v>11885967.06959996</v>
      </c>
    </row>
    <row r="40" spans="1:20" ht="14.1" customHeight="1">
      <c r="A40" s="5" t="s">
        <v>37</v>
      </c>
      <c r="B40" s="236">
        <f>NPV(10%,D39:M39)</f>
        <v>-2759152.7040378018</v>
      </c>
      <c r="C40" s="6"/>
      <c r="D40" s="369"/>
      <c r="E40" s="369"/>
      <c r="F40" s="369"/>
      <c r="G40" s="399"/>
      <c r="H40" s="399"/>
      <c r="I40" s="399"/>
      <c r="J40" s="524"/>
      <c r="K40" s="524"/>
      <c r="L40" s="524"/>
      <c r="M40" s="524"/>
    </row>
    <row r="41" spans="1:20" ht="18" customHeight="1">
      <c r="A41" s="7" t="s">
        <v>39</v>
      </c>
      <c r="B41" s="6">
        <f>IRR(D39:M39)</f>
        <v>4.1191748237479731E-2</v>
      </c>
      <c r="C41" s="4"/>
      <c r="D41" s="369"/>
      <c r="E41" s="369"/>
      <c r="F41" s="369"/>
      <c r="G41" s="399"/>
      <c r="H41" s="399"/>
      <c r="I41" s="399"/>
      <c r="J41" s="524"/>
      <c r="K41" s="524"/>
      <c r="L41" s="524"/>
      <c r="M41" s="524"/>
    </row>
    <row r="42" spans="1:20" ht="18" customHeight="1">
      <c r="A42" s="222"/>
      <c r="B42" s="9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20">
      <c r="A43" s="8"/>
      <c r="B43" s="9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20">
      <c r="A44" s="8"/>
      <c r="B44" s="8"/>
      <c r="C44" s="9"/>
      <c r="D44" s="9"/>
      <c r="E44" s="375"/>
      <c r="F44" s="8"/>
      <c r="G44" s="8"/>
      <c r="H44" s="8"/>
      <c r="I44" s="8"/>
      <c r="J44" s="8"/>
      <c r="K44" s="8"/>
      <c r="L44" s="8"/>
      <c r="M44" s="8"/>
    </row>
    <row r="45" spans="1:20">
      <c r="A45" s="8"/>
      <c r="B45" s="376"/>
      <c r="C45" s="377"/>
      <c r="D45" s="377"/>
      <c r="E45" s="378"/>
      <c r="F45" s="8"/>
      <c r="G45" s="8"/>
      <c r="H45" s="8"/>
      <c r="I45" s="8"/>
      <c r="J45" s="8"/>
      <c r="K45" s="8"/>
      <c r="L45" s="8"/>
      <c r="M45" s="8"/>
    </row>
    <row r="46" spans="1:20">
      <c r="B46" s="29"/>
      <c r="C46" s="144"/>
    </row>
    <row r="47" spans="1:20">
      <c r="B47" s="1"/>
      <c r="D47" s="145"/>
      <c r="E47" s="145"/>
      <c r="F47" s="145"/>
      <c r="G47" s="145"/>
      <c r="H47" s="145"/>
      <c r="I47" s="145"/>
      <c r="J47" s="145"/>
      <c r="K47" s="145"/>
    </row>
    <row r="48" spans="1:20">
      <c r="B48" s="1"/>
      <c r="D48" s="141"/>
      <c r="E48" s="141"/>
      <c r="F48" s="141"/>
      <c r="G48" s="141"/>
      <c r="H48" s="141"/>
      <c r="I48" s="141"/>
      <c r="J48" s="141"/>
      <c r="K48" s="141"/>
    </row>
  </sheetData>
  <pageMargins left="0.5" right="0.5" top="1" bottom="0.5" header="0.5" footer="0.5"/>
  <pageSetup paperSize="4" orientation="landscape" r:id="rId1"/>
  <headerFooter alignWithMargins="0">
    <oddHeader>&amp;L&amp;"Arial,Bold"10. Income Statement: Structured Parking&amp;R&amp;G</oddHeader>
  </headerFooter>
  <drawing r:id="rId2"/>
  <legacyDrawing r:id="rId3"/>
  <legacyDrawingHF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5354A-2DB2-499B-BEBA-BBF64EB39DB3}">
  <dimension ref="B3:O43"/>
  <sheetViews>
    <sheetView topLeftCell="A4" zoomScale="90" zoomScaleNormal="90" workbookViewId="0">
      <selection activeCell="N30" sqref="N30"/>
    </sheetView>
  </sheetViews>
  <sheetFormatPr defaultRowHeight="12.75"/>
  <cols>
    <col min="2" max="2" width="6" bestFit="1" customWidth="1"/>
    <col min="3" max="3" width="3.7109375" bestFit="1" customWidth="1"/>
    <col min="4" max="4" width="19.85546875" bestFit="1" customWidth="1"/>
    <col min="5" max="5" width="18.42578125" customWidth="1"/>
    <col min="6" max="6" width="14.42578125" customWidth="1"/>
    <col min="7" max="7" width="44.5703125" customWidth="1"/>
    <col min="8" max="8" width="19.140625" customWidth="1"/>
    <col min="9" max="9" width="11.42578125" bestFit="1" customWidth="1"/>
    <col min="10" max="11" width="14" bestFit="1" customWidth="1"/>
    <col min="13" max="13" width="18.42578125" bestFit="1" customWidth="1"/>
    <col min="14" max="14" width="20.42578125" bestFit="1" customWidth="1"/>
    <col min="15" max="15" width="19.7109375" bestFit="1" customWidth="1"/>
  </cols>
  <sheetData>
    <row r="3" spans="2:14" ht="13.5" thickBot="1">
      <c r="B3" s="121" t="s">
        <v>125</v>
      </c>
      <c r="C3" s="121" t="s">
        <v>126</v>
      </c>
      <c r="D3" s="121" t="s">
        <v>127</v>
      </c>
      <c r="E3" s="121" t="s">
        <v>128</v>
      </c>
      <c r="F3" s="121" t="s">
        <v>129</v>
      </c>
      <c r="G3" s="121" t="s">
        <v>130</v>
      </c>
      <c r="H3" s="121" t="s">
        <v>131</v>
      </c>
      <c r="I3" s="121"/>
      <c r="J3" s="121" t="s">
        <v>132</v>
      </c>
      <c r="K3" s="121" t="s">
        <v>133</v>
      </c>
      <c r="L3" s="121" t="s">
        <v>134</v>
      </c>
      <c r="M3" s="121" t="s">
        <v>135</v>
      </c>
      <c r="N3" s="121" t="s">
        <v>136</v>
      </c>
    </row>
    <row r="4" spans="2:14" ht="13.5" thickBot="1">
      <c r="B4" t="s">
        <v>137</v>
      </c>
      <c r="C4" s="122">
        <v>1</v>
      </c>
      <c r="D4" t="s">
        <v>142</v>
      </c>
      <c r="G4" t="s">
        <v>143</v>
      </c>
    </row>
    <row r="5" spans="2:14" ht="13.5" thickBot="1">
      <c r="C5" s="122">
        <v>2</v>
      </c>
      <c r="D5" t="s">
        <v>144</v>
      </c>
      <c r="G5" t="s">
        <v>145</v>
      </c>
      <c r="H5" s="126">
        <v>43212</v>
      </c>
      <c r="I5" s="112" t="s">
        <v>152</v>
      </c>
      <c r="J5">
        <v>375780</v>
      </c>
      <c r="N5">
        <f>H5+J5</f>
        <v>418992</v>
      </c>
    </row>
    <row r="6" spans="2:14" ht="15.75" thickBot="1">
      <c r="C6" s="122">
        <v>3</v>
      </c>
      <c r="D6" s="124" t="s">
        <v>146</v>
      </c>
      <c r="G6" t="s">
        <v>143</v>
      </c>
      <c r="H6" s="126"/>
      <c r="N6">
        <f t="shared" ref="N6:N42" si="0">H6+J6</f>
        <v>0</v>
      </c>
    </row>
    <row r="7" spans="2:14" ht="15.75" thickBot="1">
      <c r="C7" s="122">
        <v>4</v>
      </c>
      <c r="D7" s="124" t="s">
        <v>147</v>
      </c>
      <c r="G7" t="s">
        <v>143</v>
      </c>
      <c r="H7" s="126"/>
      <c r="N7">
        <f t="shared" si="0"/>
        <v>0</v>
      </c>
    </row>
    <row r="8" spans="2:14" ht="15.75" thickBot="1">
      <c r="C8" s="122">
        <v>5</v>
      </c>
      <c r="D8" s="124" t="s">
        <v>148</v>
      </c>
      <c r="G8" t="s">
        <v>143</v>
      </c>
      <c r="H8" s="126"/>
      <c r="N8">
        <f t="shared" si="0"/>
        <v>0</v>
      </c>
    </row>
    <row r="9" spans="2:14" ht="15.75" thickBot="1">
      <c r="C9" s="122">
        <v>6</v>
      </c>
      <c r="D9" s="124" t="s">
        <v>149</v>
      </c>
      <c r="G9" t="s">
        <v>143</v>
      </c>
      <c r="H9" s="126"/>
      <c r="N9">
        <f t="shared" si="0"/>
        <v>0</v>
      </c>
    </row>
    <row r="10" spans="2:14" ht="15.75" thickBot="1">
      <c r="C10" s="122">
        <v>7</v>
      </c>
      <c r="D10" s="125" t="s">
        <v>150</v>
      </c>
      <c r="N10">
        <f t="shared" si="0"/>
        <v>0</v>
      </c>
    </row>
    <row r="11" spans="2:14" ht="15.75" thickBot="1">
      <c r="C11" s="122">
        <v>8</v>
      </c>
      <c r="D11" s="124" t="s">
        <v>153</v>
      </c>
      <c r="G11" s="112" t="s">
        <v>151</v>
      </c>
      <c r="H11" s="127">
        <v>281335</v>
      </c>
      <c r="I11" s="112" t="s">
        <v>152</v>
      </c>
      <c r="J11" s="123">
        <v>184461</v>
      </c>
      <c r="N11">
        <f t="shared" si="0"/>
        <v>465796</v>
      </c>
    </row>
    <row r="12" spans="2:14" ht="15.75" thickBot="1">
      <c r="C12" s="122">
        <v>9</v>
      </c>
      <c r="D12" s="125" t="s">
        <v>154</v>
      </c>
      <c r="G12" s="112" t="s">
        <v>155</v>
      </c>
      <c r="H12" s="129">
        <v>39674</v>
      </c>
      <c r="J12" s="129">
        <v>173793</v>
      </c>
      <c r="N12">
        <f t="shared" si="0"/>
        <v>213467</v>
      </c>
    </row>
    <row r="13" spans="2:14" ht="15.75" thickBot="1">
      <c r="C13" s="122">
        <v>10</v>
      </c>
      <c r="D13" s="125" t="s">
        <v>156</v>
      </c>
      <c r="G13" s="112" t="s">
        <v>157</v>
      </c>
      <c r="H13" s="123">
        <v>184635</v>
      </c>
      <c r="J13" s="129">
        <v>803836</v>
      </c>
      <c r="N13">
        <f t="shared" si="0"/>
        <v>988471</v>
      </c>
    </row>
    <row r="14" spans="2:14" ht="15.75" thickBot="1">
      <c r="C14" s="122">
        <v>11</v>
      </c>
      <c r="D14" s="125" t="s">
        <v>158</v>
      </c>
      <c r="G14" s="112" t="s">
        <v>159</v>
      </c>
      <c r="H14" s="129">
        <v>98525</v>
      </c>
      <c r="J14" s="129">
        <v>246993</v>
      </c>
      <c r="N14">
        <f t="shared" si="0"/>
        <v>345518</v>
      </c>
    </row>
    <row r="15" spans="2:14" ht="15.75" thickBot="1">
      <c r="C15" s="122"/>
      <c r="D15" s="132"/>
      <c r="G15" s="112"/>
      <c r="H15" s="129"/>
      <c r="J15" s="129"/>
    </row>
    <row r="16" spans="2:14" ht="15.75" thickBot="1">
      <c r="B16" s="130" t="s">
        <v>138</v>
      </c>
      <c r="C16" s="122">
        <v>12</v>
      </c>
      <c r="D16" s="124" t="s">
        <v>160</v>
      </c>
      <c r="G16" s="112" t="s">
        <v>161</v>
      </c>
      <c r="H16" s="129">
        <v>148909</v>
      </c>
      <c r="J16" s="129">
        <v>113544</v>
      </c>
      <c r="N16">
        <f t="shared" si="0"/>
        <v>262453</v>
      </c>
    </row>
    <row r="17" spans="2:14" ht="15.75" thickBot="1">
      <c r="C17" s="122">
        <v>13</v>
      </c>
      <c r="D17" s="125" t="s">
        <v>162</v>
      </c>
      <c r="G17" s="112" t="s">
        <v>157</v>
      </c>
      <c r="H17" s="129">
        <v>28710</v>
      </c>
      <c r="J17" s="129">
        <v>44022</v>
      </c>
      <c r="N17">
        <f t="shared" si="0"/>
        <v>72732</v>
      </c>
    </row>
    <row r="18" spans="2:14" ht="15.75" thickBot="1">
      <c r="C18" s="122">
        <v>14</v>
      </c>
      <c r="D18" s="124" t="s">
        <v>163</v>
      </c>
      <c r="G18" s="112" t="s">
        <v>164</v>
      </c>
      <c r="H18" s="129">
        <v>94204</v>
      </c>
      <c r="J18" s="123">
        <v>197161</v>
      </c>
      <c r="N18">
        <f t="shared" si="0"/>
        <v>291365</v>
      </c>
    </row>
    <row r="19" spans="2:14" ht="15.75" thickBot="1">
      <c r="C19" s="122">
        <v>15</v>
      </c>
      <c r="D19" s="125" t="s">
        <v>165</v>
      </c>
      <c r="G19" s="112" t="s">
        <v>159</v>
      </c>
      <c r="H19" s="129">
        <v>19479</v>
      </c>
      <c r="J19" s="129">
        <v>7021</v>
      </c>
      <c r="N19">
        <f>H19+J19</f>
        <v>26500</v>
      </c>
    </row>
    <row r="20" spans="2:14" ht="15.75" thickBot="1">
      <c r="C20" s="122">
        <v>16</v>
      </c>
      <c r="D20" s="125" t="s">
        <v>166</v>
      </c>
      <c r="G20" s="112" t="s">
        <v>161</v>
      </c>
      <c r="H20" s="129">
        <v>175000</v>
      </c>
      <c r="J20" s="129">
        <v>405000</v>
      </c>
      <c r="N20">
        <f t="shared" si="0"/>
        <v>580000</v>
      </c>
    </row>
    <row r="21" spans="2:14" ht="15.75" thickBot="1">
      <c r="C21" s="122">
        <v>17</v>
      </c>
      <c r="D21" s="125" t="s">
        <v>167</v>
      </c>
      <c r="G21" s="112" t="s">
        <v>168</v>
      </c>
      <c r="H21" s="129">
        <v>338530</v>
      </c>
      <c r="J21" s="129">
        <v>2407328</v>
      </c>
      <c r="N21">
        <f t="shared" si="0"/>
        <v>2745858</v>
      </c>
    </row>
    <row r="22" spans="2:14" ht="15.75" thickBot="1">
      <c r="C22" s="122">
        <v>18</v>
      </c>
      <c r="D22" s="125" t="s">
        <v>169</v>
      </c>
      <c r="G22" s="112" t="s">
        <v>170</v>
      </c>
      <c r="H22" s="129">
        <v>192469</v>
      </c>
      <c r="J22" s="129">
        <v>14750</v>
      </c>
      <c r="N22">
        <f t="shared" si="0"/>
        <v>207219</v>
      </c>
    </row>
    <row r="23" spans="2:14" ht="15.75" thickBot="1">
      <c r="C23" s="122">
        <v>19</v>
      </c>
      <c r="D23" s="125" t="s">
        <v>171</v>
      </c>
      <c r="G23" s="112" t="s">
        <v>170</v>
      </c>
      <c r="H23" s="131">
        <v>1475</v>
      </c>
      <c r="J23" s="129">
        <v>56820</v>
      </c>
      <c r="N23">
        <f t="shared" si="0"/>
        <v>58295</v>
      </c>
    </row>
    <row r="24" spans="2:14" ht="15.75" thickBot="1">
      <c r="C24" s="122">
        <v>20</v>
      </c>
      <c r="D24" s="124" t="s">
        <v>172</v>
      </c>
      <c r="G24" s="112" t="s">
        <v>170</v>
      </c>
      <c r="H24" s="129">
        <v>170372</v>
      </c>
      <c r="J24" s="129">
        <v>6637</v>
      </c>
      <c r="N24">
        <f t="shared" si="0"/>
        <v>177009</v>
      </c>
    </row>
    <row r="25" spans="2:14" ht="15.75" thickBot="1">
      <c r="C25" s="122">
        <v>21</v>
      </c>
      <c r="D25" s="124" t="s">
        <v>173</v>
      </c>
      <c r="G25" s="112" t="s">
        <v>174</v>
      </c>
      <c r="H25" s="129">
        <v>274355</v>
      </c>
      <c r="J25" s="129">
        <v>640162</v>
      </c>
      <c r="N25">
        <f t="shared" si="0"/>
        <v>914517</v>
      </c>
    </row>
    <row r="26" spans="2:14" ht="15">
      <c r="C26" s="122">
        <v>22</v>
      </c>
      <c r="D26" s="125" t="s">
        <v>175</v>
      </c>
      <c r="G26" s="112" t="s">
        <v>176</v>
      </c>
      <c r="H26" s="129">
        <v>191459</v>
      </c>
      <c r="J26" s="129">
        <v>616213</v>
      </c>
      <c r="N26">
        <f t="shared" si="0"/>
        <v>807672</v>
      </c>
    </row>
    <row r="27" spans="2:14">
      <c r="G27" s="112"/>
      <c r="H27" s="128">
        <f>SUM(H16:H26)</f>
        <v>1634962</v>
      </c>
      <c r="N27">
        <f t="shared" si="0"/>
        <v>1634962</v>
      </c>
    </row>
    <row r="28" spans="2:14">
      <c r="G28" s="112"/>
    </row>
    <row r="29" spans="2:14" ht="15">
      <c r="B29" s="130" t="s">
        <v>139</v>
      </c>
      <c r="D29" s="125" t="s">
        <v>194</v>
      </c>
      <c r="G29" s="112" t="s">
        <v>177</v>
      </c>
      <c r="H29" s="129">
        <v>2873469</v>
      </c>
      <c r="N29">
        <f t="shared" si="0"/>
        <v>2873469</v>
      </c>
    </row>
    <row r="30" spans="2:14" ht="15">
      <c r="D30" s="125" t="s">
        <v>191</v>
      </c>
      <c r="G30" s="124" t="s">
        <v>143</v>
      </c>
      <c r="N30">
        <f t="shared" si="0"/>
        <v>0</v>
      </c>
    </row>
    <row r="31" spans="2:14" ht="15">
      <c r="D31" s="125" t="s">
        <v>193</v>
      </c>
      <c r="G31" s="112" t="s">
        <v>192</v>
      </c>
      <c r="H31" s="129">
        <v>10721</v>
      </c>
      <c r="N31">
        <f t="shared" si="0"/>
        <v>10721</v>
      </c>
    </row>
    <row r="32" spans="2:14" ht="15">
      <c r="D32" s="124" t="s">
        <v>195</v>
      </c>
      <c r="G32" s="112" t="s">
        <v>192</v>
      </c>
      <c r="H32" s="129">
        <v>10721</v>
      </c>
      <c r="N32">
        <f t="shared" si="0"/>
        <v>10721</v>
      </c>
    </row>
    <row r="33" spans="2:15" ht="15">
      <c r="D33" s="124"/>
      <c r="G33" s="112"/>
      <c r="H33" s="129">
        <f>SUM(H29:H32)</f>
        <v>2894911</v>
      </c>
      <c r="N33">
        <f t="shared" si="0"/>
        <v>2894911</v>
      </c>
    </row>
    <row r="35" spans="2:15" ht="15">
      <c r="B35" s="130" t="s">
        <v>140</v>
      </c>
      <c r="D35" s="124" t="s">
        <v>178</v>
      </c>
      <c r="G35" s="112" t="s">
        <v>179</v>
      </c>
    </row>
    <row r="36" spans="2:15" ht="15">
      <c r="D36" s="125" t="s">
        <v>181</v>
      </c>
      <c r="G36" s="124" t="s">
        <v>180</v>
      </c>
      <c r="H36" s="129">
        <v>67427</v>
      </c>
      <c r="J36" s="129">
        <v>157330</v>
      </c>
      <c r="N36">
        <f t="shared" si="0"/>
        <v>224757</v>
      </c>
    </row>
    <row r="37" spans="2:15" ht="15">
      <c r="D37" s="125" t="s">
        <v>182</v>
      </c>
      <c r="G37" s="124" t="s">
        <v>180</v>
      </c>
      <c r="H37" s="129">
        <v>298862</v>
      </c>
      <c r="J37" s="129">
        <v>711086</v>
      </c>
      <c r="N37">
        <f t="shared" si="0"/>
        <v>1009948</v>
      </c>
    </row>
    <row r="38" spans="2:15" ht="21" customHeight="1">
      <c r="D38" s="124" t="s">
        <v>183</v>
      </c>
      <c r="G38" s="124" t="s">
        <v>180</v>
      </c>
      <c r="H38" s="129">
        <v>203063</v>
      </c>
      <c r="J38" s="129">
        <v>493153</v>
      </c>
      <c r="N38">
        <f t="shared" si="0"/>
        <v>696216</v>
      </c>
    </row>
    <row r="39" spans="2:15" ht="15">
      <c r="D39" s="125" t="s">
        <v>184</v>
      </c>
      <c r="G39" s="124" t="s">
        <v>180</v>
      </c>
      <c r="H39" s="129">
        <v>169872</v>
      </c>
      <c r="J39" s="129">
        <v>396368</v>
      </c>
      <c r="N39">
        <f t="shared" si="0"/>
        <v>566240</v>
      </c>
    </row>
    <row r="40" spans="2:15" ht="15">
      <c r="D40" s="125" t="s">
        <v>185</v>
      </c>
      <c r="G40" s="124" t="s">
        <v>186</v>
      </c>
      <c r="H40" s="129">
        <v>145611</v>
      </c>
      <c r="J40" s="129">
        <v>339760</v>
      </c>
      <c r="N40">
        <f t="shared" si="0"/>
        <v>485371</v>
      </c>
    </row>
    <row r="41" spans="2:15" ht="15">
      <c r="D41" s="125" t="s">
        <v>188</v>
      </c>
      <c r="G41" s="124" t="s">
        <v>187</v>
      </c>
      <c r="H41" s="129">
        <v>124563</v>
      </c>
      <c r="J41" s="129">
        <v>290648</v>
      </c>
      <c r="N41">
        <f t="shared" si="0"/>
        <v>415211</v>
      </c>
    </row>
    <row r="42" spans="2:15" ht="15">
      <c r="D42" s="125" t="s">
        <v>189</v>
      </c>
      <c r="G42" s="124" t="s">
        <v>180</v>
      </c>
      <c r="H42" s="129">
        <v>409595</v>
      </c>
      <c r="J42" s="129">
        <v>2227223</v>
      </c>
      <c r="N42">
        <f t="shared" si="0"/>
        <v>2636818</v>
      </c>
      <c r="O42" s="112" t="s">
        <v>190</v>
      </c>
    </row>
    <row r="43" spans="2:15">
      <c r="H43" s="128">
        <f>SUM(H36:H42)</f>
        <v>1418993</v>
      </c>
      <c r="J43" s="128">
        <f>SUM(J36:J42)</f>
        <v>4615568</v>
      </c>
      <c r="K43" s="128">
        <f>H43+J43</f>
        <v>6034561</v>
      </c>
    </row>
  </sheetData>
  <phoneticPr fontId="2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23AA6-4A6D-4656-B8D5-9DF972CB25C9}">
  <sheetPr>
    <tabColor theme="6" tint="-0.249977111117893"/>
  </sheetPr>
  <dimension ref="B2:T44"/>
  <sheetViews>
    <sheetView workbookViewId="0">
      <selection activeCell="O11" sqref="O11"/>
    </sheetView>
  </sheetViews>
  <sheetFormatPr defaultRowHeight="12.75"/>
  <cols>
    <col min="2" max="2" width="39.5703125" customWidth="1"/>
    <col min="3" max="3" width="10.7109375" bestFit="1" customWidth="1"/>
    <col min="4" max="4" width="9.85546875" bestFit="1" customWidth="1"/>
    <col min="5" max="8" width="14" bestFit="1" customWidth="1"/>
    <col min="9" max="12" width="15" bestFit="1" customWidth="1"/>
    <col min="13" max="14" width="12" bestFit="1" customWidth="1"/>
    <col min="15" max="16" width="12.28515625" bestFit="1" customWidth="1"/>
    <col min="17" max="17" width="35.28515625" customWidth="1"/>
    <col min="18" max="18" width="12.140625" customWidth="1"/>
    <col min="19" max="19" width="15.5703125" bestFit="1" customWidth="1"/>
    <col min="20" max="20" width="15" style="152" bestFit="1" customWidth="1"/>
  </cols>
  <sheetData>
    <row r="2" spans="2:20">
      <c r="B2" s="1"/>
      <c r="C2" s="46"/>
      <c r="D2" s="46" t="s">
        <v>2</v>
      </c>
      <c r="E2" s="306" t="s">
        <v>3</v>
      </c>
      <c r="F2" s="300"/>
      <c r="G2" s="300"/>
      <c r="H2" s="401" t="s">
        <v>198</v>
      </c>
      <c r="I2" s="244"/>
      <c r="J2" s="244"/>
      <c r="K2" s="174" t="s">
        <v>221</v>
      </c>
      <c r="L2" s="174"/>
      <c r="M2" s="174"/>
      <c r="N2" s="174"/>
    </row>
    <row r="3" spans="2:20" ht="13.5" thickBot="1">
      <c r="B3" s="8"/>
      <c r="C3" s="604"/>
      <c r="D3" s="605" t="s">
        <v>124</v>
      </c>
      <c r="E3" s="606">
        <v>2024</v>
      </c>
      <c r="F3" s="607">
        <f>E3+1</f>
        <v>2025</v>
      </c>
      <c r="G3" s="607">
        <f t="shared" ref="G3:N3" si="0">F3+1</f>
        <v>2026</v>
      </c>
      <c r="H3" s="608">
        <f t="shared" si="0"/>
        <v>2027</v>
      </c>
      <c r="I3" s="608">
        <f t="shared" si="0"/>
        <v>2028</v>
      </c>
      <c r="J3" s="608">
        <f t="shared" si="0"/>
        <v>2029</v>
      </c>
      <c r="K3" s="609">
        <f t="shared" si="0"/>
        <v>2030</v>
      </c>
      <c r="L3" s="609">
        <f t="shared" si="0"/>
        <v>2031</v>
      </c>
      <c r="M3" s="609">
        <f t="shared" si="0"/>
        <v>2032</v>
      </c>
      <c r="N3" s="609">
        <f t="shared" si="0"/>
        <v>2033</v>
      </c>
      <c r="O3" s="112" t="s">
        <v>288</v>
      </c>
      <c r="P3" s="112" t="s">
        <v>52</v>
      </c>
      <c r="Q3" s="112" t="s">
        <v>252</v>
      </c>
      <c r="S3" s="112" t="s">
        <v>259</v>
      </c>
      <c r="T3" s="152">
        <v>0.65</v>
      </c>
    </row>
    <row r="4" spans="2:20">
      <c r="B4" s="610" t="s">
        <v>255</v>
      </c>
      <c r="C4" s="611"/>
      <c r="D4" s="611"/>
      <c r="E4" s="612">
        <f>'2.Market-rate Rental Housing'!D22+'3.Market-rate For-Sale Housing'!D22+'4.Affordable Rental Housing'!D21+'5.Office_Commercial'!D19+'6.Retail '!D23+'8.Community Space'!D20+'9.Structured Parking'!D33+'10.Parking-Underground'!D33</f>
        <v>140454690.56373832</v>
      </c>
      <c r="F4" s="612">
        <f>'2.Market-rate Rental Housing'!E22+'3.Market-rate For-Sale Housing'!E22+'4.Affordable Rental Housing'!E21+'5.Office_Commercial'!E19+'6.Retail '!E23+'8.Community Space'!E20+'9.Structured Parking'!E33+'10.Parking-Underground'!E33</f>
        <v>133192206.04818</v>
      </c>
      <c r="G4" s="612">
        <f>'2.Market-rate Rental Housing'!F22+'3.Market-rate For-Sale Housing'!F22+'4.Affordable Rental Housing'!F21+'5.Office_Commercial'!F19+'6.Retail '!F23+'8.Community Space'!F20+'9.Structured Parking'!F33+'10.Parking-Underground'!F33</f>
        <v>0</v>
      </c>
      <c r="H4" s="613">
        <f>'2.Market-rate Rental Housing'!G22+'3.Market-rate For-Sale Housing'!G22+'4.Affordable Rental Housing'!G21+'5.Office_Commercial'!G19+'6.Retail '!G23+'8.Community Space'!G20+'9.Structured Parking'!G33+'10.Parking-Underground'!G33</f>
        <v>184776274.24500677</v>
      </c>
      <c r="I4" s="613">
        <f>'2.Market-rate Rental Housing'!H22+'3.Market-rate For-Sale Housing'!H22+'4.Affordable Rental Housing'!H21+'5.Office_Commercial'!H19+'6.Retail '!H23+'8.Community Space'!H20+'9.Structured Parking'!H33+'10.Parking-Underground'!H33</f>
        <v>180995833.10668579</v>
      </c>
      <c r="J4" s="613">
        <f>'2.Market-rate Rental Housing'!I22+'3.Market-rate For-Sale Housing'!I22+'4.Affordable Rental Housing'!I21+'5.Office_Commercial'!I19+'6.Retail '!I23+'8.Community Space'!I20+'9.Structured Parking'!I33+'10.Parking-Underground'!I33</f>
        <v>0</v>
      </c>
      <c r="K4" s="614">
        <f>'2.Market-rate Rental Housing'!J22+'3.Market-rate For-Sale Housing'!J22+'4.Affordable Rental Housing'!J21+'5.Office_Commercial'!J19+'6.Retail '!J23+'8.Community Space'!J20+'9.Structured Parking'!J33+'10.Parking-Underground'!J33</f>
        <v>53867500.954159126</v>
      </c>
      <c r="L4" s="614">
        <f>'2.Market-rate Rental Housing'!K22+'3.Market-rate For-Sale Housing'!K22+'4.Affordable Rental Housing'!K21+'5.Office_Commercial'!K19+'6.Retail '!K23+'8.Community Space'!K20+'9.Structured Parking'!K33+'10.Parking-Underground'!K33</f>
        <v>52015404.66967231</v>
      </c>
      <c r="M4" s="614">
        <f>'2.Market-rate Rental Housing'!L22+'3.Market-rate For-Sale Housing'!L22+'4.Affordable Rental Housing'!L21+'5.Office_Commercial'!L19+'6.Retail '!L23+'8.Community Space'!L20+'9.Structured Parking'!L33+'10.Parking-Underground'!L33</f>
        <v>0</v>
      </c>
      <c r="N4" s="615">
        <f>'2.Market-rate Rental Housing'!M22+'3.Market-rate For-Sale Housing'!M22+'4.Affordable Rental Housing'!M21+'5.Office_Commercial'!M19+'6.Retail '!M23+'8.Community Space'!M20+'9.Structured Parking'!M33+'10.Parking-Underground'!M33</f>
        <v>0</v>
      </c>
      <c r="O4" s="134">
        <f>SUM(E4:N4)</f>
        <v>745301909.5874424</v>
      </c>
      <c r="P4" s="134">
        <f>SUM(O4:O6)</f>
        <v>933477738.76582122</v>
      </c>
      <c r="S4" s="112" t="s">
        <v>260</v>
      </c>
      <c r="T4" s="152">
        <v>7.0000000000000007E-2</v>
      </c>
    </row>
    <row r="5" spans="2:20">
      <c r="B5" s="569" t="s">
        <v>256</v>
      </c>
      <c r="C5" s="20"/>
      <c r="D5" s="20"/>
      <c r="E5" s="308">
        <f>'Summary Board'!D39+'Summary Board'!D40</f>
        <v>2800000</v>
      </c>
      <c r="F5" s="308">
        <f>'Summary Board'!E39+'Summary Board'!E40</f>
        <v>0</v>
      </c>
      <c r="G5" s="308">
        <f>'Summary Board'!F39+'Summary Board'!F40</f>
        <v>0</v>
      </c>
      <c r="H5" s="388">
        <f>'Summary Board'!G39+'Summary Board'!G40</f>
        <v>4000000</v>
      </c>
      <c r="I5" s="388">
        <f>'Summary Board'!H39+'Summary Board'!H40</f>
        <v>4000000</v>
      </c>
      <c r="J5" s="388">
        <f>'Summary Board'!I39+'Summary Board'!I40</f>
        <v>4000000</v>
      </c>
      <c r="K5" s="473">
        <f>'Summary Board'!J39+'Summary Board'!J40</f>
        <v>12000000</v>
      </c>
      <c r="L5" s="473">
        <f>'Summary Board'!K39+'Summary Board'!K40</f>
        <v>6000000</v>
      </c>
      <c r="M5" s="473">
        <f>'Summary Board'!L39+'Summary Board'!L40</f>
        <v>6000000</v>
      </c>
      <c r="N5" s="616">
        <f>'Summary Board'!M39+'Summary Board'!M40</f>
        <v>6000000</v>
      </c>
      <c r="O5" s="134">
        <f>SUM(E5:N5)</f>
        <v>44800000</v>
      </c>
      <c r="S5" s="112" t="s">
        <v>261</v>
      </c>
      <c r="T5" s="152">
        <v>0.01</v>
      </c>
    </row>
    <row r="6" spans="2:20">
      <c r="B6" s="617" t="s">
        <v>257</v>
      </c>
      <c r="C6" s="286"/>
      <c r="D6" s="52"/>
      <c r="E6" s="309">
        <f>'1.Infrastructure Costs'!E26</f>
        <v>6002927.921755</v>
      </c>
      <c r="F6" s="309">
        <f>'1.Infrastructure Costs'!F26</f>
        <v>49243155.782499999</v>
      </c>
      <c r="G6" s="309">
        <f>'1.Infrastructure Costs'!G26</f>
        <v>500000</v>
      </c>
      <c r="H6" s="392">
        <f>'1.Infrastructure Costs'!H26</f>
        <v>12714454.748169998</v>
      </c>
      <c r="I6" s="392">
        <f>'1.Infrastructure Costs'!I26</f>
        <v>13257508.746499998</v>
      </c>
      <c r="J6" s="392">
        <f>'1.Infrastructure Costs'!J26</f>
        <v>2025000</v>
      </c>
      <c r="K6" s="477">
        <f>'1.Infrastructure Costs'!K26</f>
        <v>29417300.488085661</v>
      </c>
      <c r="L6" s="477">
        <f>'1.Infrastructure Costs'!L26</f>
        <v>28215481.49136823</v>
      </c>
      <c r="M6" s="477">
        <f>'1.Infrastructure Costs'!M26</f>
        <v>2000000</v>
      </c>
      <c r="N6" s="618">
        <f>'1.Infrastructure Costs'!N26</f>
        <v>0</v>
      </c>
      <c r="O6" s="134">
        <f>SUM(E6:N6)</f>
        <v>143375829.17837888</v>
      </c>
    </row>
    <row r="7" spans="2:20">
      <c r="B7" s="619" t="s">
        <v>258</v>
      </c>
      <c r="C7" s="284"/>
      <c r="D7" s="284"/>
      <c r="E7" s="310"/>
      <c r="F7" s="311"/>
      <c r="G7" s="311"/>
      <c r="H7" s="546"/>
      <c r="I7" s="546"/>
      <c r="J7" s="546"/>
      <c r="K7" s="556"/>
      <c r="L7" s="556"/>
      <c r="M7" s="556"/>
      <c r="N7" s="620"/>
      <c r="Q7" s="112" t="s">
        <v>262</v>
      </c>
      <c r="S7" s="112" t="s">
        <v>260</v>
      </c>
      <c r="T7" s="152">
        <v>0.12</v>
      </c>
    </row>
    <row r="8" spans="2:20">
      <c r="B8" s="621" t="s">
        <v>252</v>
      </c>
      <c r="C8" s="285">
        <f>S28</f>
        <v>634764862.36075842</v>
      </c>
      <c r="D8" s="50"/>
      <c r="E8" s="312">
        <f>SUM(E4:E6)-SUM(E9:E17)</f>
        <v>82826510.823493302</v>
      </c>
      <c r="F8" s="312">
        <f>SUM(F4:F6)-SUM(F9:F17)</f>
        <v>155213050.93882</v>
      </c>
      <c r="G8" s="312">
        <f t="shared" ref="G8:K8" si="1">SUM(G4:G6)*0.7</f>
        <v>350000</v>
      </c>
      <c r="H8" s="547">
        <f t="shared" si="1"/>
        <v>141043510.29522371</v>
      </c>
      <c r="I8" s="547">
        <f t="shared" si="1"/>
        <v>138777339.29723004</v>
      </c>
      <c r="J8" s="547">
        <f t="shared" si="1"/>
        <v>4217500</v>
      </c>
      <c r="K8" s="480">
        <f t="shared" si="1"/>
        <v>66699361.009571344</v>
      </c>
      <c r="L8" s="480">
        <f>C8-SUM(E8:K8)</f>
        <v>45637589.996420026</v>
      </c>
      <c r="M8" s="483"/>
      <c r="N8" s="571"/>
      <c r="O8" s="287"/>
    </row>
    <row r="9" spans="2:20" ht="25.5">
      <c r="B9" s="621" t="s">
        <v>273</v>
      </c>
      <c r="C9" s="285">
        <f t="shared" ref="C9:C18" si="2">S29</f>
        <v>6000000</v>
      </c>
      <c r="D9" s="50"/>
      <c r="E9" s="312">
        <f>C9</f>
        <v>6000000</v>
      </c>
      <c r="F9" s="313"/>
      <c r="G9" s="313"/>
      <c r="H9" s="406"/>
      <c r="I9" s="548"/>
      <c r="J9" s="548"/>
      <c r="K9" s="478"/>
      <c r="L9" s="478"/>
      <c r="M9" s="478"/>
      <c r="N9" s="622"/>
      <c r="Q9" s="112" t="s">
        <v>263</v>
      </c>
      <c r="S9" s="112" t="s">
        <v>260</v>
      </c>
      <c r="T9" s="152">
        <v>0.06</v>
      </c>
    </row>
    <row r="10" spans="2:20">
      <c r="B10" s="621" t="s">
        <v>265</v>
      </c>
      <c r="C10" s="285">
        <f t="shared" si="2"/>
        <v>5000000</v>
      </c>
      <c r="D10" s="50"/>
      <c r="E10" s="312">
        <f t="shared" ref="E10:E16" si="3">C10</f>
        <v>5000000</v>
      </c>
      <c r="F10" s="314"/>
      <c r="G10" s="314"/>
      <c r="H10" s="549"/>
      <c r="I10" s="549"/>
      <c r="J10" s="549"/>
      <c r="K10" s="557"/>
      <c r="L10" s="557"/>
      <c r="M10" s="557"/>
      <c r="N10" s="623"/>
      <c r="O10" s="708"/>
    </row>
    <row r="11" spans="2:20">
      <c r="B11" s="621" t="s">
        <v>263</v>
      </c>
      <c r="C11" s="285">
        <f t="shared" si="2"/>
        <v>18000000</v>
      </c>
      <c r="D11" s="50"/>
      <c r="E11" s="312">
        <f t="shared" si="3"/>
        <v>18000000</v>
      </c>
      <c r="F11" s="315"/>
      <c r="G11" s="315"/>
      <c r="H11" s="550"/>
      <c r="I11" s="550"/>
      <c r="J11" s="550"/>
      <c r="K11" s="558"/>
      <c r="L11" s="558"/>
      <c r="M11" s="558"/>
      <c r="N11" s="624"/>
      <c r="Q11" s="112" t="s">
        <v>264</v>
      </c>
      <c r="S11" s="112" t="s">
        <v>260</v>
      </c>
      <c r="T11" s="152">
        <v>0.06</v>
      </c>
    </row>
    <row r="12" spans="2:20">
      <c r="B12" s="621" t="s">
        <v>274</v>
      </c>
      <c r="C12" s="285">
        <f t="shared" si="2"/>
        <v>14684769.204142297</v>
      </c>
      <c r="D12" s="285"/>
      <c r="E12" s="312">
        <f>'6.Retail '!D23</f>
        <v>3386107.6619999995</v>
      </c>
      <c r="F12" s="312">
        <f>'6.Retail '!E23</f>
        <v>3487690.8918599994</v>
      </c>
      <c r="G12" s="312">
        <f>'6.Retail '!F23</f>
        <v>0</v>
      </c>
      <c r="H12" s="547">
        <f>'6.Retail '!G23</f>
        <v>3005662.5418453622</v>
      </c>
      <c r="I12" s="547">
        <f>'6.Retail '!H23</f>
        <v>3095832.4181007226</v>
      </c>
      <c r="J12" s="547">
        <f>'6.Retail '!I23</f>
        <v>0</v>
      </c>
      <c r="K12" s="480">
        <f>'6.Retail '!J23</f>
        <v>842106.25139714906</v>
      </c>
      <c r="L12" s="480">
        <f>'6.Retail '!K23</f>
        <v>867369.43893906358</v>
      </c>
      <c r="M12" s="480">
        <f>'6.Retail '!L23</f>
        <v>0</v>
      </c>
      <c r="N12" s="625">
        <f>'6.Retail '!M23</f>
        <v>0</v>
      </c>
      <c r="O12" s="134"/>
    </row>
    <row r="13" spans="2:20">
      <c r="B13" s="621" t="s">
        <v>248</v>
      </c>
      <c r="C13" s="285">
        <f t="shared" si="2"/>
        <v>15000000</v>
      </c>
      <c r="D13" s="50"/>
      <c r="E13" s="312">
        <f t="shared" si="3"/>
        <v>15000000</v>
      </c>
      <c r="F13" s="313"/>
      <c r="G13" s="313"/>
      <c r="H13" s="406"/>
      <c r="I13" s="406"/>
      <c r="J13" s="406"/>
      <c r="K13" s="483"/>
      <c r="L13" s="483"/>
      <c r="M13" s="483"/>
      <c r="N13" s="571"/>
      <c r="Q13" t="s">
        <v>248</v>
      </c>
      <c r="S13" s="112" t="s">
        <v>260</v>
      </c>
      <c r="T13" s="152">
        <v>0.06</v>
      </c>
    </row>
    <row r="14" spans="2:20" ht="15.75" customHeight="1">
      <c r="B14" s="621" t="s">
        <v>276</v>
      </c>
      <c r="C14" s="285">
        <f t="shared" si="2"/>
        <v>15000000</v>
      </c>
      <c r="D14" s="50"/>
      <c r="E14" s="312">
        <f t="shared" si="3"/>
        <v>15000000</v>
      </c>
      <c r="F14" s="313"/>
      <c r="G14" s="313"/>
      <c r="H14" s="406"/>
      <c r="I14" s="406"/>
      <c r="J14" s="406"/>
      <c r="K14" s="483"/>
      <c r="L14" s="483"/>
      <c r="M14" s="483"/>
      <c r="N14" s="571"/>
    </row>
    <row r="15" spans="2:20">
      <c r="B15" s="626" t="s">
        <v>253</v>
      </c>
      <c r="C15" s="285">
        <f t="shared" si="2"/>
        <v>40000</v>
      </c>
      <c r="D15" s="50"/>
      <c r="E15" s="312">
        <f t="shared" si="3"/>
        <v>40000</v>
      </c>
      <c r="F15" s="313"/>
      <c r="G15" s="313"/>
      <c r="H15" s="406"/>
      <c r="I15" s="548"/>
      <c r="J15" s="548"/>
      <c r="K15" s="478"/>
      <c r="L15" s="478"/>
      <c r="M15" s="478"/>
      <c r="N15" s="622"/>
    </row>
    <row r="16" spans="2:20">
      <c r="B16" s="579" t="s">
        <v>275</v>
      </c>
      <c r="C16" s="285">
        <f t="shared" si="2"/>
        <v>4005000</v>
      </c>
      <c r="D16" s="50"/>
      <c r="E16" s="312">
        <f t="shared" si="3"/>
        <v>4005000</v>
      </c>
      <c r="F16" s="313"/>
      <c r="G16" s="313"/>
      <c r="H16" s="406"/>
      <c r="I16" s="548"/>
      <c r="J16" s="548"/>
      <c r="K16" s="478"/>
      <c r="L16" s="478"/>
      <c r="M16" s="478"/>
      <c r="N16" s="622"/>
    </row>
    <row r="17" spans="2:20">
      <c r="B17" s="627" t="s">
        <v>251</v>
      </c>
      <c r="C17" s="285">
        <f t="shared" si="2"/>
        <v>74795050.742353201</v>
      </c>
      <c r="D17" s="50"/>
      <c r="E17" s="313">
        <f>'4.Affordable Rental Housing'!D24</f>
        <v>0</v>
      </c>
      <c r="F17" s="313">
        <f>'4.Affordable Rental Housing'!E24</f>
        <v>23734620</v>
      </c>
      <c r="G17" s="313">
        <f>'4.Affordable Rental Housing'!F24</f>
        <v>24446658.599999998</v>
      </c>
      <c r="H17" s="406">
        <f>'4.Affordable Rental Housing'!G24</f>
        <v>0</v>
      </c>
      <c r="I17" s="406">
        <f>'4.Affordable Rental Housing'!H24</f>
        <v>13110232.58244</v>
      </c>
      <c r="J17" s="406">
        <f>'4.Affordable Rental Housing'!I24</f>
        <v>13503539.559913199</v>
      </c>
      <c r="K17" s="483">
        <f>'4.Affordable Rental Housing'!J24</f>
        <v>0</v>
      </c>
      <c r="L17" s="483">
        <f>'4.Affordable Rental Housing'!K24</f>
        <v>0</v>
      </c>
      <c r="M17" s="483">
        <f>'4.Affordable Rental Housing'!L24</f>
        <v>0</v>
      </c>
      <c r="N17" s="571">
        <f>'4.Affordable Rental Housing'!M24</f>
        <v>0</v>
      </c>
      <c r="O17" s="157"/>
    </row>
    <row r="18" spans="2:20" ht="13.5" thickBot="1">
      <c r="B18" s="628" t="s">
        <v>254</v>
      </c>
      <c r="C18" s="629">
        <f t="shared" si="2"/>
        <v>146188056.45856726</v>
      </c>
      <c r="D18" s="630"/>
      <c r="E18" s="631">
        <f t="shared" ref="E18:F18" si="4">SUM(E4:E6)-SUM(E8:E17)</f>
        <v>0</v>
      </c>
      <c r="F18" s="631">
        <f t="shared" si="4"/>
        <v>0</v>
      </c>
      <c r="G18" s="631">
        <f>SUM(G4:G6)-SUM(G8:G17)</f>
        <v>-24296658.599999998</v>
      </c>
      <c r="H18" s="632">
        <f t="shared" ref="H18:N18" si="5">SUM(H4:H6)-SUM(H8:H17)</f>
        <v>57441556.156107694</v>
      </c>
      <c r="I18" s="632">
        <f t="shared" si="5"/>
        <v>43269937.555415034</v>
      </c>
      <c r="J18" s="632">
        <f t="shared" si="5"/>
        <v>-11696039.559913199</v>
      </c>
      <c r="K18" s="633">
        <f t="shared" si="5"/>
        <v>27743334.181276292</v>
      </c>
      <c r="L18" s="633">
        <f t="shared" si="5"/>
        <v>39725926.725681454</v>
      </c>
      <c r="M18" s="633">
        <f t="shared" si="5"/>
        <v>8000000</v>
      </c>
      <c r="N18" s="634">
        <f t="shared" si="5"/>
        <v>6000000</v>
      </c>
      <c r="O18" s="134">
        <f>SUM(E18:N18)</f>
        <v>146188056.45856726</v>
      </c>
    </row>
    <row r="19" spans="2:20" ht="13.5" thickBot="1">
      <c r="B19" s="283"/>
      <c r="C19" s="50"/>
      <c r="D19" s="50"/>
      <c r="E19" s="317"/>
      <c r="F19" s="313"/>
      <c r="G19" s="313"/>
      <c r="H19" s="406"/>
      <c r="I19" s="406"/>
      <c r="J19" s="406"/>
      <c r="K19" s="483"/>
      <c r="L19" s="483"/>
      <c r="M19" s="483"/>
      <c r="N19" s="483"/>
    </row>
    <row r="20" spans="2:20">
      <c r="B20" s="577" t="s">
        <v>252</v>
      </c>
      <c r="C20" s="578"/>
      <c r="D20" s="563"/>
      <c r="E20" s="564"/>
      <c r="F20" s="565"/>
      <c r="G20" s="565"/>
      <c r="H20" s="566"/>
      <c r="I20" s="566"/>
      <c r="J20" s="566"/>
      <c r="K20" s="567"/>
      <c r="L20" s="567"/>
      <c r="M20" s="567"/>
      <c r="N20" s="568"/>
    </row>
    <row r="21" spans="2:20" ht="16.5" customHeight="1">
      <c r="B21" s="579"/>
      <c r="C21" s="278" t="s">
        <v>267</v>
      </c>
      <c r="D21" s="218"/>
      <c r="E21" s="318">
        <f>E8</f>
        <v>82826510.823493302</v>
      </c>
      <c r="F21" s="318">
        <f t="shared" ref="F21:L21" si="6">F8</f>
        <v>155213050.93882</v>
      </c>
      <c r="G21" s="318">
        <f t="shared" si="6"/>
        <v>350000</v>
      </c>
      <c r="H21" s="551">
        <f t="shared" si="6"/>
        <v>141043510.29522371</v>
      </c>
      <c r="I21" s="551">
        <f t="shared" si="6"/>
        <v>138777339.29723004</v>
      </c>
      <c r="J21" s="551">
        <f t="shared" si="6"/>
        <v>4217500</v>
      </c>
      <c r="K21" s="559">
        <f t="shared" si="6"/>
        <v>66699361.009571344</v>
      </c>
      <c r="L21" s="559">
        <f t="shared" si="6"/>
        <v>45637589.996420026</v>
      </c>
      <c r="M21" s="559"/>
      <c r="N21" s="570"/>
    </row>
    <row r="22" spans="2:20">
      <c r="B22" s="579"/>
      <c r="C22" s="278" t="s">
        <v>268</v>
      </c>
      <c r="D22" s="218"/>
      <c r="E22" s="318"/>
      <c r="F22" s="292"/>
      <c r="G22" s="305">
        <f>'3.Market-rate For-Sale Housing'!F26-'Finance Schedule'!G31</f>
        <v>104954801.44614001</v>
      </c>
      <c r="H22" s="409"/>
      <c r="I22" s="409"/>
      <c r="J22" s="552">
        <f>'2.Market-rate Rental Housing'!I28-'Finance Schedule'!J31+'4.Affordable Rental Housing'!I28+'5.Office_Commercial'!I25+'6.Retail '!I29+'8.Community Space'!I26+'9.Structured Parking'!I39+'9.Structured Parking'!H39+'10.Parking-Underground'!I39+'10.Parking-Underground'!H39</f>
        <v>52855091.935799308</v>
      </c>
      <c r="K22" s="495"/>
      <c r="L22" s="495"/>
      <c r="M22" s="560"/>
      <c r="N22" s="665">
        <f>M23</f>
        <v>476954968.97881913</v>
      </c>
    </row>
    <row r="23" spans="2:20" ht="16.5" customHeight="1">
      <c r="B23" s="579"/>
      <c r="C23" s="278" t="s">
        <v>269</v>
      </c>
      <c r="D23" s="218"/>
      <c r="E23" s="318">
        <f>E21</f>
        <v>82826510.823493302</v>
      </c>
      <c r="F23" s="313">
        <f>F21+E23-F22</f>
        <v>238039561.76231331</v>
      </c>
      <c r="G23" s="313">
        <f t="shared" ref="G23:M23" si="7">G21+F23-G22</f>
        <v>133434760.3161733</v>
      </c>
      <c r="H23" s="406">
        <f t="shared" si="7"/>
        <v>274478270.61139703</v>
      </c>
      <c r="I23" s="406">
        <f t="shared" si="7"/>
        <v>413255609.90862703</v>
      </c>
      <c r="J23" s="406">
        <f t="shared" si="7"/>
        <v>364618017.97282773</v>
      </c>
      <c r="K23" s="483">
        <f t="shared" si="7"/>
        <v>431317378.98239911</v>
      </c>
      <c r="L23" s="483">
        <f t="shared" si="7"/>
        <v>476954968.97881913</v>
      </c>
      <c r="M23" s="483">
        <f t="shared" si="7"/>
        <v>476954968.97881913</v>
      </c>
      <c r="N23" s="571">
        <f>N21+M23-N22</f>
        <v>0</v>
      </c>
    </row>
    <row r="24" spans="2:20" ht="15.75" customHeight="1" thickBot="1">
      <c r="B24" s="580"/>
      <c r="C24" s="581" t="s">
        <v>270</v>
      </c>
      <c r="D24" s="572"/>
      <c r="E24" s="573">
        <f>E23*$T$4</f>
        <v>5797855.7576445313</v>
      </c>
      <c r="F24" s="573">
        <f t="shared" ref="F24:N24" si="8">F23*$T$4</f>
        <v>16662769.323361933</v>
      </c>
      <c r="G24" s="573">
        <f t="shared" si="8"/>
        <v>9340433.2221321315</v>
      </c>
      <c r="H24" s="574">
        <f t="shared" si="8"/>
        <v>19213478.942797795</v>
      </c>
      <c r="I24" s="574">
        <f t="shared" si="8"/>
        <v>28927892.693603896</v>
      </c>
      <c r="J24" s="574">
        <f t="shared" si="8"/>
        <v>25523261.258097943</v>
      </c>
      <c r="K24" s="575">
        <f t="shared" si="8"/>
        <v>30192216.52876794</v>
      </c>
      <c r="L24" s="575">
        <f t="shared" si="8"/>
        <v>33386847.828517344</v>
      </c>
      <c r="M24" s="575">
        <f t="shared" si="8"/>
        <v>33386847.828517344</v>
      </c>
      <c r="N24" s="576">
        <f t="shared" si="8"/>
        <v>0</v>
      </c>
    </row>
    <row r="25" spans="2:20">
      <c r="B25" s="577" t="s">
        <v>264</v>
      </c>
      <c r="C25" s="582"/>
      <c r="D25" s="583"/>
      <c r="E25" s="584"/>
      <c r="F25" s="584"/>
      <c r="G25" s="584"/>
      <c r="H25" s="585"/>
      <c r="I25" s="585"/>
      <c r="J25" s="585"/>
      <c r="K25" s="586"/>
      <c r="L25" s="586"/>
      <c r="M25" s="586"/>
      <c r="N25" s="587"/>
    </row>
    <row r="26" spans="2:20" ht="13.5" thickBot="1">
      <c r="B26" s="580"/>
      <c r="C26" s="581" t="s">
        <v>270</v>
      </c>
      <c r="D26" s="588"/>
      <c r="E26" s="589">
        <f>$C$9*$T$11</f>
        <v>360000</v>
      </c>
      <c r="F26" s="589">
        <f t="shared" ref="F26:L26" si="9">$C$9*$T$11</f>
        <v>360000</v>
      </c>
      <c r="G26" s="589">
        <f t="shared" si="9"/>
        <v>360000</v>
      </c>
      <c r="H26" s="590">
        <f t="shared" si="9"/>
        <v>360000</v>
      </c>
      <c r="I26" s="590">
        <f t="shared" si="9"/>
        <v>360000</v>
      </c>
      <c r="J26" s="590">
        <f t="shared" si="9"/>
        <v>360000</v>
      </c>
      <c r="K26" s="591">
        <f t="shared" si="9"/>
        <v>360000</v>
      </c>
      <c r="L26" s="591">
        <f t="shared" si="9"/>
        <v>360000</v>
      </c>
      <c r="M26" s="591"/>
      <c r="N26" s="592"/>
    </row>
    <row r="27" spans="2:20">
      <c r="B27" s="577" t="s">
        <v>263</v>
      </c>
      <c r="C27" s="582"/>
      <c r="D27" s="593"/>
      <c r="E27" s="594"/>
      <c r="F27" s="594"/>
      <c r="G27" s="594"/>
      <c r="H27" s="595"/>
      <c r="I27" s="595"/>
      <c r="J27" s="595"/>
      <c r="K27" s="596"/>
      <c r="L27" s="596"/>
      <c r="M27" s="597"/>
      <c r="N27" s="598"/>
      <c r="R27" s="112" t="s">
        <v>283</v>
      </c>
      <c r="S27" s="134">
        <f>SUM(S28:S38)</f>
        <v>933477738.76582122</v>
      </c>
    </row>
    <row r="28" spans="2:20" ht="13.5" thickBot="1">
      <c r="B28" s="580"/>
      <c r="C28" s="581" t="s">
        <v>270</v>
      </c>
      <c r="D28" s="588"/>
      <c r="E28" s="589">
        <f>$C$11*$T$9</f>
        <v>1080000</v>
      </c>
      <c r="F28" s="589">
        <f t="shared" ref="F28:L28" si="10">$C$11*$T$9</f>
        <v>1080000</v>
      </c>
      <c r="G28" s="589">
        <f t="shared" si="10"/>
        <v>1080000</v>
      </c>
      <c r="H28" s="590">
        <f t="shared" si="10"/>
        <v>1080000</v>
      </c>
      <c r="I28" s="590">
        <f t="shared" si="10"/>
        <v>1080000</v>
      </c>
      <c r="J28" s="590">
        <f t="shared" si="10"/>
        <v>1080000</v>
      </c>
      <c r="K28" s="591">
        <f t="shared" si="10"/>
        <v>1080000</v>
      </c>
      <c r="L28" s="591">
        <f t="shared" si="10"/>
        <v>1080000</v>
      </c>
      <c r="M28" s="591"/>
      <c r="N28" s="592"/>
      <c r="Q28" s="281" t="s">
        <v>252</v>
      </c>
      <c r="S28" s="133">
        <f>0.68*P4</f>
        <v>634764862.36075842</v>
      </c>
      <c r="T28" s="155">
        <f t="shared" ref="T28:T36" si="11">S28/$P$4</f>
        <v>0.68</v>
      </c>
    </row>
    <row r="29" spans="2:20" ht="13.5" customHeight="1">
      <c r="B29" s="577" t="s">
        <v>274</v>
      </c>
      <c r="C29" s="582"/>
      <c r="D29" s="593"/>
      <c r="E29" s="594"/>
      <c r="F29" s="594"/>
      <c r="G29" s="594"/>
      <c r="H29" s="595"/>
      <c r="I29" s="595"/>
      <c r="J29" s="595"/>
      <c r="K29" s="596"/>
      <c r="L29" s="596"/>
      <c r="M29" s="596"/>
      <c r="N29" s="598"/>
      <c r="Q29" s="281" t="s">
        <v>273</v>
      </c>
      <c r="S29" s="133">
        <v>6000000</v>
      </c>
      <c r="T29" s="155">
        <f t="shared" si="11"/>
        <v>6.4275769531823854E-3</v>
      </c>
    </row>
    <row r="30" spans="2:20">
      <c r="B30" s="579"/>
      <c r="C30" s="278" t="s">
        <v>267</v>
      </c>
      <c r="D30" s="229"/>
      <c r="E30" s="288">
        <f>E12</f>
        <v>3386107.6619999995</v>
      </c>
      <c r="F30" s="288">
        <f t="shared" ref="F30:N30" si="12">F12</f>
        <v>3487690.8918599994</v>
      </c>
      <c r="G30" s="288">
        <f t="shared" si="12"/>
        <v>0</v>
      </c>
      <c r="H30" s="553">
        <f t="shared" si="12"/>
        <v>3005662.5418453622</v>
      </c>
      <c r="I30" s="553">
        <f t="shared" si="12"/>
        <v>3095832.4181007226</v>
      </c>
      <c r="J30" s="553">
        <f t="shared" si="12"/>
        <v>0</v>
      </c>
      <c r="K30" s="561">
        <f t="shared" si="12"/>
        <v>842106.25139714906</v>
      </c>
      <c r="L30" s="561">
        <f t="shared" si="12"/>
        <v>867369.43893906358</v>
      </c>
      <c r="M30" s="561">
        <f t="shared" si="12"/>
        <v>0</v>
      </c>
      <c r="N30" s="599">
        <f t="shared" si="12"/>
        <v>0</v>
      </c>
      <c r="Q30" s="281" t="s">
        <v>265</v>
      </c>
      <c r="R30" s="112"/>
      <c r="S30" s="133">
        <v>5000000</v>
      </c>
      <c r="T30" s="155">
        <f t="shared" si="11"/>
        <v>5.356314127651988E-3</v>
      </c>
    </row>
    <row r="31" spans="2:20">
      <c r="B31" s="600"/>
      <c r="C31" s="278" t="s">
        <v>268</v>
      </c>
      <c r="D31" s="229"/>
      <c r="E31" s="319"/>
      <c r="F31" s="319"/>
      <c r="G31" s="305">
        <f>F32</f>
        <v>6873798.5538599994</v>
      </c>
      <c r="H31" s="464"/>
      <c r="I31" s="409"/>
      <c r="J31" s="554">
        <f>I32</f>
        <v>6101494.9599460848</v>
      </c>
      <c r="K31" s="561"/>
      <c r="L31" s="562">
        <f>K32</f>
        <v>842106.25139714906</v>
      </c>
      <c r="M31" s="561">
        <f>L32</f>
        <v>867369.43893906346</v>
      </c>
      <c r="N31" s="601"/>
      <c r="Q31" s="281" t="s">
        <v>263</v>
      </c>
      <c r="S31" s="133">
        <v>18000000</v>
      </c>
      <c r="T31" s="155">
        <f t="shared" si="11"/>
        <v>1.9282730859547157E-2</v>
      </c>
    </row>
    <row r="32" spans="2:20">
      <c r="B32" s="600"/>
      <c r="C32" s="278" t="s">
        <v>269</v>
      </c>
      <c r="D32" s="229"/>
      <c r="E32" s="288">
        <f>SUM($E$30:E30)</f>
        <v>3386107.6619999995</v>
      </c>
      <c r="F32" s="288">
        <f>E32+F30-F31</f>
        <v>6873798.5538599994</v>
      </c>
      <c r="G32" s="288">
        <f t="shared" ref="G32:N32" si="13">F32+G30-G31</f>
        <v>0</v>
      </c>
      <c r="H32" s="553">
        <f t="shared" si="13"/>
        <v>3005662.5418453622</v>
      </c>
      <c r="I32" s="553">
        <f t="shared" si="13"/>
        <v>6101494.9599460848</v>
      </c>
      <c r="J32" s="553">
        <f t="shared" si="13"/>
        <v>0</v>
      </c>
      <c r="K32" s="561">
        <f t="shared" si="13"/>
        <v>842106.25139714906</v>
      </c>
      <c r="L32" s="561">
        <f t="shared" si="13"/>
        <v>867369.43893906346</v>
      </c>
      <c r="M32" s="561">
        <f t="shared" si="13"/>
        <v>0</v>
      </c>
      <c r="N32" s="599">
        <f t="shared" si="13"/>
        <v>0</v>
      </c>
      <c r="Q32" s="281" t="s">
        <v>274</v>
      </c>
      <c r="S32" s="133">
        <f>SUM('6.Retail '!D23:M23)</f>
        <v>14684769.204142297</v>
      </c>
      <c r="T32" s="155">
        <f t="shared" si="11"/>
        <v>1.5731247349891245E-2</v>
      </c>
    </row>
    <row r="33" spans="2:20" ht="16.5" customHeight="1" thickBot="1">
      <c r="B33" s="602"/>
      <c r="C33" s="581" t="s">
        <v>270</v>
      </c>
      <c r="D33" s="588"/>
      <c r="E33" s="589">
        <f>E32*$T$7</f>
        <v>406332.91943999991</v>
      </c>
      <c r="F33" s="589">
        <f t="shared" ref="F33:N33" si="14">F32*$T$7</f>
        <v>824855.82646319992</v>
      </c>
      <c r="G33" s="589">
        <f t="shared" si="14"/>
        <v>0</v>
      </c>
      <c r="H33" s="590">
        <f t="shared" si="14"/>
        <v>360679.50502144347</v>
      </c>
      <c r="I33" s="590">
        <f t="shared" si="14"/>
        <v>732179.39519353013</v>
      </c>
      <c r="J33" s="590">
        <f t="shared" si="14"/>
        <v>0</v>
      </c>
      <c r="K33" s="591">
        <f t="shared" si="14"/>
        <v>101052.75016765788</v>
      </c>
      <c r="L33" s="591">
        <f t="shared" si="14"/>
        <v>104084.33267268761</v>
      </c>
      <c r="M33" s="591">
        <f t="shared" si="14"/>
        <v>0</v>
      </c>
      <c r="N33" s="592">
        <f t="shared" si="14"/>
        <v>0</v>
      </c>
      <c r="Q33" s="281" t="s">
        <v>248</v>
      </c>
      <c r="R33" s="280"/>
      <c r="S33" s="133">
        <v>15000000</v>
      </c>
      <c r="T33" s="155">
        <f t="shared" si="11"/>
        <v>1.6068942382955965E-2</v>
      </c>
    </row>
    <row r="34" spans="2:20" ht="16.5" customHeight="1">
      <c r="B34" s="603" t="s">
        <v>248</v>
      </c>
      <c r="C34" s="593"/>
      <c r="D34" s="593"/>
      <c r="E34" s="594"/>
      <c r="F34" s="594"/>
      <c r="G34" s="594"/>
      <c r="H34" s="595"/>
      <c r="I34" s="595"/>
      <c r="J34" s="595"/>
      <c r="K34" s="596"/>
      <c r="L34" s="596"/>
      <c r="M34" s="596"/>
      <c r="N34" s="598"/>
      <c r="Q34" s="281" t="s">
        <v>276</v>
      </c>
      <c r="S34" s="133">
        <v>15000000</v>
      </c>
      <c r="T34" s="155">
        <f t="shared" si="11"/>
        <v>1.6068942382955965E-2</v>
      </c>
    </row>
    <row r="35" spans="2:20" ht="13.5" thickBot="1">
      <c r="B35" s="602"/>
      <c r="C35" s="581" t="s">
        <v>270</v>
      </c>
      <c r="D35" s="588"/>
      <c r="E35" s="589">
        <f>$C$13*$T$13</f>
        <v>900000</v>
      </c>
      <c r="F35" s="589">
        <f t="shared" ref="F35:L35" si="15">$C$13*$T$13</f>
        <v>900000</v>
      </c>
      <c r="G35" s="589">
        <f t="shared" si="15"/>
        <v>900000</v>
      </c>
      <c r="H35" s="590">
        <f t="shared" si="15"/>
        <v>900000</v>
      </c>
      <c r="I35" s="590">
        <f t="shared" si="15"/>
        <v>900000</v>
      </c>
      <c r="J35" s="590">
        <f t="shared" si="15"/>
        <v>900000</v>
      </c>
      <c r="K35" s="591">
        <f t="shared" si="15"/>
        <v>900000</v>
      </c>
      <c r="L35" s="591">
        <f t="shared" si="15"/>
        <v>900000</v>
      </c>
      <c r="M35" s="591"/>
      <c r="N35" s="592"/>
      <c r="Q35" s="281" t="s">
        <v>284</v>
      </c>
      <c r="S35" s="133">
        <v>40000</v>
      </c>
      <c r="T35" s="155">
        <f t="shared" si="11"/>
        <v>4.2850513021215907E-5</v>
      </c>
    </row>
    <row r="36" spans="2:20">
      <c r="B36" s="112" t="s">
        <v>279</v>
      </c>
      <c r="E36" s="320">
        <f>E24+E26+E28+E33+E35</f>
        <v>8544188.6770845316</v>
      </c>
      <c r="F36" s="320">
        <f t="shared" ref="F36:N36" si="16">F24+F26+F28+F33+F35</f>
        <v>19827625.149825133</v>
      </c>
      <c r="G36" s="320">
        <f t="shared" si="16"/>
        <v>11680433.222132131</v>
      </c>
      <c r="H36" s="555">
        <f t="shared" si="16"/>
        <v>21914158.447819237</v>
      </c>
      <c r="I36" s="555">
        <f t="shared" si="16"/>
        <v>32000072.088797424</v>
      </c>
      <c r="J36" s="555">
        <f t="shared" si="16"/>
        <v>27863261.258097943</v>
      </c>
      <c r="K36" s="543">
        <f t="shared" si="16"/>
        <v>32633269.278935596</v>
      </c>
      <c r="L36" s="543">
        <f t="shared" si="16"/>
        <v>35830932.161190033</v>
      </c>
      <c r="M36" s="543">
        <f t="shared" si="16"/>
        <v>33386847.828517344</v>
      </c>
      <c r="N36" s="543">
        <f t="shared" si="16"/>
        <v>0</v>
      </c>
      <c r="Q36" s="112" t="s">
        <v>275</v>
      </c>
      <c r="S36" s="133">
        <f>SUM('1.Infrastructure Costs'!E20:N20)</f>
        <v>4005000</v>
      </c>
      <c r="T36" s="155">
        <f t="shared" si="11"/>
        <v>4.2904076162492422E-3</v>
      </c>
    </row>
    <row r="37" spans="2:20">
      <c r="B37" s="112" t="s">
        <v>280</v>
      </c>
      <c r="E37" s="320">
        <f>E21*0.65</f>
        <v>53837232.035270646</v>
      </c>
      <c r="F37" s="320">
        <f t="shared" ref="F37:L37" si="17">F21*0.65</f>
        <v>100888483.11023301</v>
      </c>
      <c r="G37" s="320">
        <f t="shared" si="17"/>
        <v>227500</v>
      </c>
      <c r="H37" s="555">
        <f t="shared" si="17"/>
        <v>91678281.69189541</v>
      </c>
      <c r="I37" s="555">
        <f t="shared" si="17"/>
        <v>90205270.543199524</v>
      </c>
      <c r="J37" s="555">
        <f t="shared" si="17"/>
        <v>2741375</v>
      </c>
      <c r="K37" s="543">
        <f t="shared" si="17"/>
        <v>43354584.656221375</v>
      </c>
      <c r="L37" s="543">
        <f t="shared" si="17"/>
        <v>29664433.497673016</v>
      </c>
      <c r="M37" s="542"/>
      <c r="N37" s="542"/>
      <c r="Q37" s="282" t="s">
        <v>251</v>
      </c>
      <c r="S37" s="133">
        <f>SUM('4.Affordable Rental Housing'!D24:M24)</f>
        <v>74795050.742353201</v>
      </c>
      <c r="T37" s="155">
        <f>S37/$P$4</f>
        <v>8.0125157393942756E-2</v>
      </c>
    </row>
    <row r="38" spans="2:20">
      <c r="Q38" s="281" t="s">
        <v>254</v>
      </c>
      <c r="S38" s="133">
        <f>P4-SUM(S28:S37)</f>
        <v>146188056.45856726</v>
      </c>
      <c r="T38" s="155">
        <f>S38/$P$4</f>
        <v>0.15660583042060205</v>
      </c>
    </row>
    <row r="39" spans="2:20">
      <c r="Q39" s="281" t="s">
        <v>249</v>
      </c>
      <c r="R39" s="112" t="s">
        <v>272</v>
      </c>
      <c r="S39" s="133"/>
      <c r="T39" s="155">
        <f>S39/$P$4</f>
        <v>0</v>
      </c>
    </row>
    <row r="44" spans="2:20">
      <c r="Q44" s="151"/>
      <c r="R44" s="1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CE858-837A-46FA-8F9C-7E745BBF0C15}">
  <sheetPr>
    <tabColor theme="6" tint="-0.249977111117893"/>
  </sheetPr>
  <dimension ref="B3:Q107"/>
  <sheetViews>
    <sheetView workbookViewId="0">
      <selection activeCell="K23" sqref="K23"/>
    </sheetView>
  </sheetViews>
  <sheetFormatPr defaultRowHeight="12.75"/>
  <cols>
    <col min="2" max="2" width="27" bestFit="1" customWidth="1"/>
    <col min="3" max="3" width="11.42578125" customWidth="1"/>
    <col min="4" max="4" width="9.28515625" bestFit="1" customWidth="1"/>
    <col min="5" max="12" width="11.140625" bestFit="1" customWidth="1"/>
    <col min="13" max="13" width="10.28515625" bestFit="1" customWidth="1"/>
    <col min="14" max="14" width="14.5703125" bestFit="1" customWidth="1"/>
    <col min="15" max="15" width="12.85546875" customWidth="1"/>
    <col min="16" max="16" width="24.28515625" customWidth="1"/>
    <col min="17" max="17" width="15.5703125" customWidth="1"/>
  </cols>
  <sheetData>
    <row r="3" spans="2:17">
      <c r="B3" s="677"/>
      <c r="C3" s="326" t="str">
        <f>'Summary Board'!D2</f>
        <v>Phase I</v>
      </c>
      <c r="D3" s="326"/>
      <c r="E3" s="326"/>
      <c r="F3" s="385" t="str">
        <f>'Summary Board'!G2</f>
        <v>Phase II</v>
      </c>
      <c r="G3" s="385"/>
      <c r="H3" s="385"/>
      <c r="I3" s="470" t="str">
        <f>'Summary Board'!J2</f>
        <v>Phase III</v>
      </c>
      <c r="J3" s="470"/>
      <c r="K3" s="470"/>
      <c r="L3" s="470"/>
    </row>
    <row r="4" spans="2:17">
      <c r="B4" s="677"/>
      <c r="C4" s="326">
        <f>'Summary Board'!D3</f>
        <v>2024</v>
      </c>
      <c r="D4" s="326">
        <f>'Summary Board'!E3</f>
        <v>2025</v>
      </c>
      <c r="E4" s="326">
        <f>'Summary Board'!F3</f>
        <v>2026</v>
      </c>
      <c r="F4" s="385">
        <f>'Summary Board'!G3</f>
        <v>2027</v>
      </c>
      <c r="G4" s="385">
        <f>'Summary Board'!H3</f>
        <v>2028</v>
      </c>
      <c r="H4" s="385">
        <f>'Summary Board'!I3</f>
        <v>2029</v>
      </c>
      <c r="I4" s="470">
        <f>'Summary Board'!J3</f>
        <v>2030</v>
      </c>
      <c r="J4" s="470">
        <f>'Summary Board'!K3</f>
        <v>2031</v>
      </c>
      <c r="K4" s="470">
        <f>'Summary Board'!L3</f>
        <v>2032</v>
      </c>
      <c r="L4" s="470">
        <f>'Summary Board'!M3</f>
        <v>2033</v>
      </c>
    </row>
    <row r="5" spans="2:17">
      <c r="B5" s="677" t="s">
        <v>296</v>
      </c>
      <c r="C5" s="308">
        <f>'Summary Board'!D23</f>
        <v>0</v>
      </c>
      <c r="D5" s="308">
        <f>'Summary Board'!E23</f>
        <v>0</v>
      </c>
      <c r="E5" s="308">
        <f>'Summary Board'!F23</f>
        <v>2381886</v>
      </c>
      <c r="F5" s="388">
        <f>'Summary Board'!G23</f>
        <v>0</v>
      </c>
      <c r="G5" s="388">
        <f>'Summary Board'!H23</f>
        <v>0</v>
      </c>
      <c r="H5" s="388">
        <f>'Summary Board'!I23</f>
        <v>116100.84270092339</v>
      </c>
      <c r="I5" s="473">
        <f>'Summary Board'!J23</f>
        <v>0</v>
      </c>
      <c r="J5" s="473">
        <f>'Summary Board'!K23</f>
        <v>0</v>
      </c>
      <c r="K5" s="473">
        <f>'Summary Board'!L23</f>
        <v>3359210.3780877553</v>
      </c>
      <c r="L5" s="473">
        <f>'Summary Board'!M23</f>
        <v>4332900.1147204181</v>
      </c>
      <c r="M5" s="134">
        <f>SUM(C5:L5)</f>
        <v>10190097.335509095</v>
      </c>
    </row>
    <row r="6" spans="2:17">
      <c r="B6" s="677"/>
      <c r="C6" s="308"/>
      <c r="D6" s="308"/>
      <c r="E6" s="308"/>
      <c r="F6" s="388"/>
      <c r="G6" s="388"/>
      <c r="H6" s="388"/>
      <c r="I6" s="473"/>
      <c r="J6" s="473"/>
      <c r="K6" s="473"/>
      <c r="L6" s="473"/>
    </row>
    <row r="7" spans="2:17">
      <c r="B7" s="677" t="s">
        <v>297</v>
      </c>
      <c r="C7" s="308">
        <f>'Summary Board'!D39</f>
        <v>0</v>
      </c>
      <c r="D7" s="308">
        <f>'Summary Board'!E39</f>
        <v>0</v>
      </c>
      <c r="E7" s="308">
        <f>'Summary Board'!F39</f>
        <v>0</v>
      </c>
      <c r="F7" s="388">
        <f>'Summary Board'!G39</f>
        <v>4000000</v>
      </c>
      <c r="G7" s="388">
        <f>'Summary Board'!H39</f>
        <v>4000000</v>
      </c>
      <c r="H7" s="388">
        <f>'Summary Board'!I39</f>
        <v>4000000</v>
      </c>
      <c r="I7" s="473">
        <f>'Summary Board'!J39</f>
        <v>6000000</v>
      </c>
      <c r="J7" s="473">
        <f>'Summary Board'!K39</f>
        <v>6000000</v>
      </c>
      <c r="K7" s="473">
        <f>'Summary Board'!L39</f>
        <v>6000000</v>
      </c>
      <c r="L7" s="473">
        <f>'Summary Board'!M39</f>
        <v>6000000</v>
      </c>
    </row>
    <row r="8" spans="2:17">
      <c r="B8" s="677"/>
      <c r="C8" s="682"/>
      <c r="D8" s="682"/>
      <c r="E8" s="682"/>
      <c r="F8" s="682"/>
      <c r="G8" s="682"/>
      <c r="H8" s="682"/>
      <c r="I8" s="682"/>
      <c r="J8" s="682"/>
      <c r="K8" s="682"/>
      <c r="L8" s="682"/>
    </row>
    <row r="9" spans="2:17">
      <c r="B9" s="677"/>
      <c r="C9" s="682"/>
      <c r="D9" s="682"/>
      <c r="E9" s="682"/>
      <c r="F9" s="682"/>
      <c r="G9" s="682"/>
      <c r="H9" s="682"/>
      <c r="I9" s="682"/>
      <c r="J9" s="682"/>
      <c r="K9" s="682"/>
      <c r="L9" s="682"/>
      <c r="N9" s="112"/>
      <c r="O9" s="134"/>
      <c r="P9" s="134"/>
      <c r="Q9" s="134"/>
    </row>
    <row r="10" spans="2:17">
      <c r="H10" s="682"/>
      <c r="I10" s="682"/>
      <c r="J10" s="682"/>
      <c r="K10" s="682"/>
      <c r="L10" s="682"/>
      <c r="N10" s="112"/>
      <c r="O10" s="134"/>
      <c r="P10" s="134"/>
      <c r="Q10" s="134"/>
    </row>
    <row r="11" spans="2:17">
      <c r="B11" s="682" t="s">
        <v>299</v>
      </c>
      <c r="C11" s="682"/>
      <c r="D11" s="682" t="s">
        <v>302</v>
      </c>
      <c r="E11" s="682" t="s">
        <v>303</v>
      </c>
      <c r="H11" s="133"/>
      <c r="I11" s="133"/>
      <c r="J11" s="133"/>
      <c r="K11" s="133"/>
      <c r="L11" s="133"/>
      <c r="N11" s="112"/>
      <c r="O11" s="134"/>
      <c r="P11" s="134"/>
      <c r="Q11" s="134"/>
    </row>
    <row r="12" spans="2:17">
      <c r="B12" s="682" t="s">
        <v>298</v>
      </c>
      <c r="C12" s="682">
        <v>500000000</v>
      </c>
      <c r="D12" s="682">
        <f>C12*(C13/12*(1+C13/12)^C14)/(1+C13/12)^(C14-1)</f>
        <v>1043836.8055555559</v>
      </c>
      <c r="E12" s="682">
        <f>12*D12</f>
        <v>12526041.66666667</v>
      </c>
      <c r="H12" s="133"/>
      <c r="I12" s="133"/>
      <c r="J12" s="133"/>
      <c r="K12" s="133"/>
      <c r="L12" s="133"/>
      <c r="N12" s="112"/>
      <c r="O12" s="134"/>
      <c r="P12" s="134"/>
      <c r="Q12" s="134"/>
    </row>
    <row r="13" spans="2:17">
      <c r="B13" s="682" t="s">
        <v>300</v>
      </c>
      <c r="C13" s="696">
        <v>2.5000000000000001E-2</v>
      </c>
      <c r="D13" s="682"/>
      <c r="E13" s="682"/>
      <c r="F13" s="157"/>
      <c r="H13" s="133"/>
      <c r="I13" s="133"/>
      <c r="J13" s="133"/>
      <c r="K13" s="133"/>
      <c r="L13" s="133"/>
      <c r="N13" s="112"/>
      <c r="O13" s="134"/>
      <c r="P13" s="134"/>
      <c r="Q13" s="134"/>
    </row>
    <row r="14" spans="2:17">
      <c r="B14" s="682" t="s">
        <v>301</v>
      </c>
      <c r="C14" s="682">
        <f>99*12</f>
        <v>1188</v>
      </c>
      <c r="D14" s="682"/>
      <c r="E14" s="682"/>
      <c r="H14" s="133"/>
      <c r="I14" s="133"/>
      <c r="J14" s="133"/>
      <c r="K14" s="133"/>
      <c r="L14" s="133"/>
      <c r="N14" s="112"/>
      <c r="O14" s="134"/>
      <c r="P14" s="134"/>
      <c r="Q14" s="134"/>
    </row>
    <row r="15" spans="2:17" ht="15.75">
      <c r="B15" s="681"/>
      <c r="C15" s="681"/>
      <c r="D15" s="681"/>
      <c r="E15" s="681"/>
      <c r="H15" s="133"/>
      <c r="I15" s="133"/>
      <c r="J15" s="133"/>
      <c r="K15" s="133"/>
      <c r="L15" s="133"/>
      <c r="N15" s="112"/>
      <c r="O15" s="134"/>
      <c r="P15" s="134"/>
      <c r="Q15" s="134"/>
    </row>
    <row r="16" spans="2:17">
      <c r="B16" s="112"/>
      <c r="C16" s="134"/>
      <c r="D16" s="683" t="s">
        <v>304</v>
      </c>
      <c r="E16" s="134"/>
      <c r="H16" s="133"/>
      <c r="I16" s="133"/>
      <c r="J16" s="133"/>
      <c r="K16" s="133"/>
      <c r="L16" s="133"/>
      <c r="N16" s="112"/>
      <c r="O16" s="134"/>
      <c r="P16" s="134"/>
      <c r="Q16" s="134"/>
    </row>
    <row r="17" spans="3:17"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N17" s="112"/>
      <c r="O17" s="134"/>
      <c r="P17" s="134"/>
      <c r="Q17" s="134"/>
    </row>
    <row r="18" spans="3:17">
      <c r="N18" s="112"/>
      <c r="O18" s="134"/>
      <c r="P18" s="134"/>
      <c r="Q18" s="134"/>
    </row>
    <row r="19" spans="3:17">
      <c r="N19" s="112"/>
      <c r="O19" s="134"/>
      <c r="P19" s="134"/>
      <c r="Q19" s="134"/>
    </row>
    <row r="20" spans="3:17">
      <c r="N20" s="112"/>
      <c r="O20" s="134"/>
      <c r="P20" s="134"/>
      <c r="Q20" s="134"/>
    </row>
    <row r="21" spans="3:17">
      <c r="N21" s="112"/>
      <c r="O21" s="134"/>
      <c r="P21" s="134"/>
      <c r="Q21" s="134"/>
    </row>
    <row r="22" spans="3:17">
      <c r="N22" s="112"/>
      <c r="O22" s="134"/>
      <c r="P22" s="134"/>
      <c r="Q22" s="134"/>
    </row>
    <row r="23" spans="3:17">
      <c r="N23" s="112"/>
      <c r="O23" s="134"/>
      <c r="P23" s="134"/>
      <c r="Q23" s="134"/>
    </row>
    <row r="24" spans="3:17">
      <c r="N24" s="112"/>
      <c r="O24" s="134"/>
      <c r="P24" s="134"/>
      <c r="Q24" s="134"/>
    </row>
    <row r="25" spans="3:17">
      <c r="N25" s="112"/>
      <c r="O25" s="134"/>
      <c r="P25" s="134"/>
      <c r="Q25" s="134"/>
    </row>
    <row r="26" spans="3:17">
      <c r="N26" s="112"/>
      <c r="O26" s="134"/>
      <c r="P26" s="134"/>
      <c r="Q26" s="134"/>
    </row>
    <row r="27" spans="3:17">
      <c r="N27" s="112"/>
      <c r="O27" s="134"/>
      <c r="P27" s="134"/>
      <c r="Q27" s="134"/>
    </row>
    <row r="28" spans="3:17">
      <c r="N28" s="112"/>
      <c r="O28" s="134"/>
      <c r="P28" s="134"/>
      <c r="Q28" s="134"/>
    </row>
    <row r="29" spans="3:17">
      <c r="N29" s="112"/>
      <c r="O29" s="134"/>
      <c r="P29" s="134"/>
      <c r="Q29" s="134"/>
    </row>
    <row r="30" spans="3:17">
      <c r="N30" s="112"/>
      <c r="O30" s="134"/>
      <c r="P30" s="134"/>
      <c r="Q30" s="134"/>
    </row>
    <row r="31" spans="3:17">
      <c r="N31" s="112"/>
      <c r="O31" s="134"/>
      <c r="P31" s="134"/>
      <c r="Q31" s="134"/>
    </row>
    <row r="32" spans="3:17">
      <c r="N32" s="112"/>
      <c r="O32" s="134"/>
      <c r="P32" s="134"/>
      <c r="Q32" s="134"/>
    </row>
    <row r="33" spans="14:17">
      <c r="N33" s="112"/>
      <c r="O33" s="134"/>
      <c r="P33" s="134"/>
      <c r="Q33" s="134"/>
    </row>
    <row r="34" spans="14:17">
      <c r="N34" s="112"/>
      <c r="O34" s="134"/>
      <c r="P34" s="134"/>
      <c r="Q34" s="134"/>
    </row>
    <row r="35" spans="14:17">
      <c r="N35" s="112"/>
      <c r="O35" s="134"/>
      <c r="P35" s="134"/>
      <c r="Q35" s="134"/>
    </row>
    <row r="36" spans="14:17">
      <c r="N36" s="112"/>
      <c r="O36" s="134"/>
      <c r="P36" s="134"/>
      <c r="Q36" s="134"/>
    </row>
    <row r="37" spans="14:17">
      <c r="N37" s="112"/>
      <c r="O37" s="134"/>
      <c r="P37" s="134"/>
      <c r="Q37" s="134"/>
    </row>
    <row r="38" spans="14:17">
      <c r="N38" s="112"/>
      <c r="O38" s="134"/>
      <c r="P38" s="134"/>
      <c r="Q38" s="134"/>
    </row>
    <row r="39" spans="14:17">
      <c r="N39" s="112"/>
      <c r="O39" s="134"/>
      <c r="P39" s="134"/>
      <c r="Q39" s="134"/>
    </row>
    <row r="40" spans="14:17">
      <c r="N40" s="112"/>
      <c r="O40" s="134"/>
      <c r="P40" s="134"/>
      <c r="Q40" s="134"/>
    </row>
    <row r="41" spans="14:17">
      <c r="N41" s="112"/>
      <c r="O41" s="134"/>
      <c r="P41" s="134"/>
      <c r="Q41" s="134"/>
    </row>
    <row r="42" spans="14:17">
      <c r="N42" s="112"/>
      <c r="O42" s="134"/>
      <c r="P42" s="134"/>
      <c r="Q42" s="134"/>
    </row>
    <row r="43" spans="14:17">
      <c r="N43" s="112"/>
      <c r="O43" s="134"/>
      <c r="P43" s="134"/>
      <c r="Q43" s="134"/>
    </row>
    <row r="44" spans="14:17">
      <c r="N44" s="112"/>
      <c r="O44" s="134"/>
      <c r="P44" s="134"/>
      <c r="Q44" s="134"/>
    </row>
    <row r="45" spans="14:17">
      <c r="N45" s="112"/>
      <c r="O45" s="134"/>
      <c r="P45" s="134"/>
      <c r="Q45" s="134"/>
    </row>
    <row r="46" spans="14:17">
      <c r="N46" s="112"/>
      <c r="O46" s="134"/>
      <c r="P46" s="134"/>
      <c r="Q46" s="134"/>
    </row>
    <row r="47" spans="14:17">
      <c r="N47" s="112"/>
      <c r="O47" s="134"/>
      <c r="P47" s="134"/>
      <c r="Q47" s="134"/>
    </row>
    <row r="48" spans="14:17">
      <c r="N48" s="112"/>
      <c r="O48" s="134"/>
      <c r="P48" s="134"/>
      <c r="Q48" s="134"/>
    </row>
    <row r="49" spans="14:17">
      <c r="N49" s="112"/>
      <c r="O49" s="134"/>
      <c r="P49" s="134"/>
      <c r="Q49" s="134"/>
    </row>
    <row r="50" spans="14:17">
      <c r="N50" s="112"/>
      <c r="O50" s="134"/>
      <c r="P50" s="134"/>
      <c r="Q50" s="134"/>
    </row>
    <row r="51" spans="14:17">
      <c r="N51" s="112"/>
      <c r="O51" s="134"/>
      <c r="P51" s="134"/>
      <c r="Q51" s="134"/>
    </row>
    <row r="52" spans="14:17">
      <c r="N52" s="112"/>
      <c r="O52" s="134"/>
      <c r="P52" s="134"/>
      <c r="Q52" s="134"/>
    </row>
    <row r="53" spans="14:17">
      <c r="N53" s="112"/>
      <c r="O53" s="134"/>
      <c r="P53" s="134"/>
      <c r="Q53" s="134"/>
    </row>
    <row r="54" spans="14:17">
      <c r="N54" s="112"/>
      <c r="O54" s="134"/>
      <c r="P54" s="134"/>
      <c r="Q54" s="134"/>
    </row>
    <row r="55" spans="14:17">
      <c r="N55" s="112"/>
      <c r="O55" s="134"/>
      <c r="P55" s="134"/>
      <c r="Q55" s="134"/>
    </row>
    <row r="56" spans="14:17">
      <c r="N56" s="112"/>
      <c r="O56" s="134"/>
      <c r="P56" s="134"/>
      <c r="Q56" s="134"/>
    </row>
    <row r="57" spans="14:17">
      <c r="N57" s="112"/>
      <c r="O57" s="134"/>
      <c r="P57" s="134"/>
      <c r="Q57" s="134"/>
    </row>
    <row r="58" spans="14:17">
      <c r="N58" s="112"/>
      <c r="O58" s="134"/>
      <c r="P58" s="134"/>
      <c r="Q58" s="134"/>
    </row>
    <row r="59" spans="14:17">
      <c r="N59" s="112"/>
      <c r="O59" s="134"/>
      <c r="P59" s="134"/>
      <c r="Q59" s="134"/>
    </row>
    <row r="60" spans="14:17">
      <c r="N60" s="112"/>
      <c r="O60" s="134"/>
      <c r="P60" s="134"/>
      <c r="Q60" s="134"/>
    </row>
    <row r="61" spans="14:17">
      <c r="N61" s="112"/>
      <c r="O61" s="134"/>
      <c r="P61" s="134"/>
      <c r="Q61" s="134"/>
    </row>
    <row r="62" spans="14:17">
      <c r="N62" s="112"/>
      <c r="O62" s="134"/>
      <c r="P62" s="134"/>
      <c r="Q62" s="134"/>
    </row>
    <row r="63" spans="14:17">
      <c r="N63" s="112"/>
      <c r="O63" s="134"/>
      <c r="P63" s="134"/>
      <c r="Q63" s="134"/>
    </row>
    <row r="64" spans="14:17">
      <c r="N64" s="112"/>
      <c r="O64" s="134"/>
      <c r="P64" s="134"/>
      <c r="Q64" s="134"/>
    </row>
    <row r="65" spans="14:17">
      <c r="N65" s="112"/>
      <c r="O65" s="134"/>
      <c r="P65" s="134"/>
      <c r="Q65" s="134"/>
    </row>
    <row r="66" spans="14:17">
      <c r="N66" s="112"/>
      <c r="O66" s="134"/>
      <c r="P66" s="134"/>
      <c r="Q66" s="134"/>
    </row>
    <row r="67" spans="14:17">
      <c r="N67" s="112"/>
      <c r="O67" s="134"/>
      <c r="P67" s="134"/>
      <c r="Q67" s="134"/>
    </row>
    <row r="68" spans="14:17">
      <c r="N68" s="112"/>
      <c r="O68" s="134"/>
      <c r="P68" s="134"/>
      <c r="Q68" s="134"/>
    </row>
    <row r="69" spans="14:17">
      <c r="N69" s="112"/>
      <c r="O69" s="134"/>
      <c r="P69" s="134"/>
      <c r="Q69" s="134"/>
    </row>
    <row r="70" spans="14:17">
      <c r="N70" s="112"/>
      <c r="O70" s="134"/>
      <c r="P70" s="134"/>
      <c r="Q70" s="134"/>
    </row>
    <row r="71" spans="14:17">
      <c r="N71" s="112"/>
      <c r="O71" s="134"/>
      <c r="P71" s="134"/>
      <c r="Q71" s="134"/>
    </row>
    <row r="72" spans="14:17">
      <c r="N72" s="112"/>
      <c r="O72" s="134"/>
      <c r="P72" s="134"/>
      <c r="Q72" s="134"/>
    </row>
    <row r="73" spans="14:17">
      <c r="N73" s="112"/>
      <c r="O73" s="134"/>
      <c r="P73" s="134"/>
      <c r="Q73" s="134"/>
    </row>
    <row r="74" spans="14:17">
      <c r="N74" s="112"/>
      <c r="O74" s="134"/>
      <c r="P74" s="134"/>
      <c r="Q74" s="134"/>
    </row>
    <row r="75" spans="14:17">
      <c r="N75" s="112"/>
      <c r="O75" s="134"/>
      <c r="P75" s="134"/>
      <c r="Q75" s="134"/>
    </row>
    <row r="76" spans="14:17">
      <c r="N76" s="112"/>
      <c r="O76" s="134"/>
      <c r="P76" s="134"/>
      <c r="Q76" s="134"/>
    </row>
    <row r="77" spans="14:17">
      <c r="N77" s="112"/>
      <c r="O77" s="134"/>
      <c r="P77" s="134"/>
      <c r="Q77" s="134"/>
    </row>
    <row r="78" spans="14:17">
      <c r="N78" s="112"/>
      <c r="O78" s="134"/>
      <c r="P78" s="134"/>
      <c r="Q78" s="134"/>
    </row>
    <row r="79" spans="14:17">
      <c r="N79" s="112"/>
      <c r="O79" s="134"/>
      <c r="P79" s="134"/>
      <c r="Q79" s="134"/>
    </row>
    <row r="80" spans="14:17">
      <c r="N80" s="112"/>
      <c r="O80" s="134"/>
      <c r="P80" s="134"/>
      <c r="Q80" s="134"/>
    </row>
    <row r="81" spans="14:17">
      <c r="N81" s="112"/>
      <c r="O81" s="134"/>
      <c r="P81" s="134"/>
      <c r="Q81" s="134"/>
    </row>
    <row r="82" spans="14:17">
      <c r="N82" s="112"/>
      <c r="O82" s="134"/>
      <c r="P82" s="134"/>
      <c r="Q82" s="134"/>
    </row>
    <row r="83" spans="14:17">
      <c r="N83" s="112"/>
      <c r="O83" s="134"/>
      <c r="P83" s="134"/>
      <c r="Q83" s="134"/>
    </row>
    <row r="84" spans="14:17">
      <c r="N84" s="112"/>
      <c r="O84" s="134"/>
      <c r="P84" s="134"/>
      <c r="Q84" s="134"/>
    </row>
    <row r="85" spans="14:17">
      <c r="N85" s="112"/>
      <c r="O85" s="134"/>
      <c r="P85" s="134"/>
      <c r="Q85" s="134"/>
    </row>
    <row r="86" spans="14:17">
      <c r="N86" s="112"/>
      <c r="O86" s="134"/>
      <c r="P86" s="134"/>
      <c r="Q86" s="134"/>
    </row>
    <row r="87" spans="14:17">
      <c r="N87" s="112"/>
      <c r="O87" s="134"/>
      <c r="P87" s="134"/>
      <c r="Q87" s="134"/>
    </row>
    <row r="88" spans="14:17">
      <c r="N88" s="112"/>
      <c r="O88" s="134"/>
      <c r="P88" s="134"/>
      <c r="Q88" s="134"/>
    </row>
    <row r="89" spans="14:17">
      <c r="N89" s="112"/>
      <c r="O89" s="134"/>
      <c r="P89" s="134"/>
      <c r="Q89" s="134"/>
    </row>
    <row r="90" spans="14:17">
      <c r="N90" s="112"/>
      <c r="O90" s="134"/>
      <c r="P90" s="134"/>
      <c r="Q90" s="134"/>
    </row>
    <row r="91" spans="14:17">
      <c r="N91" s="112"/>
      <c r="O91" s="134"/>
      <c r="P91" s="134"/>
      <c r="Q91" s="134"/>
    </row>
    <row r="92" spans="14:17">
      <c r="N92" s="112"/>
      <c r="O92" s="134"/>
      <c r="P92" s="134"/>
      <c r="Q92" s="134"/>
    </row>
    <row r="93" spans="14:17">
      <c r="N93" s="112"/>
      <c r="O93" s="134"/>
      <c r="P93" s="134"/>
      <c r="Q93" s="134"/>
    </row>
    <row r="94" spans="14:17">
      <c r="N94" s="112"/>
      <c r="O94" s="134"/>
      <c r="P94" s="134"/>
      <c r="Q94" s="134"/>
    </row>
    <row r="95" spans="14:17">
      <c r="N95" s="112"/>
      <c r="O95" s="134"/>
      <c r="P95" s="134"/>
      <c r="Q95" s="134"/>
    </row>
    <row r="96" spans="14:17">
      <c r="N96" s="112"/>
      <c r="O96" s="134"/>
      <c r="P96" s="134"/>
      <c r="Q96" s="134"/>
    </row>
    <row r="97" spans="14:17">
      <c r="N97" s="112"/>
      <c r="O97" s="134"/>
      <c r="P97" s="134"/>
      <c r="Q97" s="134"/>
    </row>
    <row r="98" spans="14:17">
      <c r="N98" s="112"/>
      <c r="O98" s="134"/>
      <c r="P98" s="134"/>
      <c r="Q98" s="134"/>
    </row>
    <row r="99" spans="14:17">
      <c r="N99" s="112"/>
      <c r="O99" s="134"/>
      <c r="P99" s="134"/>
      <c r="Q99" s="134"/>
    </row>
    <row r="100" spans="14:17">
      <c r="N100" s="112"/>
      <c r="O100" s="134"/>
      <c r="P100" s="134"/>
      <c r="Q100" s="134"/>
    </row>
    <row r="101" spans="14:17">
      <c r="N101" s="112"/>
      <c r="O101" s="134"/>
      <c r="P101" s="134"/>
      <c r="Q101" s="134"/>
    </row>
    <row r="102" spans="14:17">
      <c r="N102" s="112"/>
      <c r="O102" s="134"/>
      <c r="P102" s="134"/>
      <c r="Q102" s="134"/>
    </row>
    <row r="103" spans="14:17">
      <c r="N103" s="112"/>
      <c r="O103" s="134"/>
      <c r="P103" s="134"/>
      <c r="Q103" s="134"/>
    </row>
    <row r="104" spans="14:17">
      <c r="N104" s="112"/>
      <c r="O104" s="134"/>
      <c r="P104" s="134"/>
      <c r="Q104" s="134"/>
    </row>
    <row r="105" spans="14:17">
      <c r="N105" s="112"/>
      <c r="O105" s="134"/>
      <c r="P105" s="134"/>
      <c r="Q105" s="134"/>
    </row>
    <row r="106" spans="14:17">
      <c r="N106" s="112"/>
      <c r="O106" s="134"/>
      <c r="P106" s="134"/>
      <c r="Q106" s="134"/>
    </row>
    <row r="107" spans="14:17">
      <c r="N107" s="112"/>
      <c r="O107" s="134"/>
      <c r="P107" s="134"/>
      <c r="Q107" s="134"/>
    </row>
  </sheetData>
  <phoneticPr fontId="2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73CFC-3208-4ABB-A0BD-126B7964B246}">
  <sheetPr>
    <tabColor theme="6" tint="-0.249977111117893"/>
  </sheetPr>
  <dimension ref="A1:AC70"/>
  <sheetViews>
    <sheetView topLeftCell="C1" zoomScaleNormal="100" workbookViewId="0">
      <selection activeCell="H4" sqref="H4"/>
    </sheetView>
  </sheetViews>
  <sheetFormatPr defaultRowHeight="12.75"/>
  <cols>
    <col min="1" max="1" width="10.85546875" bestFit="1" customWidth="1"/>
    <col min="2" max="2" width="14.140625" style="133" customWidth="1"/>
    <col min="3" max="3" width="13.140625" style="133" bestFit="1" customWidth="1"/>
    <col min="4" max="4" width="11.28515625" style="152" customWidth="1"/>
    <col min="5" max="5" width="11.28515625" style="133" customWidth="1"/>
    <col min="6" max="6" width="11.28515625" style="152" customWidth="1"/>
    <col min="7" max="7" width="42.7109375" bestFit="1" customWidth="1"/>
    <col min="8" max="8" width="42.7109375" style="157" customWidth="1"/>
    <col min="9" max="9" width="25" style="157" customWidth="1"/>
    <col min="10" max="10" width="11.28515625" bestFit="1" customWidth="1"/>
    <col min="11" max="11" width="10.28515625" bestFit="1" customWidth="1"/>
    <col min="12" max="12" width="11.28515625" customWidth="1"/>
    <col min="13" max="15" width="10.28515625" bestFit="1" customWidth="1"/>
    <col min="20" max="21" width="10.28515625" bestFit="1" customWidth="1"/>
  </cols>
  <sheetData>
    <row r="1" spans="1:29">
      <c r="A1" s="229"/>
      <c r="B1" s="225"/>
      <c r="C1" s="225"/>
      <c r="D1" s="226"/>
      <c r="E1" s="225"/>
      <c r="F1" s="226"/>
      <c r="G1" s="229"/>
      <c r="H1" s="231"/>
      <c r="I1" s="231"/>
      <c r="J1" s="447" t="s">
        <v>199</v>
      </c>
      <c r="K1" s="448"/>
      <c r="L1" s="447"/>
      <c r="M1" s="452" t="s">
        <v>201</v>
      </c>
      <c r="N1" s="452"/>
      <c r="O1" s="452"/>
      <c r="P1" s="541" t="s">
        <v>200</v>
      </c>
      <c r="Q1" s="541"/>
      <c r="R1" s="542"/>
      <c r="S1" s="542"/>
    </row>
    <row r="2" spans="1:29">
      <c r="A2" s="228"/>
      <c r="B2" s="223" t="s">
        <v>196</v>
      </c>
      <c r="C2" s="223" t="s">
        <v>208</v>
      </c>
      <c r="D2" s="224" t="s">
        <v>209</v>
      </c>
      <c r="E2" s="223" t="s">
        <v>207</v>
      </c>
      <c r="F2" s="224" t="s">
        <v>210</v>
      </c>
      <c r="G2" s="229"/>
      <c r="H2" s="231"/>
      <c r="I2" s="231"/>
      <c r="J2" s="449">
        <v>2024</v>
      </c>
      <c r="K2" s="307">
        <f t="shared" ref="K2:S2" si="0">J2+1</f>
        <v>2025</v>
      </c>
      <c r="L2" s="307">
        <f t="shared" si="0"/>
        <v>2026</v>
      </c>
      <c r="M2" s="380">
        <f t="shared" si="0"/>
        <v>2027</v>
      </c>
      <c r="N2" s="380">
        <f t="shared" si="0"/>
        <v>2028</v>
      </c>
      <c r="O2" s="380">
        <f t="shared" si="0"/>
        <v>2029</v>
      </c>
      <c r="P2" s="465">
        <f t="shared" si="0"/>
        <v>2030</v>
      </c>
      <c r="Q2" s="465">
        <f t="shared" si="0"/>
        <v>2031</v>
      </c>
      <c r="R2" s="465">
        <f t="shared" si="0"/>
        <v>2032</v>
      </c>
      <c r="S2" s="465">
        <f t="shared" si="0"/>
        <v>2033</v>
      </c>
      <c r="U2" s="112"/>
    </row>
    <row r="3" spans="1:29">
      <c r="A3" s="456" t="s">
        <v>202</v>
      </c>
      <c r="B3" s="457">
        <v>163512</v>
      </c>
      <c r="C3" s="457">
        <v>856</v>
      </c>
      <c r="D3" s="458">
        <f t="shared" ref="D3:D5" si="1">E3*C3/$B$3</f>
        <v>0</v>
      </c>
      <c r="E3" s="457"/>
      <c r="F3" s="458">
        <f>E3/$E$6</f>
        <v>0</v>
      </c>
      <c r="G3" s="456" t="s">
        <v>217</v>
      </c>
      <c r="H3" s="439"/>
      <c r="I3" s="230" t="s">
        <v>217</v>
      </c>
      <c r="J3" s="450">
        <f>E3*0.5</f>
        <v>0</v>
      </c>
      <c r="K3" s="450">
        <f>E3*0.5</f>
        <v>0</v>
      </c>
      <c r="L3" s="451"/>
      <c r="M3" s="453">
        <f>(E14+E25)*0.5</f>
        <v>246</v>
      </c>
      <c r="N3" s="453">
        <f>(E14+E25)*0.5</f>
        <v>246</v>
      </c>
      <c r="O3" s="454"/>
      <c r="P3" s="543">
        <f>E49/2</f>
        <v>30</v>
      </c>
      <c r="Q3" s="543">
        <f>E49/2</f>
        <v>30</v>
      </c>
      <c r="R3" s="542"/>
      <c r="S3" s="542"/>
    </row>
    <row r="4" spans="1:29">
      <c r="A4" s="456"/>
      <c r="B4" s="457"/>
      <c r="C4" s="457">
        <v>900</v>
      </c>
      <c r="D4" s="458">
        <f t="shared" si="1"/>
        <v>1.0017613386173492</v>
      </c>
      <c r="E4" s="457">
        <v>182</v>
      </c>
      <c r="F4" s="458">
        <f>E4/$E$6</f>
        <v>1</v>
      </c>
      <c r="G4" s="456" t="s">
        <v>218</v>
      </c>
      <c r="H4" s="711"/>
      <c r="I4" s="230" t="s">
        <v>218</v>
      </c>
      <c r="J4" s="451">
        <f>E4*0.5</f>
        <v>91</v>
      </c>
      <c r="K4" s="451">
        <f>E4*0.5</f>
        <v>91</v>
      </c>
      <c r="L4" s="451"/>
      <c r="M4" s="453">
        <f>(E15+E26)*0.5</f>
        <v>46</v>
      </c>
      <c r="N4" s="453">
        <f>(E15+E26)*0.5</f>
        <v>46</v>
      </c>
      <c r="O4" s="455"/>
      <c r="P4" s="542"/>
      <c r="Q4" s="542"/>
      <c r="R4" s="542"/>
      <c r="S4" s="542"/>
    </row>
    <row r="5" spans="1:29">
      <c r="A5" s="319"/>
      <c r="B5" s="459"/>
      <c r="C5" s="459">
        <v>1215</v>
      </c>
      <c r="D5" s="458">
        <f t="shared" si="1"/>
        <v>0</v>
      </c>
      <c r="E5" s="459"/>
      <c r="F5" s="458">
        <f>E5/$E$6</f>
        <v>0</v>
      </c>
      <c r="G5" s="456" t="s">
        <v>219</v>
      </c>
      <c r="H5" s="440"/>
      <c r="I5" s="150" t="s">
        <v>219</v>
      </c>
      <c r="J5" s="451">
        <f>E40*0.5</f>
        <v>65</v>
      </c>
      <c r="K5" s="451">
        <f>E40*0.5</f>
        <v>65</v>
      </c>
      <c r="L5" s="451"/>
      <c r="M5" s="453"/>
      <c r="N5" s="453"/>
      <c r="O5" s="455"/>
      <c r="P5" s="543">
        <f>E51/2</f>
        <v>32</v>
      </c>
      <c r="Q5" s="543">
        <f>E51/2</f>
        <v>32</v>
      </c>
      <c r="R5" s="542"/>
      <c r="S5" s="542"/>
    </row>
    <row r="6" spans="1:29">
      <c r="A6" s="456"/>
      <c r="B6" s="459"/>
      <c r="C6" s="459"/>
      <c r="D6" s="460">
        <f>SUM(D3:D5)</f>
        <v>1.0017613386173492</v>
      </c>
      <c r="E6" s="459">
        <f>SUM(E3:E5)</f>
        <v>182</v>
      </c>
      <c r="F6" s="461"/>
      <c r="G6" s="456"/>
      <c r="H6" s="440"/>
      <c r="I6" s="150" t="s">
        <v>141</v>
      </c>
      <c r="J6" s="451">
        <f>B42*0.5</f>
        <v>87704.257199999993</v>
      </c>
      <c r="K6" s="451">
        <f>B42*0.5</f>
        <v>87704.257199999993</v>
      </c>
      <c r="L6" s="451"/>
      <c r="M6" s="453">
        <f>(B18+B29)/2</f>
        <v>63237.912499999991</v>
      </c>
      <c r="N6" s="453">
        <f>(B18+B29)/2</f>
        <v>63237.912499999991</v>
      </c>
      <c r="O6" s="455"/>
      <c r="P6" s="543">
        <f>B53/2</f>
        <v>15403.140899999999</v>
      </c>
      <c r="Q6" s="543">
        <f>B53/2</f>
        <v>15403.140899999999</v>
      </c>
      <c r="R6" s="542"/>
      <c r="S6" s="542"/>
      <c r="T6" s="157"/>
      <c r="U6" s="157"/>
      <c r="V6" s="157"/>
      <c r="W6" s="157"/>
      <c r="X6" s="157"/>
      <c r="Y6" s="157"/>
      <c r="Z6" s="157"/>
      <c r="AA6" s="157"/>
      <c r="AB6" s="157"/>
      <c r="AC6" s="157"/>
    </row>
    <row r="7" spans="1:29">
      <c r="A7" s="319"/>
      <c r="B7" s="459">
        <v>0</v>
      </c>
      <c r="C7" s="459"/>
      <c r="D7" s="461"/>
      <c r="E7" s="459"/>
      <c r="F7" s="461"/>
      <c r="G7" s="456" t="s">
        <v>141</v>
      </c>
      <c r="H7" s="440"/>
      <c r="I7" s="150" t="s">
        <v>78</v>
      </c>
      <c r="J7" s="451">
        <f>(B8+B43)*0.5</f>
        <v>14108.781924999999</v>
      </c>
      <c r="K7" s="451">
        <f>(B8+B43)*0.5</f>
        <v>14108.781924999999</v>
      </c>
      <c r="L7" s="451"/>
      <c r="M7" s="453">
        <f>(B19+B30)/2</f>
        <v>11460.862525</v>
      </c>
      <c r="N7" s="453">
        <f>(B19+B30)/2</f>
        <v>11460.862525</v>
      </c>
      <c r="O7" s="455"/>
      <c r="P7" s="543">
        <f>B54/2</f>
        <v>2938.5446999999999</v>
      </c>
      <c r="Q7" s="543">
        <f>B54/2</f>
        <v>2938.5446999999999</v>
      </c>
      <c r="R7" s="542"/>
      <c r="S7" s="542"/>
      <c r="T7" s="157"/>
      <c r="U7" s="157"/>
      <c r="V7" s="157"/>
      <c r="W7" s="157"/>
      <c r="X7" s="157"/>
      <c r="Y7" s="157"/>
      <c r="Z7" s="157"/>
      <c r="AA7" s="157"/>
      <c r="AB7" s="157"/>
      <c r="AC7" s="157"/>
    </row>
    <row r="8" spans="1:29">
      <c r="A8" s="319"/>
      <c r="B8" s="459">
        <v>11748.796849999999</v>
      </c>
      <c r="C8" s="459"/>
      <c r="D8" s="461"/>
      <c r="E8" s="459"/>
      <c r="F8" s="461"/>
      <c r="G8" s="456" t="s">
        <v>78</v>
      </c>
      <c r="H8" s="440"/>
      <c r="I8" s="150" t="s">
        <v>206</v>
      </c>
      <c r="J8" s="451"/>
      <c r="K8" s="451"/>
      <c r="L8" s="451"/>
      <c r="M8" s="453">
        <f>B31/2</f>
        <v>9224.6623</v>
      </c>
      <c r="N8" s="453">
        <f>B31/2</f>
        <v>9224.6623</v>
      </c>
      <c r="O8" s="455"/>
      <c r="P8" s="542"/>
      <c r="Q8" s="542"/>
      <c r="R8" s="542"/>
      <c r="S8" s="542"/>
      <c r="T8" s="213"/>
      <c r="U8" s="157"/>
      <c r="V8" s="157"/>
      <c r="W8" s="157"/>
      <c r="X8" s="157"/>
      <c r="Y8" s="157"/>
      <c r="Z8" s="157"/>
      <c r="AA8" s="157"/>
      <c r="AB8" s="157"/>
      <c r="AC8" s="157"/>
    </row>
    <row r="9" spans="1:29" s="157" customFormat="1">
      <c r="A9" s="319"/>
      <c r="B9" s="459"/>
      <c r="C9" s="459"/>
      <c r="D9" s="461"/>
      <c r="E9" s="459">
        <f>INT(E4*0.66)</f>
        <v>120</v>
      </c>
      <c r="F9" s="458"/>
      <c r="G9" s="456" t="s">
        <v>235</v>
      </c>
      <c r="H9" s="440"/>
      <c r="I9" s="150" t="s">
        <v>235</v>
      </c>
      <c r="J9" s="451">
        <f>E9+E44</f>
        <v>224</v>
      </c>
      <c r="K9" s="451"/>
      <c r="L9" s="451"/>
      <c r="M9" s="453">
        <f>(E20+E32)</f>
        <v>451.56000000000006</v>
      </c>
      <c r="N9" s="453"/>
      <c r="O9" s="455"/>
      <c r="P9" s="543">
        <f>E55</f>
        <v>124</v>
      </c>
      <c r="Q9" s="543"/>
      <c r="R9" s="542"/>
      <c r="S9" s="542"/>
      <c r="T9" s="213"/>
    </row>
    <row r="10" spans="1:29">
      <c r="A10" s="319"/>
      <c r="B10" s="459"/>
      <c r="C10" s="459"/>
      <c r="D10" s="461"/>
      <c r="E10" s="462">
        <f>6*B7/1000</f>
        <v>0</v>
      </c>
      <c r="F10" s="461"/>
      <c r="G10" s="456" t="s">
        <v>224</v>
      </c>
      <c r="H10" s="710"/>
      <c r="I10" s="150" t="s">
        <v>224</v>
      </c>
      <c r="J10" s="451">
        <f>E10+E45</f>
        <v>350.81702879999995</v>
      </c>
      <c r="K10" s="451"/>
      <c r="L10" s="451"/>
      <c r="M10" s="453">
        <f>E21+E33</f>
        <v>252.95164999999997</v>
      </c>
      <c r="N10" s="453"/>
      <c r="O10" s="455"/>
      <c r="P10" s="543">
        <f t="shared" ref="P10:P11" si="2">E56</f>
        <v>30</v>
      </c>
      <c r="Q10" s="543"/>
      <c r="R10" s="542"/>
      <c r="S10" s="542"/>
      <c r="T10" s="213"/>
      <c r="U10" s="157"/>
      <c r="V10" s="157"/>
      <c r="W10" s="157"/>
      <c r="X10" s="157"/>
      <c r="Y10" s="157"/>
      <c r="Z10" s="157"/>
      <c r="AA10" s="157"/>
      <c r="AB10" s="157"/>
      <c r="AC10" s="157"/>
    </row>
    <row r="11" spans="1:29">
      <c r="A11" s="319"/>
      <c r="B11" s="459"/>
      <c r="C11" s="459"/>
      <c r="D11" s="461"/>
      <c r="E11" s="459">
        <f>B8/600</f>
        <v>19.581328083333332</v>
      </c>
      <c r="F11" s="461"/>
      <c r="G11" s="456" t="s">
        <v>225</v>
      </c>
      <c r="H11" s="440"/>
      <c r="I11" s="150" t="s">
        <v>225</v>
      </c>
      <c r="J11" s="451">
        <f>E11+E46</f>
        <v>47.029273083333337</v>
      </c>
      <c r="K11" s="451"/>
      <c r="L11" s="451"/>
      <c r="M11" s="453">
        <f>E22+E34</f>
        <v>46.141251333333329</v>
      </c>
      <c r="N11" s="453"/>
      <c r="O11" s="455"/>
      <c r="P11" s="543">
        <f t="shared" si="2"/>
        <v>9</v>
      </c>
      <c r="Q11" s="543"/>
      <c r="R11" s="542"/>
      <c r="S11" s="542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</row>
    <row r="12" spans="1:29">
      <c r="A12" s="319"/>
      <c r="B12" s="459"/>
      <c r="C12" s="459"/>
      <c r="D12" s="458"/>
      <c r="E12" s="459">
        <f>SUM(E9:E11)</f>
        <v>139.58132808333335</v>
      </c>
      <c r="F12" s="461"/>
      <c r="G12" s="456" t="s">
        <v>286</v>
      </c>
      <c r="H12" s="441"/>
      <c r="I12" s="150" t="s">
        <v>240</v>
      </c>
      <c r="J12" s="451"/>
      <c r="K12" s="451"/>
      <c r="L12" s="451"/>
      <c r="M12" s="453">
        <f>E35</f>
        <v>18.449324600000001</v>
      </c>
      <c r="N12" s="453"/>
      <c r="O12" s="455"/>
      <c r="P12" s="543"/>
      <c r="Q12" s="542"/>
      <c r="R12" s="542"/>
      <c r="S12" s="542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</row>
    <row r="13" spans="1:29">
      <c r="A13" s="229"/>
      <c r="B13" s="225"/>
      <c r="C13" s="225"/>
      <c r="D13" s="226"/>
      <c r="E13" s="225"/>
      <c r="F13" s="226"/>
      <c r="G13" s="150"/>
      <c r="H13" s="635"/>
      <c r="I13" s="150" t="s">
        <v>245</v>
      </c>
      <c r="J13" s="451">
        <f>SUM(J9:J12)</f>
        <v>621.84630188333324</v>
      </c>
      <c r="K13" s="451">
        <f t="shared" ref="K13:S13" si="3">SUM(K9:K12)</f>
        <v>0</v>
      </c>
      <c r="L13" s="451">
        <f t="shared" si="3"/>
        <v>0</v>
      </c>
      <c r="M13" s="453">
        <f t="shared" si="3"/>
        <v>769.10222593333333</v>
      </c>
      <c r="N13" s="453">
        <f t="shared" si="3"/>
        <v>0</v>
      </c>
      <c r="O13" s="453">
        <f t="shared" si="3"/>
        <v>0</v>
      </c>
      <c r="P13" s="544">
        <f t="shared" si="3"/>
        <v>163</v>
      </c>
      <c r="Q13" s="544"/>
      <c r="R13" s="544">
        <f t="shared" si="3"/>
        <v>0</v>
      </c>
      <c r="S13" s="544">
        <f t="shared" si="3"/>
        <v>0</v>
      </c>
      <c r="T13" s="157"/>
      <c r="U13" s="157"/>
      <c r="V13" s="157"/>
      <c r="W13" s="157"/>
      <c r="X13" s="157"/>
      <c r="Y13" s="157"/>
      <c r="Z13" s="157"/>
      <c r="AA13" s="157"/>
      <c r="AB13" s="157"/>
      <c r="AC13" s="157"/>
    </row>
    <row r="14" spans="1:29">
      <c r="A14" s="463" t="s">
        <v>203</v>
      </c>
      <c r="B14" s="442">
        <v>204309</v>
      </c>
      <c r="C14" s="442">
        <v>856</v>
      </c>
      <c r="D14" s="443">
        <f>E14*C14/$B$14</f>
        <v>0.79604912167354347</v>
      </c>
      <c r="E14" s="694">
        <v>190</v>
      </c>
      <c r="F14" s="443">
        <f>E14/$E$17</f>
        <v>0.80508474576271183</v>
      </c>
      <c r="G14" s="463" t="s">
        <v>217</v>
      </c>
      <c r="H14" s="636"/>
      <c r="I14" s="150"/>
      <c r="L14" s="157"/>
      <c r="M14" s="179"/>
      <c r="N14" s="179"/>
      <c r="O14" s="179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</row>
    <row r="15" spans="1:29">
      <c r="A15" s="464"/>
      <c r="B15" s="444"/>
      <c r="C15" s="442">
        <v>900</v>
      </c>
      <c r="D15" s="443">
        <f>E15*C15/$B$14</f>
        <v>0.20263424518743667</v>
      </c>
      <c r="E15" s="695">
        <v>46</v>
      </c>
      <c r="F15" s="443">
        <f>E15/$E$17</f>
        <v>0.19491525423728814</v>
      </c>
      <c r="G15" s="463" t="s">
        <v>218</v>
      </c>
      <c r="H15" s="635"/>
      <c r="I15" s="150"/>
      <c r="L15" s="157"/>
      <c r="M15" s="179"/>
      <c r="N15" s="179"/>
      <c r="O15" s="179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</row>
    <row r="16" spans="1:29">
      <c r="A16" s="464"/>
      <c r="B16" s="444"/>
      <c r="C16" s="444">
        <v>1215</v>
      </c>
      <c r="D16" s="443">
        <f t="shared" ref="D16" si="4">E16*C16/$B$3</f>
        <v>0</v>
      </c>
      <c r="E16" s="695"/>
      <c r="F16" s="443">
        <f>E16/$E$17</f>
        <v>0</v>
      </c>
      <c r="G16" s="463" t="s">
        <v>219</v>
      </c>
      <c r="H16" s="150"/>
      <c r="I16" s="150"/>
      <c r="J16" s="134"/>
      <c r="K16" s="134"/>
      <c r="L16" s="134"/>
      <c r="M16" s="134"/>
      <c r="N16" s="179"/>
      <c r="O16" s="179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</row>
    <row r="17" spans="1:29">
      <c r="A17" s="464"/>
      <c r="B17" s="444"/>
      <c r="C17" s="444"/>
      <c r="D17" s="445">
        <f>SUM(D14:D16)</f>
        <v>0.99868336686098014</v>
      </c>
      <c r="E17" s="695">
        <v>236</v>
      </c>
      <c r="F17" s="446"/>
      <c r="G17" s="463"/>
      <c r="H17" s="635"/>
      <c r="I17" s="150"/>
      <c r="J17" s="134"/>
      <c r="L17" s="157"/>
      <c r="M17" s="134"/>
      <c r="N17" s="179"/>
      <c r="O17" s="179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</row>
    <row r="18" spans="1:29">
      <c r="A18" s="464"/>
      <c r="B18" s="444">
        <v>126475.82499999998</v>
      </c>
      <c r="C18" s="444"/>
      <c r="D18" s="446"/>
      <c r="E18" s="442"/>
      <c r="F18" s="446"/>
      <c r="G18" s="463" t="s">
        <v>141</v>
      </c>
      <c r="H18" s="635"/>
      <c r="I18" s="150"/>
      <c r="L18" s="157"/>
      <c r="M18" s="179"/>
      <c r="N18" s="179"/>
      <c r="O18" s="17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</row>
    <row r="19" spans="1:29">
      <c r="A19" s="464"/>
      <c r="B19" s="444">
        <v>9235.4261999999999</v>
      </c>
      <c r="C19" s="444"/>
      <c r="D19" s="446"/>
      <c r="E19" s="444"/>
      <c r="F19" s="446"/>
      <c r="G19" s="463" t="s">
        <v>78</v>
      </c>
      <c r="H19" s="150"/>
      <c r="I19" s="150"/>
      <c r="L19" s="157"/>
      <c r="M19" s="179"/>
      <c r="N19" s="179"/>
      <c r="O19" s="17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</row>
    <row r="20" spans="1:29">
      <c r="A20" s="464"/>
      <c r="B20" s="444"/>
      <c r="C20" s="444"/>
      <c r="D20" s="446"/>
      <c r="E20" s="444">
        <f>E14 * 0.8+E15* 0.66</f>
        <v>182.36</v>
      </c>
      <c r="F20" s="446"/>
      <c r="G20" s="463" t="s">
        <v>235</v>
      </c>
      <c r="I20" s="150"/>
      <c r="L20" s="157"/>
      <c r="M20" s="213"/>
      <c r="N20" s="213"/>
      <c r="O20" s="213"/>
      <c r="P20" s="157"/>
      <c r="Q20" s="157"/>
      <c r="R20" s="157"/>
      <c r="S20" s="157"/>
      <c r="T20" s="157"/>
      <c r="U20" s="215"/>
      <c r="V20" s="215"/>
      <c r="W20" s="215"/>
      <c r="X20" s="215"/>
      <c r="Y20" s="215"/>
      <c r="Z20" s="215"/>
      <c r="AA20" s="157"/>
      <c r="AB20" s="157"/>
      <c r="AC20" s="157"/>
    </row>
    <row r="21" spans="1:29" ht="15">
      <c r="A21" s="464"/>
      <c r="B21" s="444"/>
      <c r="C21" s="444"/>
      <c r="D21" s="446"/>
      <c r="E21" s="444">
        <f>B18/1000*2</f>
        <v>252.95164999999997</v>
      </c>
      <c r="F21" s="446"/>
      <c r="G21" s="463" t="s">
        <v>224</v>
      </c>
      <c r="H21" s="262"/>
      <c r="I21" s="261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215"/>
      <c r="Z21" s="157"/>
      <c r="AA21" s="157"/>
      <c r="AB21" s="157"/>
      <c r="AC21" s="157"/>
    </row>
    <row r="22" spans="1:29">
      <c r="A22" s="464"/>
      <c r="B22" s="444"/>
      <c r="C22" s="444"/>
      <c r="D22" s="446"/>
      <c r="E22" s="444">
        <f>B19/600</f>
        <v>15.392377</v>
      </c>
      <c r="F22" s="446"/>
      <c r="G22" s="463" t="s">
        <v>225</v>
      </c>
      <c r="H22" s="150"/>
      <c r="I22" s="150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215"/>
      <c r="Z22" s="157"/>
      <c r="AA22" s="157"/>
      <c r="AB22" s="157"/>
      <c r="AC22" s="157"/>
    </row>
    <row r="23" spans="1:29">
      <c r="A23" s="464"/>
      <c r="B23" s="444"/>
      <c r="C23" s="444"/>
      <c r="D23" s="443"/>
      <c r="E23" s="444">
        <f>SUM(E20:E22)</f>
        <v>450.704027</v>
      </c>
      <c r="F23" s="446"/>
      <c r="G23" s="463" t="s">
        <v>286</v>
      </c>
      <c r="H23" s="150"/>
      <c r="I23" s="150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215"/>
      <c r="Z23" s="157"/>
      <c r="AA23" s="157"/>
      <c r="AB23" s="157"/>
      <c r="AC23" s="157"/>
    </row>
    <row r="24" spans="1:29">
      <c r="A24" s="229"/>
      <c r="B24" s="225"/>
      <c r="C24" s="225"/>
      <c r="D24" s="226"/>
      <c r="E24" s="225"/>
      <c r="F24" s="226"/>
      <c r="G24" s="150"/>
      <c r="H24" s="150"/>
      <c r="I24" s="150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215"/>
      <c r="Z24" s="157"/>
      <c r="AA24" s="157"/>
      <c r="AB24" s="157"/>
      <c r="AC24" s="157"/>
    </row>
    <row r="25" spans="1:29">
      <c r="A25" s="463" t="s">
        <v>204</v>
      </c>
      <c r="B25" s="442">
        <v>301098</v>
      </c>
      <c r="C25" s="442">
        <v>856</v>
      </c>
      <c r="D25" s="443">
        <f>E25*C25/$B$25</f>
        <v>0.85856432125088844</v>
      </c>
      <c r="E25" s="442">
        <v>302</v>
      </c>
      <c r="F25" s="443">
        <f>E25/$E$28</f>
        <v>0.86781609195402298</v>
      </c>
      <c r="G25" s="463" t="s">
        <v>217</v>
      </c>
      <c r="H25" s="150"/>
      <c r="I25" s="150"/>
      <c r="J25" s="154"/>
      <c r="K25" s="154"/>
      <c r="L25" s="216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</row>
    <row r="26" spans="1:29">
      <c r="A26" s="464"/>
      <c r="B26" s="444"/>
      <c r="C26" s="442">
        <v>900</v>
      </c>
      <c r="D26" s="443">
        <f>E26*C26/$B$25</f>
        <v>0.13749676185162307</v>
      </c>
      <c r="E26" s="442">
        <v>46</v>
      </c>
      <c r="F26" s="443">
        <f>E26/$E$28</f>
        <v>0.13218390804597702</v>
      </c>
      <c r="G26" s="463" t="s">
        <v>218</v>
      </c>
      <c r="H26" s="150"/>
      <c r="I26" s="150"/>
      <c r="J26" s="178"/>
      <c r="K26" s="178"/>
      <c r="L26" s="179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</row>
    <row r="27" spans="1:29">
      <c r="A27" s="464"/>
      <c r="B27" s="444"/>
      <c r="C27" s="444">
        <v>1215</v>
      </c>
      <c r="D27" s="443">
        <f>E27*C27/$B$25</f>
        <v>0</v>
      </c>
      <c r="E27" s="444"/>
      <c r="F27" s="443">
        <f>E27/$E$28</f>
        <v>0</v>
      </c>
      <c r="G27" s="463" t="s">
        <v>219</v>
      </c>
      <c r="H27" s="150"/>
      <c r="I27" s="150"/>
      <c r="J27" s="179"/>
      <c r="K27" s="179"/>
      <c r="L27" s="179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</row>
    <row r="28" spans="1:29">
      <c r="A28" s="464"/>
      <c r="B28" s="444"/>
      <c r="C28" s="444"/>
      <c r="D28" s="445">
        <f>SUM(D25:D27)</f>
        <v>0.99606108310251151</v>
      </c>
      <c r="E28" s="444">
        <f>SUM(E25:E27)</f>
        <v>348</v>
      </c>
      <c r="F28" s="446"/>
      <c r="G28" s="463"/>
      <c r="H28" s="150"/>
      <c r="I28" s="150"/>
      <c r="J28" s="179"/>
      <c r="K28" s="179"/>
      <c r="L28" s="179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</row>
    <row r="29" spans="1:29">
      <c r="A29" s="464"/>
      <c r="B29" s="444"/>
      <c r="C29" s="444"/>
      <c r="D29" s="446"/>
      <c r="E29" s="444"/>
      <c r="F29" s="446"/>
      <c r="G29" s="463" t="s">
        <v>141</v>
      </c>
      <c r="H29" s="150"/>
      <c r="I29" s="150"/>
      <c r="J29" s="178"/>
      <c r="K29" s="178"/>
      <c r="L29" s="179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</row>
    <row r="30" spans="1:29">
      <c r="A30" s="464"/>
      <c r="B30" s="444">
        <v>13686.298849999999</v>
      </c>
      <c r="C30" s="444"/>
      <c r="D30" s="446"/>
      <c r="E30" s="444"/>
      <c r="F30" s="446"/>
      <c r="G30" s="463" t="s">
        <v>78</v>
      </c>
      <c r="H30" s="150"/>
      <c r="I30" s="150"/>
      <c r="J30" s="178"/>
      <c r="K30" s="178"/>
      <c r="L30" s="179"/>
      <c r="M30" s="157"/>
      <c r="N30" s="213"/>
      <c r="O30" s="216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</row>
    <row r="31" spans="1:29">
      <c r="A31" s="464"/>
      <c r="B31" s="444">
        <v>18449.3246</v>
      </c>
      <c r="C31" s="444"/>
      <c r="D31" s="446"/>
      <c r="E31" s="444"/>
      <c r="F31" s="446"/>
      <c r="G31" s="463" t="s">
        <v>206</v>
      </c>
      <c r="H31" s="150"/>
      <c r="I31" s="150"/>
      <c r="J31" s="178"/>
      <c r="K31" s="178"/>
      <c r="L31" s="179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</row>
    <row r="32" spans="1:29">
      <c r="A32" s="464"/>
      <c r="B32" s="444"/>
      <c r="C32" s="444"/>
      <c r="D32" s="446"/>
      <c r="E32" s="444">
        <f>E25*0.8+E26*0.6</f>
        <v>269.20000000000005</v>
      </c>
      <c r="F32" s="446"/>
      <c r="G32" s="463" t="s">
        <v>235</v>
      </c>
      <c r="H32" s="150"/>
      <c r="I32" s="150"/>
      <c r="J32" s="178"/>
      <c r="K32" s="178"/>
      <c r="L32" s="178"/>
    </row>
    <row r="33" spans="1:29">
      <c r="A33" s="464"/>
      <c r="B33" s="444"/>
      <c r="C33" s="444"/>
      <c r="D33" s="446"/>
      <c r="E33" s="444"/>
      <c r="F33" s="446"/>
      <c r="G33" s="463" t="s">
        <v>224</v>
      </c>
      <c r="H33" s="150"/>
      <c r="I33" s="150"/>
      <c r="J33" s="178"/>
      <c r="K33" s="178"/>
      <c r="L33" s="178"/>
    </row>
    <row r="34" spans="1:29">
      <c r="A34" s="464"/>
      <c r="B34" s="444"/>
      <c r="C34" s="444"/>
      <c r="D34" s="446"/>
      <c r="E34" s="444">
        <f>1*B31/600</f>
        <v>30.748874333333333</v>
      </c>
      <c r="F34" s="446"/>
      <c r="G34" s="463" t="s">
        <v>225</v>
      </c>
      <c r="H34" s="150"/>
      <c r="I34" s="150"/>
      <c r="J34" s="178"/>
      <c r="K34" s="178"/>
      <c r="L34" s="178"/>
    </row>
    <row r="35" spans="1:29">
      <c r="A35" s="464"/>
      <c r="B35" s="444"/>
      <c r="C35" s="444"/>
      <c r="D35" s="446"/>
      <c r="E35" s="444">
        <f>B31/1000</f>
        <v>18.449324600000001</v>
      </c>
      <c r="F35" s="446"/>
      <c r="G35" s="463" t="s">
        <v>240</v>
      </c>
      <c r="H35" s="150"/>
      <c r="I35" s="150"/>
      <c r="J35" s="178"/>
      <c r="K35" s="178"/>
      <c r="L35" s="178"/>
    </row>
    <row r="36" spans="1:29">
      <c r="A36" s="464"/>
      <c r="B36" s="444"/>
      <c r="C36" s="444"/>
      <c r="D36" s="443"/>
      <c r="E36" s="444">
        <f>SUM(E32:E35)</f>
        <v>318.39819893333339</v>
      </c>
      <c r="F36" s="446"/>
      <c r="G36" s="463" t="s">
        <v>286</v>
      </c>
      <c r="H36" s="150"/>
      <c r="I36" s="150"/>
      <c r="J36" s="178"/>
      <c r="K36" s="178"/>
      <c r="L36" s="178"/>
    </row>
    <row r="37" spans="1:29">
      <c r="A37" s="229"/>
      <c r="B37" s="225"/>
      <c r="C37" s="225"/>
      <c r="D37" s="226"/>
      <c r="E37" s="225"/>
      <c r="F37" s="226"/>
      <c r="G37" s="150"/>
      <c r="H37" s="150"/>
      <c r="I37" s="150"/>
      <c r="J37" s="178"/>
      <c r="K37" s="178"/>
      <c r="L37" s="178"/>
    </row>
    <row r="38" spans="1:29">
      <c r="A38" s="456" t="s">
        <v>205</v>
      </c>
      <c r="B38" s="457">
        <v>159004</v>
      </c>
      <c r="C38" s="457">
        <v>856</v>
      </c>
      <c r="D38" s="458">
        <f>E38*C38/$B$38</f>
        <v>0</v>
      </c>
      <c r="E38" s="457"/>
      <c r="F38" s="458">
        <f>E38/$E$41</f>
        <v>0</v>
      </c>
      <c r="G38" s="456" t="s">
        <v>217</v>
      </c>
      <c r="H38" s="150"/>
      <c r="I38" s="150"/>
      <c r="J38" s="178"/>
      <c r="K38" s="178"/>
      <c r="L38" s="178"/>
    </row>
    <row r="39" spans="1:29">
      <c r="A39" s="456"/>
      <c r="B39" s="457"/>
      <c r="C39" s="457">
        <v>900</v>
      </c>
      <c r="D39" s="458">
        <f t="shared" ref="D39" si="5">E39*C39/$B$3</f>
        <v>0</v>
      </c>
      <c r="E39" s="457"/>
      <c r="F39" s="458">
        <f>E39/$E$41</f>
        <v>0</v>
      </c>
      <c r="G39" s="456" t="s">
        <v>218</v>
      </c>
      <c r="H39" s="150"/>
      <c r="I39" s="150"/>
      <c r="J39" s="178"/>
      <c r="K39" s="178"/>
      <c r="L39" s="178"/>
    </row>
    <row r="40" spans="1:29">
      <c r="A40" s="319"/>
      <c r="B40" s="459"/>
      <c r="C40" s="459">
        <v>1215</v>
      </c>
      <c r="D40" s="458">
        <f>E40*C40/$B$38</f>
        <v>0.99337123594374988</v>
      </c>
      <c r="E40" s="459">
        <v>130</v>
      </c>
      <c r="F40" s="458">
        <f>E40/$E$41</f>
        <v>1</v>
      </c>
      <c r="G40" s="456" t="s">
        <v>219</v>
      </c>
      <c r="H40" s="150"/>
      <c r="I40" s="150"/>
      <c r="J40" s="178"/>
      <c r="K40" s="178"/>
      <c r="L40" s="178"/>
    </row>
    <row r="41" spans="1:29">
      <c r="A41" s="319"/>
      <c r="B41" s="459"/>
      <c r="C41" s="459"/>
      <c r="D41" s="460">
        <f>SUM(D38:D40)</f>
        <v>0.99337123594374988</v>
      </c>
      <c r="E41" s="459">
        <f>SUM(E38:E40)</f>
        <v>130</v>
      </c>
      <c r="F41" s="461"/>
      <c r="G41" s="456"/>
      <c r="H41" s="150"/>
      <c r="I41" s="150"/>
      <c r="J41" s="178"/>
      <c r="K41" s="178"/>
      <c r="L41" s="178"/>
    </row>
    <row r="42" spans="1:29">
      <c r="A42" s="319"/>
      <c r="B42" s="459">
        <v>175408.51439999999</v>
      </c>
      <c r="C42" s="459"/>
      <c r="D42" s="461"/>
      <c r="E42" s="459"/>
      <c r="F42" s="461"/>
      <c r="G42" s="456" t="s">
        <v>141</v>
      </c>
      <c r="H42"/>
      <c r="I42" s="150"/>
      <c r="J42" s="178"/>
      <c r="K42" s="178"/>
      <c r="L42" s="179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</row>
    <row r="43" spans="1:29">
      <c r="A43" s="319"/>
      <c r="B43" s="459">
        <v>16468.767</v>
      </c>
      <c r="C43" s="459"/>
      <c r="D43" s="461"/>
      <c r="E43" s="459"/>
      <c r="F43" s="461"/>
      <c r="G43" s="456" t="s">
        <v>78</v>
      </c>
      <c r="H43" s="150"/>
      <c r="I43" s="150"/>
      <c r="J43" s="178"/>
      <c r="K43" s="178"/>
      <c r="L43" s="178"/>
      <c r="T43" s="194"/>
    </row>
    <row r="44" spans="1:29">
      <c r="A44" s="319"/>
      <c r="B44" s="459"/>
      <c r="C44" s="459"/>
      <c r="D44" s="461"/>
      <c r="E44" s="459">
        <f>E40*0.8</f>
        <v>104</v>
      </c>
      <c r="F44" s="461"/>
      <c r="G44" s="456" t="s">
        <v>235</v>
      </c>
      <c r="H44" s="150"/>
      <c r="I44" s="150"/>
    </row>
    <row r="45" spans="1:29">
      <c r="A45" s="319"/>
      <c r="B45" s="459"/>
      <c r="C45" s="459"/>
      <c r="D45" s="461"/>
      <c r="E45" s="459">
        <f>2*B42/1000</f>
        <v>350.81702879999995</v>
      </c>
      <c r="F45" s="461"/>
      <c r="G45" s="456" t="s">
        <v>224</v>
      </c>
      <c r="H45" s="150"/>
      <c r="I45" s="150"/>
    </row>
    <row r="46" spans="1:29">
      <c r="A46" s="319"/>
      <c r="B46" s="459"/>
      <c r="C46" s="459"/>
      <c r="D46" s="461"/>
      <c r="E46" s="459">
        <f>B43/600</f>
        <v>27.447945000000001</v>
      </c>
      <c r="F46" s="461"/>
      <c r="G46" s="456" t="s">
        <v>225</v>
      </c>
      <c r="H46" s="150"/>
      <c r="I46" s="150"/>
    </row>
    <row r="47" spans="1:29">
      <c r="A47" s="319"/>
      <c r="B47" s="459"/>
      <c r="C47" s="459"/>
      <c r="D47" s="458"/>
      <c r="E47" s="459">
        <f>SUM(E44:E46)</f>
        <v>482.26497379999995</v>
      </c>
      <c r="F47" s="461"/>
      <c r="G47" s="456" t="s">
        <v>286</v>
      </c>
      <c r="H47" s="150"/>
      <c r="I47" s="150"/>
    </row>
    <row r="48" spans="1:29">
      <c r="A48" s="229"/>
      <c r="B48" s="225"/>
      <c r="C48" s="225"/>
      <c r="D48" s="226"/>
      <c r="E48" s="227"/>
      <c r="F48" s="226"/>
      <c r="G48" s="150"/>
      <c r="H48" s="150"/>
      <c r="I48" s="150"/>
    </row>
    <row r="49" spans="1:9">
      <c r="A49" s="533" t="s">
        <v>234</v>
      </c>
      <c r="B49" s="534">
        <v>128480</v>
      </c>
      <c r="C49" s="534">
        <v>856</v>
      </c>
      <c r="D49" s="535">
        <f>E49*C49/$B$49</f>
        <v>0.39975093399750933</v>
      </c>
      <c r="E49" s="534">
        <v>60</v>
      </c>
      <c r="F49" s="535">
        <f>E49/$E$41</f>
        <v>0.46153846153846156</v>
      </c>
      <c r="G49" s="536" t="s">
        <v>217</v>
      </c>
      <c r="H49" s="664"/>
      <c r="I49" s="150"/>
    </row>
    <row r="50" spans="1:9">
      <c r="A50" s="536"/>
      <c r="B50" s="534"/>
      <c r="C50" s="534">
        <v>900</v>
      </c>
      <c r="D50" s="535">
        <f t="shared" ref="D50:D51" si="6">E50*C50/$B$49</f>
        <v>0</v>
      </c>
      <c r="E50" s="534"/>
      <c r="F50" s="535">
        <f>E50/$E$41</f>
        <v>0</v>
      </c>
      <c r="G50" s="536" t="s">
        <v>218</v>
      </c>
      <c r="H50" s="150"/>
      <c r="I50" s="150"/>
    </row>
    <row r="51" spans="1:9">
      <c r="A51" s="537"/>
      <c r="B51" s="538"/>
      <c r="C51" s="538">
        <v>1215</v>
      </c>
      <c r="D51" s="535">
        <f t="shared" si="6"/>
        <v>0.60523038605230384</v>
      </c>
      <c r="E51" s="538">
        <v>64</v>
      </c>
      <c r="F51" s="535">
        <f t="shared" ref="F51" si="7">E51/$E$41</f>
        <v>0.49230769230769234</v>
      </c>
      <c r="G51" s="536" t="s">
        <v>219</v>
      </c>
      <c r="H51" s="150"/>
      <c r="I51" s="150"/>
    </row>
    <row r="52" spans="1:9">
      <c r="A52" s="537"/>
      <c r="B52" s="538"/>
      <c r="C52" s="538"/>
      <c r="D52" s="539">
        <f>SUM(D49:D51)</f>
        <v>1.0049813200498132</v>
      </c>
      <c r="E52" s="538">
        <f>SUM(E49:E51)</f>
        <v>124</v>
      </c>
      <c r="F52" s="535"/>
      <c r="G52" s="536"/>
      <c r="H52" s="150"/>
      <c r="I52" s="150"/>
    </row>
    <row r="53" spans="1:9">
      <c r="A53" s="537"/>
      <c r="B53" s="538">
        <v>30806.281799999997</v>
      </c>
      <c r="C53" s="538"/>
      <c r="D53" s="540"/>
      <c r="E53" s="538"/>
      <c r="F53" s="540"/>
      <c r="G53" s="536" t="s">
        <v>141</v>
      </c>
      <c r="H53" s="150"/>
      <c r="I53" s="150"/>
    </row>
    <row r="54" spans="1:9">
      <c r="A54" s="537"/>
      <c r="B54" s="538">
        <v>5877.0893999999998</v>
      </c>
      <c r="C54" s="538"/>
      <c r="D54" s="540"/>
      <c r="E54" s="538"/>
      <c r="F54" s="540"/>
      <c r="G54" s="536" t="s">
        <v>78</v>
      </c>
      <c r="H54" s="150"/>
      <c r="I54" s="150"/>
    </row>
    <row r="55" spans="1:9">
      <c r="A55" s="537"/>
      <c r="B55" s="538"/>
      <c r="C55" s="538"/>
      <c r="D55" s="540"/>
      <c r="E55" s="538">
        <f>INT(E52)</f>
        <v>124</v>
      </c>
      <c r="F55" s="540"/>
      <c r="G55" s="536" t="s">
        <v>235</v>
      </c>
      <c r="H55" s="150"/>
      <c r="I55" s="150"/>
    </row>
    <row r="56" spans="1:9">
      <c r="A56" s="537"/>
      <c r="B56" s="538"/>
      <c r="C56" s="538"/>
      <c r="D56" s="540"/>
      <c r="E56" s="538">
        <f>INT(B53/1000)</f>
        <v>30</v>
      </c>
      <c r="F56" s="540"/>
      <c r="G56" s="536" t="s">
        <v>224</v>
      </c>
      <c r="H56" s="150"/>
      <c r="I56" s="150"/>
    </row>
    <row r="57" spans="1:9">
      <c r="A57" s="537"/>
      <c r="B57" s="538"/>
      <c r="C57" s="538"/>
      <c r="D57" s="540"/>
      <c r="E57" s="538">
        <f>INT(B54/600)</f>
        <v>9</v>
      </c>
      <c r="F57" s="540"/>
      <c r="G57" s="536" t="s">
        <v>225</v>
      </c>
      <c r="H57" s="150"/>
      <c r="I57" s="231"/>
    </row>
    <row r="58" spans="1:9">
      <c r="A58" s="537"/>
      <c r="B58" s="538"/>
      <c r="C58" s="538"/>
      <c r="D58" s="535"/>
      <c r="E58" s="534">
        <f>SUM(E55:E57)</f>
        <v>163</v>
      </c>
      <c r="F58" s="540"/>
      <c r="G58" s="537" t="s">
        <v>286</v>
      </c>
      <c r="H58" s="231"/>
    </row>
    <row r="60" spans="1:9">
      <c r="I60" s="212"/>
    </row>
    <row r="61" spans="1:9">
      <c r="C61" s="545" t="s">
        <v>287</v>
      </c>
      <c r="D61" s="153"/>
      <c r="E61" s="151"/>
      <c r="F61" s="151"/>
      <c r="G61" s="152"/>
      <c r="H61" s="212"/>
      <c r="I61" s="217"/>
    </row>
    <row r="62" spans="1:9">
      <c r="A62" s="112" t="s">
        <v>211</v>
      </c>
      <c r="B62" s="133">
        <f>E4+E15+E26+E39+E50</f>
        <v>274</v>
      </c>
      <c r="C62" s="676">
        <f>B62/(E6+E17+E28+E41+E52)</f>
        <v>0.26862745098039215</v>
      </c>
      <c r="F62" s="133"/>
      <c r="G62" s="153"/>
      <c r="H62" s="217"/>
      <c r="I62" s="217"/>
    </row>
    <row r="63" spans="1:9">
      <c r="A63" s="112" t="s">
        <v>212</v>
      </c>
      <c r="B63" s="133">
        <f>E3+E14+E25+E38+E49</f>
        <v>552</v>
      </c>
      <c r="D63" s="156"/>
      <c r="F63" s="156"/>
      <c r="G63" s="153"/>
      <c r="H63" s="217"/>
      <c r="I63" s="212"/>
    </row>
    <row r="64" spans="1:9">
      <c r="A64" s="112" t="s">
        <v>213</v>
      </c>
      <c r="B64" s="133">
        <f>E5+E16+E27+E40+E51</f>
        <v>194</v>
      </c>
      <c r="D64" s="153"/>
      <c r="F64" s="133"/>
      <c r="G64" s="152"/>
      <c r="H64" s="212"/>
      <c r="I64" s="212"/>
    </row>
    <row r="65" spans="1:9">
      <c r="A65" s="112" t="s">
        <v>214</v>
      </c>
      <c r="B65" s="133">
        <f>E4+E15+E26+E39</f>
        <v>274</v>
      </c>
      <c r="D65" s="156"/>
      <c r="F65" s="133"/>
      <c r="G65" s="152"/>
      <c r="H65" s="212"/>
      <c r="I65" s="212"/>
    </row>
    <row r="66" spans="1:9">
      <c r="A66" s="112" t="s">
        <v>215</v>
      </c>
      <c r="D66" s="151"/>
      <c r="E66" s="151"/>
      <c r="F66" s="133"/>
      <c r="G66" s="152"/>
      <c r="H66" s="212"/>
      <c r="I66" s="212"/>
    </row>
    <row r="67" spans="1:9">
      <c r="A67" s="112" t="s">
        <v>216</v>
      </c>
      <c r="E67" s="151"/>
      <c r="F67" s="151"/>
      <c r="G67" s="152"/>
      <c r="H67" s="212"/>
    </row>
    <row r="68" spans="1:9">
      <c r="A68" s="112" t="s">
        <v>224</v>
      </c>
      <c r="B68" s="133">
        <f>E20+E32+E10+E44+E56</f>
        <v>585.56000000000006</v>
      </c>
      <c r="C68" s="152">
        <f>B68/(B68+B69)</f>
        <v>0.48079086031854273</v>
      </c>
    </row>
    <row r="69" spans="1:9">
      <c r="A69" s="150" t="s">
        <v>225</v>
      </c>
      <c r="B69" s="133">
        <f>E11+E21+E33+E45+E57</f>
        <v>632.35000688333321</v>
      </c>
    </row>
    <row r="70" spans="1:9">
      <c r="A70" s="150" t="s">
        <v>245</v>
      </c>
      <c r="B70" s="133">
        <f>E12+E23+E36+E47+E58</f>
        <v>1553.9485278166667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O47"/>
  <sheetViews>
    <sheetView view="pageLayout" zoomScaleNormal="100" workbookViewId="0">
      <selection activeCell="G35" sqref="G35"/>
    </sheetView>
  </sheetViews>
  <sheetFormatPr defaultColWidth="9.140625" defaultRowHeight="12.75"/>
  <cols>
    <col min="1" max="1" width="9.140625" style="1"/>
    <col min="2" max="2" width="13.7109375" style="1" customWidth="1"/>
    <col min="3" max="3" width="14.5703125" style="3" bestFit="1" customWidth="1"/>
    <col min="4" max="4" width="8.28515625" style="3" customWidth="1"/>
    <col min="5" max="5" width="12" style="1" bestFit="1" customWidth="1"/>
    <col min="6" max="6" width="10.42578125" style="1" customWidth="1"/>
    <col min="7" max="7" width="10.7109375" style="1" bestFit="1" customWidth="1"/>
    <col min="8" max="8" width="12.85546875" style="1" bestFit="1" customWidth="1"/>
    <col min="9" max="10" width="10.7109375" style="1" bestFit="1" customWidth="1"/>
    <col min="11" max="12" width="9.7109375" style="1" bestFit="1" customWidth="1"/>
    <col min="13" max="13" width="11.140625" style="1" customWidth="1"/>
    <col min="14" max="14" width="8.28515625" style="1" customWidth="1"/>
    <col min="15" max="16384" width="9.140625" style="1"/>
  </cols>
  <sheetData>
    <row r="1" spans="1:15" ht="14.1" customHeight="1">
      <c r="A1" s="115"/>
      <c r="B1" s="115"/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09" t="s">
        <v>1</v>
      </c>
      <c r="N1" s="110" t="s">
        <v>236</v>
      </c>
    </row>
    <row r="2" spans="1:15" ht="14.1" customHeight="1">
      <c r="F2" s="8"/>
      <c r="O2" s="2"/>
    </row>
    <row r="3" spans="1:15" ht="14.1" customHeight="1">
      <c r="A3" s="36"/>
      <c r="B3" s="36"/>
      <c r="C3" s="57"/>
      <c r="D3" s="111" t="s">
        <v>2</v>
      </c>
      <c r="E3" s="295" t="s">
        <v>3</v>
      </c>
      <c r="F3" s="296"/>
      <c r="G3" s="295"/>
      <c r="H3" s="241" t="s">
        <v>198</v>
      </c>
      <c r="I3" s="241"/>
      <c r="J3" s="241"/>
      <c r="K3" s="171" t="s">
        <v>221</v>
      </c>
      <c r="L3" s="171"/>
      <c r="M3" s="171"/>
      <c r="N3" s="171"/>
    </row>
    <row r="4" spans="1:15" ht="14.1" customHeight="1">
      <c r="A4" s="35"/>
      <c r="B4" s="35"/>
      <c r="C4" s="49" t="s">
        <v>75</v>
      </c>
      <c r="D4" s="67" t="s">
        <v>124</v>
      </c>
      <c r="E4" s="297">
        <v>2024</v>
      </c>
      <c r="F4" s="298">
        <f>E4+1</f>
        <v>2025</v>
      </c>
      <c r="G4" s="298">
        <f t="shared" ref="G4:N4" si="0">F4+1</f>
        <v>2026</v>
      </c>
      <c r="H4" s="242">
        <f t="shared" si="0"/>
        <v>2027</v>
      </c>
      <c r="I4" s="242">
        <f t="shared" si="0"/>
        <v>2028</v>
      </c>
      <c r="J4" s="242">
        <f t="shared" si="0"/>
        <v>2029</v>
      </c>
      <c r="K4" s="172">
        <f t="shared" si="0"/>
        <v>2030</v>
      </c>
      <c r="L4" s="172">
        <f t="shared" si="0"/>
        <v>2031</v>
      </c>
      <c r="M4" s="172">
        <f t="shared" si="0"/>
        <v>2032</v>
      </c>
      <c r="N4" s="172">
        <f t="shared" si="0"/>
        <v>2033</v>
      </c>
      <c r="O4" s="112"/>
    </row>
    <row r="5" spans="1:15" ht="14.1" customHeight="1">
      <c r="A5" s="40" t="s">
        <v>76</v>
      </c>
      <c r="B5" s="19"/>
      <c r="C5" s="58">
        <v>0.02</v>
      </c>
      <c r="D5" s="58"/>
      <c r="E5" s="299"/>
      <c r="F5" s="299"/>
      <c r="G5" s="299"/>
      <c r="H5" s="243"/>
      <c r="I5" s="243"/>
      <c r="J5" s="243"/>
      <c r="K5" s="173"/>
      <c r="L5" s="173"/>
      <c r="M5" s="173"/>
      <c r="N5" s="173"/>
      <c r="O5" s="112"/>
    </row>
    <row r="6" spans="1:15" ht="18" customHeight="1">
      <c r="A6" s="10" t="s">
        <v>77</v>
      </c>
      <c r="B6" s="10"/>
      <c r="C6" s="41"/>
      <c r="D6" s="41"/>
      <c r="E6" s="300"/>
      <c r="F6" s="300"/>
      <c r="G6" s="300"/>
      <c r="H6" s="244"/>
      <c r="I6" s="244"/>
      <c r="J6" s="244"/>
      <c r="K6" s="174"/>
      <c r="L6" s="174"/>
      <c r="M6" s="174"/>
      <c r="N6" s="174"/>
      <c r="O6" s="112"/>
    </row>
    <row r="7" spans="1:15" ht="14.1" customHeight="1">
      <c r="A7" s="770" t="s">
        <v>5</v>
      </c>
      <c r="B7" s="119" t="s">
        <v>6</v>
      </c>
      <c r="C7" s="59"/>
      <c r="D7" s="59"/>
      <c r="E7" s="301">
        <f>'2.Market-rate Rental Housing'!D21</f>
        <v>0</v>
      </c>
      <c r="F7" s="301">
        <f>'2.Market-rate Rental Housing'!E21</f>
        <v>0</v>
      </c>
      <c r="G7" s="301">
        <f>'2.Market-rate Rental Housing'!F21</f>
        <v>0</v>
      </c>
      <c r="H7" s="245">
        <f>'2.Market-rate Rental Housing'!G21</f>
        <v>8423040</v>
      </c>
      <c r="I7" s="245">
        <f>'2.Market-rate Rental Housing'!H21</f>
        <v>8423040</v>
      </c>
      <c r="J7" s="245">
        <f>'2.Market-rate Rental Housing'!I21</f>
        <v>0</v>
      </c>
      <c r="K7" s="184">
        <f>'2.Market-rate Rental Housing'!J21</f>
        <v>1027200</v>
      </c>
      <c r="L7" s="184">
        <f>'2.Market-rate Rental Housing'!K21</f>
        <v>1027200</v>
      </c>
      <c r="M7" s="184">
        <f>'2.Market-rate Rental Housing'!L21</f>
        <v>0</v>
      </c>
      <c r="N7" s="184">
        <f>'2.Market-rate Rental Housing'!M21</f>
        <v>0</v>
      </c>
      <c r="O7" s="112"/>
    </row>
    <row r="8" spans="1:15" ht="14.1" customHeight="1">
      <c r="A8" s="771"/>
      <c r="B8" s="119" t="s">
        <v>7</v>
      </c>
      <c r="C8" s="59"/>
      <c r="D8" s="59"/>
      <c r="E8" s="301">
        <f>'2.Market-rate Rental Housing'!D21</f>
        <v>0</v>
      </c>
      <c r="F8" s="301">
        <f>'3.Market-rate For-Sale Housing'!E22</f>
        <v>43925895</v>
      </c>
      <c r="G8" s="301">
        <f>'3.Market-rate For-Sale Housing'!F22</f>
        <v>0</v>
      </c>
      <c r="H8" s="245">
        <f>'3.Market-rate For-Sale Housing'!G22</f>
        <v>0</v>
      </c>
      <c r="I8" s="245">
        <f>'3.Market-rate For-Sale Housing'!H22</f>
        <v>0</v>
      </c>
      <c r="J8" s="245">
        <f>'3.Market-rate For-Sale Housing'!I22</f>
        <v>0</v>
      </c>
      <c r="K8" s="184">
        <f>'3.Market-rate For-Sale Housing'!J22</f>
        <v>25069366.77608566</v>
      </c>
      <c r="L8" s="184">
        <f>'3.Market-rate For-Sale Housing'!K22</f>
        <v>25821447.779368229</v>
      </c>
      <c r="M8" s="184">
        <f>'3.Market-rate For-Sale Housing'!L22</f>
        <v>0</v>
      </c>
      <c r="N8" s="184">
        <f>'3.Market-rate For-Sale Housing'!M22</f>
        <v>0</v>
      </c>
      <c r="O8" s="112"/>
    </row>
    <row r="9" spans="1:15" ht="14.1" customHeight="1">
      <c r="A9" s="777" t="s">
        <v>218</v>
      </c>
      <c r="B9" s="777"/>
      <c r="C9" s="59"/>
      <c r="D9" s="59"/>
      <c r="E9" s="301">
        <f>'4.Affordable Rental Housing'!D20</f>
        <v>3276000</v>
      </c>
      <c r="F9" s="301">
        <f>'4.Affordable Rental Housing'!E20</f>
        <v>3276000</v>
      </c>
      <c r="G9" s="301">
        <f>'4.Affordable Rental Housing'!F20</f>
        <v>0</v>
      </c>
      <c r="H9" s="245">
        <f>'4.Affordable Rental Housing'!G20</f>
        <v>1656000</v>
      </c>
      <c r="I9" s="245">
        <f>'4.Affordable Rental Housing'!H20</f>
        <v>1656000</v>
      </c>
      <c r="J9" s="245">
        <f>'4.Affordable Rental Housing'!I20</f>
        <v>0</v>
      </c>
      <c r="K9" s="184">
        <f>'4.Affordable Rental Housing'!J20</f>
        <v>0</v>
      </c>
      <c r="L9" s="184">
        <f>'4.Affordable Rental Housing'!K20</f>
        <v>0</v>
      </c>
      <c r="M9" s="184">
        <f>'4.Affordable Rental Housing'!L20</f>
        <v>0</v>
      </c>
      <c r="N9" s="184">
        <f>'4.Affordable Rental Housing'!M20</f>
        <v>0</v>
      </c>
      <c r="O9" s="112"/>
    </row>
    <row r="10" spans="1:15" ht="14.1" customHeight="1">
      <c r="A10" s="778" t="s">
        <v>206</v>
      </c>
      <c r="B10" s="778"/>
      <c r="C10" s="59"/>
      <c r="D10" s="59"/>
      <c r="E10" s="301">
        <f>'8.Community Space'!D19</f>
        <v>0</v>
      </c>
      <c r="F10" s="301">
        <f>'8.Community Space'!E19</f>
        <v>0</v>
      </c>
      <c r="G10" s="301">
        <f>'8.Community Space'!F19</f>
        <v>0</v>
      </c>
      <c r="H10" s="245">
        <f>'8.Community Space'!G19</f>
        <v>184493.24599999998</v>
      </c>
      <c r="I10" s="245">
        <f>'8.Community Space'!H19</f>
        <v>184493.24599999998</v>
      </c>
      <c r="J10" s="245">
        <f>'8.Community Space'!I19</f>
        <v>0</v>
      </c>
      <c r="K10" s="184">
        <f>'8.Community Space'!J19</f>
        <v>0</v>
      </c>
      <c r="L10" s="184">
        <f>'8.Community Space'!K19</f>
        <v>0</v>
      </c>
      <c r="M10" s="184">
        <f>'8.Community Space'!L19</f>
        <v>0</v>
      </c>
      <c r="N10" s="184">
        <f>'8.Community Space'!M19</f>
        <v>0</v>
      </c>
      <c r="O10" s="112"/>
    </row>
    <row r="11" spans="1:15" ht="14.1" customHeight="1">
      <c r="A11" s="772" t="s">
        <v>227</v>
      </c>
      <c r="B11" s="772"/>
      <c r="C11" s="59"/>
      <c r="D11" s="59"/>
      <c r="E11" s="301">
        <f>'5.Office_Commercial'!D18</f>
        <v>1754085.1439999999</v>
      </c>
      <c r="F11" s="301">
        <f>'5.Office_Commercial'!E18</f>
        <v>1754085.1439999999</v>
      </c>
      <c r="G11" s="301">
        <f>'5.Office_Commercial'!F18</f>
        <v>0</v>
      </c>
      <c r="H11" s="245">
        <f>'5.Office_Commercial'!G18</f>
        <v>1264758.2499999998</v>
      </c>
      <c r="I11" s="245">
        <f>'5.Office_Commercial'!H18</f>
        <v>1264758.2499999998</v>
      </c>
      <c r="J11" s="245">
        <f>'5.Office_Commercial'!I18</f>
        <v>0</v>
      </c>
      <c r="K11" s="184">
        <f>'5.Office_Commercial'!J18</f>
        <v>308062.81799999997</v>
      </c>
      <c r="L11" s="184">
        <f>'5.Office_Commercial'!K18</f>
        <v>308062.81799999997</v>
      </c>
      <c r="M11" s="184">
        <f>'5.Office_Commercial'!L18</f>
        <v>0</v>
      </c>
      <c r="N11" s="184">
        <f>'5.Office_Commercial'!M18</f>
        <v>0</v>
      </c>
      <c r="O11" s="112"/>
    </row>
    <row r="12" spans="1:15" ht="14.1" customHeight="1">
      <c r="A12" s="772" t="s">
        <v>228</v>
      </c>
      <c r="B12" s="772"/>
      <c r="C12" s="59"/>
      <c r="D12" s="59"/>
      <c r="E12" s="301">
        <f>'6.Retail '!D22</f>
        <v>282175.6385</v>
      </c>
      <c r="F12" s="301">
        <f>'6.Retail '!E22</f>
        <v>282175.6385</v>
      </c>
      <c r="G12" s="301">
        <f>'6.Retail '!F22</f>
        <v>0</v>
      </c>
      <c r="H12" s="245">
        <f>'6.Retail '!G22</f>
        <v>229217.25050000002</v>
      </c>
      <c r="I12" s="245">
        <f>'6.Retail '!H22</f>
        <v>229217.25050000002</v>
      </c>
      <c r="J12" s="245">
        <f>'6.Retail '!I22</f>
        <v>0</v>
      </c>
      <c r="K12" s="184">
        <f>'6.Retail '!J22</f>
        <v>58770.894</v>
      </c>
      <c r="L12" s="184">
        <f>'6.Retail '!K22</f>
        <v>58770.894</v>
      </c>
      <c r="M12" s="184">
        <f>'6.Retail '!L22</f>
        <v>0</v>
      </c>
      <c r="N12" s="184">
        <f>'6.Retail '!M22</f>
        <v>0</v>
      </c>
      <c r="O12" s="112"/>
    </row>
    <row r="13" spans="1:15" ht="14.1" customHeight="1">
      <c r="A13" s="775" t="s">
        <v>13</v>
      </c>
      <c r="B13" s="775"/>
      <c r="C13" s="183"/>
      <c r="D13" s="183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12"/>
    </row>
    <row r="14" spans="1:15" ht="14.1" customHeight="1">
      <c r="A14" s="776" t="s">
        <v>14</v>
      </c>
      <c r="B14" s="776"/>
      <c r="C14" s="59"/>
      <c r="D14" s="59"/>
      <c r="E14" s="301">
        <f>'9.Structured Parking'!D32</f>
        <v>108327.39318499999</v>
      </c>
      <c r="F14" s="301">
        <f>'9.Structured Parking'!E32</f>
        <v>0</v>
      </c>
      <c r="G14" s="301">
        <f>'9.Structured Parking'!F32</f>
        <v>0</v>
      </c>
      <c r="H14" s="245">
        <f>'9.Structured Parking'!G32</f>
        <v>30600</v>
      </c>
      <c r="I14" s="245">
        <f>'9.Structured Parking'!H32</f>
        <v>0</v>
      </c>
      <c r="J14" s="245">
        <f>'9.Structured Parking'!I32</f>
        <v>0</v>
      </c>
      <c r="K14" s="184">
        <f>'9.Structured Parking'!J32</f>
        <v>48900</v>
      </c>
      <c r="L14" s="184">
        <f>'9.Structured Parking'!K32</f>
        <v>0</v>
      </c>
      <c r="M14" s="184">
        <f>'9.Structured Parking'!L32</f>
        <v>0</v>
      </c>
      <c r="N14" s="184">
        <f>'9.Structured Parking'!M32</f>
        <v>0</v>
      </c>
      <c r="O14" s="112"/>
    </row>
    <row r="15" spans="1:15" ht="14.1" customHeight="1">
      <c r="A15" s="772" t="s">
        <v>16</v>
      </c>
      <c r="B15" s="772"/>
      <c r="C15" s="59"/>
      <c r="D15" s="59"/>
      <c r="E15" s="301">
        <f>'10.Parking-Underground'!D32</f>
        <v>72339.746069999994</v>
      </c>
      <c r="F15" s="301">
        <f>'10.Parking-Underground'!E32</f>
        <v>0</v>
      </c>
      <c r="G15" s="301">
        <f>'10.Parking-Underground'!F32</f>
        <v>0</v>
      </c>
      <c r="H15" s="245">
        <f>'10.Parking-Underground'!G32</f>
        <v>96346.001670000027</v>
      </c>
      <c r="I15" s="245">
        <f>'10.Parking-Underground'!H32</f>
        <v>0</v>
      </c>
      <c r="J15" s="245">
        <f>'10.Parking-Underground'!I32</f>
        <v>0</v>
      </c>
      <c r="K15" s="184">
        <f>'10.Parking-Underground'!J32</f>
        <v>0</v>
      </c>
      <c r="L15" s="184">
        <f>'10.Parking-Underground'!K32</f>
        <v>0</v>
      </c>
      <c r="M15" s="184">
        <f>'10.Parking-Underground'!L32</f>
        <v>0</v>
      </c>
      <c r="N15" s="184">
        <f>'10.Parking-Underground'!M32</f>
        <v>0</v>
      </c>
      <c r="O15" s="112"/>
    </row>
    <row r="16" spans="1:15" ht="14.1" customHeight="1">
      <c r="A16" s="776" t="s">
        <v>20</v>
      </c>
      <c r="B16" s="776"/>
      <c r="C16" s="60"/>
      <c r="D16" s="60"/>
      <c r="E16" s="302"/>
      <c r="F16" s="302"/>
      <c r="G16" s="302"/>
      <c r="H16" s="246"/>
      <c r="I16" s="246"/>
      <c r="J16" s="246"/>
      <c r="K16" s="186"/>
      <c r="L16" s="186"/>
      <c r="M16" s="186"/>
      <c r="N16" s="186"/>
      <c r="O16" s="112"/>
    </row>
    <row r="17" spans="1:15" ht="14.1" customHeight="1">
      <c r="A17" s="774" t="s">
        <v>79</v>
      </c>
      <c r="B17" s="774"/>
      <c r="C17" s="38"/>
      <c r="D17" s="38"/>
      <c r="E17" s="303">
        <f>SUM(E7:E16)</f>
        <v>5492927.921755</v>
      </c>
      <c r="F17" s="303">
        <f t="shared" ref="F17:N17" si="1">SUM(F7:F16)</f>
        <v>49238155.782499999</v>
      </c>
      <c r="G17" s="303">
        <f t="shared" si="1"/>
        <v>0</v>
      </c>
      <c r="H17" s="247">
        <f t="shared" si="1"/>
        <v>11884454.748169998</v>
      </c>
      <c r="I17" s="247">
        <f t="shared" si="1"/>
        <v>11757508.746499998</v>
      </c>
      <c r="J17" s="247">
        <f t="shared" si="1"/>
        <v>0</v>
      </c>
      <c r="K17" s="187">
        <f t="shared" si="1"/>
        <v>26512300.488085661</v>
      </c>
      <c r="L17" s="187">
        <f t="shared" si="1"/>
        <v>27215481.49136823</v>
      </c>
      <c r="M17" s="187">
        <f t="shared" si="1"/>
        <v>0</v>
      </c>
      <c r="N17" s="187">
        <f t="shared" si="1"/>
        <v>0</v>
      </c>
      <c r="O17" s="112"/>
    </row>
    <row r="18" spans="1:15" ht="18" customHeight="1">
      <c r="A18" s="10" t="s">
        <v>80</v>
      </c>
      <c r="B18" s="10"/>
      <c r="C18" s="61"/>
      <c r="D18" s="61"/>
      <c r="E18" s="304"/>
      <c r="F18" s="304"/>
      <c r="G18" s="304"/>
      <c r="H18" s="248"/>
      <c r="I18" s="248"/>
      <c r="J18" s="248"/>
      <c r="K18" s="188"/>
      <c r="L18" s="188"/>
      <c r="M18" s="188"/>
      <c r="N18" s="188"/>
      <c r="O18" s="112"/>
    </row>
    <row r="19" spans="1:15" ht="14.1" customHeight="1">
      <c r="A19" s="772" t="s">
        <v>81</v>
      </c>
      <c r="B19" s="772"/>
      <c r="C19" s="21"/>
      <c r="D19" s="21"/>
      <c r="E19" s="301"/>
      <c r="F19" s="301"/>
      <c r="G19" s="301">
        <v>500000</v>
      </c>
      <c r="H19" s="245"/>
      <c r="I19" s="245">
        <v>500000</v>
      </c>
      <c r="J19" s="245"/>
      <c r="K19" s="184"/>
      <c r="L19" s="184">
        <v>1000000</v>
      </c>
      <c r="M19" s="184"/>
      <c r="N19" s="184"/>
      <c r="O19" s="112"/>
    </row>
    <row r="20" spans="1:15" ht="14.1" customHeight="1">
      <c r="A20" s="192"/>
      <c r="B20" s="192" t="s">
        <v>231</v>
      </c>
      <c r="C20" s="21"/>
      <c r="D20" s="21"/>
      <c r="E20" s="301"/>
      <c r="F20" s="301">
        <v>5000</v>
      </c>
      <c r="G20" s="301"/>
      <c r="H20" s="245"/>
      <c r="I20" s="245"/>
      <c r="J20" s="245">
        <v>2000000</v>
      </c>
      <c r="K20" s="184"/>
      <c r="L20" s="184"/>
      <c r="M20" s="184">
        <v>2000000</v>
      </c>
      <c r="N20" s="184"/>
      <c r="O20" s="112"/>
    </row>
    <row r="21" spans="1:15" ht="14.1" customHeight="1">
      <c r="A21" s="772" t="s">
        <v>292</v>
      </c>
      <c r="B21" s="772"/>
      <c r="C21" s="673"/>
      <c r="D21" s="673"/>
      <c r="E21" s="301"/>
      <c r="F21" s="301"/>
      <c r="G21" s="301"/>
      <c r="H21" s="245"/>
      <c r="I21" s="245">
        <v>1000000</v>
      </c>
      <c r="J21" s="245"/>
      <c r="K21" s="184">
        <v>2000000</v>
      </c>
      <c r="L21" s="184"/>
      <c r="M21" s="184"/>
      <c r="N21" s="184"/>
      <c r="O21" s="112"/>
    </row>
    <row r="22" spans="1:15" ht="14.1" customHeight="1">
      <c r="A22" s="772" t="s">
        <v>310</v>
      </c>
      <c r="B22" s="772"/>
      <c r="C22" s="673"/>
      <c r="D22" s="673"/>
      <c r="E22" s="301">
        <v>10000</v>
      </c>
      <c r="F22" s="301"/>
      <c r="G22" s="301"/>
      <c r="H22" s="245">
        <v>30000</v>
      </c>
      <c r="I22" s="245"/>
      <c r="J22" s="245">
        <v>25000</v>
      </c>
      <c r="K22" s="184">
        <v>5000</v>
      </c>
      <c r="L22" s="184"/>
      <c r="M22" s="184"/>
      <c r="N22" s="184"/>
      <c r="O22" s="112"/>
    </row>
    <row r="23" spans="1:15" ht="14.1" customHeight="1">
      <c r="A23" s="772" t="s">
        <v>20</v>
      </c>
      <c r="B23" s="772"/>
      <c r="C23" s="21"/>
      <c r="D23" s="21"/>
      <c r="E23" s="301">
        <v>500000</v>
      </c>
      <c r="F23" s="301"/>
      <c r="G23" s="301"/>
      <c r="H23" s="245">
        <v>800000</v>
      </c>
      <c r="I23" s="245"/>
      <c r="J23" s="245"/>
      <c r="K23" s="184">
        <v>900000</v>
      </c>
      <c r="L23" s="184"/>
      <c r="M23" s="184"/>
      <c r="N23" s="184"/>
      <c r="O23" s="112"/>
    </row>
    <row r="24" spans="1:15" ht="14.1" customHeight="1">
      <c r="A24" s="774" t="s">
        <v>79</v>
      </c>
      <c r="B24" s="774"/>
      <c r="C24" s="30"/>
      <c r="D24" s="30"/>
      <c r="E24" s="303">
        <f>SUM(E19:E23)</f>
        <v>510000</v>
      </c>
      <c r="F24" s="303">
        <f t="shared" ref="F24:N24" si="2">SUM(F19:F23)</f>
        <v>5000</v>
      </c>
      <c r="G24" s="303">
        <f t="shared" si="2"/>
        <v>500000</v>
      </c>
      <c r="H24" s="247">
        <f t="shared" si="2"/>
        <v>830000</v>
      </c>
      <c r="I24" s="247">
        <f t="shared" si="2"/>
        <v>1500000</v>
      </c>
      <c r="J24" s="247">
        <f t="shared" si="2"/>
        <v>2025000</v>
      </c>
      <c r="K24" s="187">
        <f t="shared" si="2"/>
        <v>2905000</v>
      </c>
      <c r="L24" s="187">
        <f t="shared" si="2"/>
        <v>1000000</v>
      </c>
      <c r="M24" s="187">
        <f t="shared" si="2"/>
        <v>2000000</v>
      </c>
      <c r="N24" s="187">
        <f t="shared" si="2"/>
        <v>0</v>
      </c>
      <c r="O24" s="112"/>
    </row>
    <row r="25" spans="1:15" ht="18" customHeight="1">
      <c r="A25" s="10" t="s">
        <v>82</v>
      </c>
      <c r="B25" s="10"/>
      <c r="C25" s="41"/>
      <c r="D25" s="41"/>
      <c r="E25" s="304"/>
      <c r="F25" s="304"/>
      <c r="G25" s="304"/>
      <c r="H25" s="248"/>
      <c r="I25" s="248"/>
      <c r="J25" s="248"/>
      <c r="K25" s="188"/>
      <c r="L25" s="188"/>
      <c r="M25" s="188"/>
      <c r="N25" s="188"/>
      <c r="O25" s="112"/>
    </row>
    <row r="26" spans="1:15" ht="14.1" customHeight="1">
      <c r="A26" s="773" t="s">
        <v>56</v>
      </c>
      <c r="B26" s="773"/>
      <c r="C26" s="21"/>
      <c r="D26" s="21"/>
      <c r="E26" s="301">
        <f>E17+E24</f>
        <v>6002927.921755</v>
      </c>
      <c r="F26" s="301">
        <f t="shared" ref="F26:M26" si="3">F17+F24</f>
        <v>49243155.782499999</v>
      </c>
      <c r="G26" s="301">
        <f t="shared" si="3"/>
        <v>500000</v>
      </c>
      <c r="H26" s="245">
        <f t="shared" si="3"/>
        <v>12714454.748169998</v>
      </c>
      <c r="I26" s="245">
        <f t="shared" si="3"/>
        <v>13257508.746499998</v>
      </c>
      <c r="J26" s="245">
        <f t="shared" si="3"/>
        <v>2025000</v>
      </c>
      <c r="K26" s="184">
        <f t="shared" si="3"/>
        <v>29417300.488085661</v>
      </c>
      <c r="L26" s="184">
        <f t="shared" si="3"/>
        <v>28215481.49136823</v>
      </c>
      <c r="M26" s="184">
        <f t="shared" si="3"/>
        <v>2000000</v>
      </c>
      <c r="N26" s="184">
        <f t="shared" ref="N26" si="4">SUM(N7:N23)</f>
        <v>0</v>
      </c>
      <c r="O26" s="112"/>
    </row>
    <row r="27" spans="1:15" ht="18" customHeight="1">
      <c r="A27" s="17" t="s">
        <v>83</v>
      </c>
      <c r="B27" s="17"/>
      <c r="C27" s="201">
        <f>NPV(10%,E26:N26)</f>
        <v>93695412.963657096</v>
      </c>
      <c r="D27" s="52"/>
      <c r="E27" s="303"/>
      <c r="F27" s="303"/>
      <c r="G27" s="303"/>
      <c r="H27" s="247"/>
      <c r="I27" s="247"/>
      <c r="J27" s="247"/>
      <c r="K27" s="187"/>
      <c r="L27" s="187"/>
      <c r="M27" s="187"/>
      <c r="N27" s="187"/>
      <c r="O27" s="112"/>
    </row>
    <row r="28" spans="1:15">
      <c r="O28" s="112"/>
    </row>
    <row r="29" spans="1:15">
      <c r="A29" s="112"/>
      <c r="B29" s="136"/>
      <c r="O29" s="112"/>
    </row>
    <row r="30" spans="1:15">
      <c r="O30" s="112"/>
    </row>
    <row r="31" spans="1:15">
      <c r="O31" s="112"/>
    </row>
    <row r="32" spans="1:15">
      <c r="O32" s="112"/>
    </row>
    <row r="33" spans="15:15">
      <c r="O33" s="112"/>
    </row>
    <row r="34" spans="15:15">
      <c r="O34" s="112"/>
    </row>
    <row r="35" spans="15:15">
      <c r="O35" s="112"/>
    </row>
    <row r="36" spans="15:15">
      <c r="O36" s="112"/>
    </row>
    <row r="37" spans="15:15">
      <c r="O37" s="112"/>
    </row>
    <row r="38" spans="15:15">
      <c r="O38" s="112"/>
    </row>
    <row r="39" spans="15:15">
      <c r="O39" s="112"/>
    </row>
    <row r="40" spans="15:15">
      <c r="O40" s="112"/>
    </row>
    <row r="41" spans="15:15">
      <c r="O41" s="112"/>
    </row>
    <row r="42" spans="15:15">
      <c r="O42" s="112"/>
    </row>
    <row r="43" spans="15:15">
      <c r="O43" s="112"/>
    </row>
    <row r="44" spans="15:15">
      <c r="O44" s="112"/>
    </row>
    <row r="45" spans="15:15">
      <c r="O45" s="112"/>
    </row>
    <row r="46" spans="15:15">
      <c r="O46" s="112"/>
    </row>
    <row r="47" spans="15:15">
      <c r="O47" s="112"/>
    </row>
  </sheetData>
  <mergeCells count="16">
    <mergeCell ref="A7:A8"/>
    <mergeCell ref="A11:B11"/>
    <mergeCell ref="A12:B12"/>
    <mergeCell ref="A26:B26"/>
    <mergeCell ref="A17:B17"/>
    <mergeCell ref="A19:B19"/>
    <mergeCell ref="A23:B23"/>
    <mergeCell ref="A24:B24"/>
    <mergeCell ref="A13:B13"/>
    <mergeCell ref="A14:B14"/>
    <mergeCell ref="A15:B15"/>
    <mergeCell ref="A16:B16"/>
    <mergeCell ref="A9:B9"/>
    <mergeCell ref="A10:B10"/>
    <mergeCell ref="A22:B22"/>
    <mergeCell ref="A21:B21"/>
  </mergeCells>
  <phoneticPr fontId="2" type="noConversion"/>
  <pageMargins left="0.5" right="0.5" top="1" bottom="0.5" header="0.5" footer="0.5"/>
  <pageSetup orientation="landscape" r:id="rId1"/>
  <headerFooter alignWithMargins="0">
    <oddHeader>&amp;L&amp;"Arial,Bold"1. Infrastructure Costs by Year, Allocated by Use Types&amp;R&amp;G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0"/>
  <sheetViews>
    <sheetView view="pageLayout" zoomScale="90" zoomScaleNormal="100" zoomScalePageLayoutView="90" workbookViewId="0">
      <selection activeCell="O13" sqref="O13"/>
    </sheetView>
  </sheetViews>
  <sheetFormatPr defaultColWidth="9.140625" defaultRowHeight="12.75"/>
  <cols>
    <col min="1" max="1" width="31.42578125" style="1" customWidth="1"/>
    <col min="2" max="2" width="12.5703125" style="3" customWidth="1"/>
    <col min="3" max="3" width="13.140625" style="3" customWidth="1"/>
    <col min="4" max="4" width="13.28515625" style="1" customWidth="1"/>
    <col min="5" max="6" width="12.85546875" style="1" bestFit="1" customWidth="1"/>
    <col min="7" max="7" width="13" style="1" bestFit="1" customWidth="1"/>
    <col min="8" max="8" width="12.5703125" style="1" customWidth="1"/>
    <col min="9" max="9" width="12" style="1" bestFit="1" customWidth="1"/>
    <col min="10" max="11" width="9.7109375" style="1" bestFit="1" customWidth="1"/>
    <col min="12" max="12" width="12.140625" style="1" customWidth="1"/>
    <col min="13" max="13" width="13.7109375" style="1" bestFit="1" customWidth="1"/>
    <col min="14" max="14" width="9.7109375" style="1" bestFit="1" customWidth="1"/>
    <col min="15" max="16384" width="9.140625" style="1"/>
  </cols>
  <sheetData>
    <row r="1" spans="1:13" ht="14.1" customHeight="1">
      <c r="A1" s="115"/>
      <c r="B1" s="115"/>
      <c r="C1" s="116"/>
      <c r="D1" s="117"/>
      <c r="E1" s="117"/>
      <c r="F1" s="117"/>
      <c r="G1" s="117"/>
      <c r="H1" s="117"/>
      <c r="I1" s="117"/>
      <c r="J1" s="117"/>
      <c r="K1" s="117"/>
      <c r="L1" s="109" t="s">
        <v>1</v>
      </c>
      <c r="M1" s="110" t="s">
        <v>236</v>
      </c>
    </row>
    <row r="2" spans="1:13" ht="14.1" customHeight="1">
      <c r="B2" s="46"/>
      <c r="C2" s="46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4.1" customHeight="1">
      <c r="B3" s="46"/>
      <c r="C3" s="46" t="s">
        <v>2</v>
      </c>
      <c r="D3" s="306" t="s">
        <v>3</v>
      </c>
      <c r="E3" s="300"/>
      <c r="F3" s="300"/>
      <c r="G3" s="244" t="s">
        <v>198</v>
      </c>
      <c r="H3" s="244"/>
      <c r="I3" s="244"/>
      <c r="J3" s="174" t="s">
        <v>221</v>
      </c>
      <c r="K3" s="174"/>
      <c r="L3" s="174"/>
      <c r="M3" s="174"/>
    </row>
    <row r="4" spans="1:13" ht="14.1" customHeight="1">
      <c r="A4" s="5"/>
      <c r="B4" s="49" t="s">
        <v>75</v>
      </c>
      <c r="C4" s="67" t="s">
        <v>124</v>
      </c>
      <c r="D4" s="297">
        <v>2024</v>
      </c>
      <c r="E4" s="307">
        <f>D4+1</f>
        <v>2025</v>
      </c>
      <c r="F4" s="307">
        <f t="shared" ref="F4:M4" si="0">E4+1</f>
        <v>2026</v>
      </c>
      <c r="G4" s="380">
        <f t="shared" si="0"/>
        <v>2027</v>
      </c>
      <c r="H4" s="380">
        <f t="shared" si="0"/>
        <v>2028</v>
      </c>
      <c r="I4" s="380">
        <f t="shared" si="0"/>
        <v>2029</v>
      </c>
      <c r="J4" s="465">
        <f t="shared" si="0"/>
        <v>2030</v>
      </c>
      <c r="K4" s="465">
        <f t="shared" si="0"/>
        <v>2031</v>
      </c>
      <c r="L4" s="465">
        <f t="shared" si="0"/>
        <v>2032</v>
      </c>
      <c r="M4" s="465">
        <f t="shared" si="0"/>
        <v>2033</v>
      </c>
    </row>
    <row r="5" spans="1:13" ht="18" customHeight="1">
      <c r="A5" s="10" t="s">
        <v>84</v>
      </c>
      <c r="B5" s="50"/>
      <c r="C5" s="50"/>
      <c r="D5" s="321"/>
      <c r="E5" s="321"/>
      <c r="F5" s="321"/>
      <c r="G5" s="381"/>
      <c r="H5" s="381"/>
      <c r="I5" s="381"/>
      <c r="J5" s="466"/>
      <c r="K5" s="466"/>
      <c r="L5" s="466"/>
      <c r="M5" s="466"/>
    </row>
    <row r="6" spans="1:13">
      <c r="A6" s="119" t="s">
        <v>232</v>
      </c>
      <c r="B6" s="24">
        <v>0.02</v>
      </c>
      <c r="C6" s="147"/>
      <c r="D6" s="322"/>
      <c r="E6" s="322"/>
      <c r="F6" s="322"/>
      <c r="G6" s="382"/>
      <c r="H6" s="382"/>
      <c r="I6" s="382"/>
      <c r="J6" s="467"/>
      <c r="K6" s="467"/>
      <c r="L6" s="467"/>
      <c r="M6" s="467"/>
    </row>
    <row r="7" spans="1:13">
      <c r="A7" s="193" t="s">
        <v>233</v>
      </c>
      <c r="B7" s="53">
        <v>0.03</v>
      </c>
      <c r="C7" s="203"/>
      <c r="D7" s="323"/>
      <c r="E7" s="324"/>
      <c r="F7" s="324"/>
      <c r="G7" s="383"/>
      <c r="H7" s="383"/>
      <c r="I7" s="383"/>
      <c r="J7" s="468"/>
      <c r="K7" s="468"/>
      <c r="L7" s="468"/>
      <c r="M7" s="468"/>
    </row>
    <row r="8" spans="1:13" ht="14.1" customHeight="1">
      <c r="A8" s="119" t="s">
        <v>85</v>
      </c>
      <c r="B8" s="41">
        <f>SUM(D18:M18)</f>
        <v>552</v>
      </c>
      <c r="C8" s="41"/>
      <c r="D8" s="317"/>
      <c r="E8" s="325"/>
      <c r="F8" s="325"/>
      <c r="G8" s="384"/>
      <c r="H8" s="384"/>
      <c r="I8" s="384">
        <f>H8+H18+G18</f>
        <v>492</v>
      </c>
      <c r="J8" s="469">
        <f t="shared" ref="J8" si="1">I8+I18</f>
        <v>492</v>
      </c>
      <c r="K8" s="469">
        <f>J8</f>
        <v>492</v>
      </c>
      <c r="L8" s="469">
        <f>K8+J18+K18</f>
        <v>552</v>
      </c>
      <c r="M8" s="469"/>
    </row>
    <row r="9" spans="1:13" ht="14.1" customHeight="1">
      <c r="A9" s="119" t="s">
        <v>86</v>
      </c>
      <c r="B9" s="20">
        <f>Parcel_Pharse!C3</f>
        <v>856</v>
      </c>
      <c r="C9" s="20"/>
      <c r="D9" s="317"/>
      <c r="E9" s="326">
        <f>$B$9</f>
        <v>856</v>
      </c>
      <c r="F9" s="326">
        <f t="shared" ref="F9:L9" si="2">$B$9</f>
        <v>856</v>
      </c>
      <c r="G9" s="385">
        <f t="shared" si="2"/>
        <v>856</v>
      </c>
      <c r="H9" s="385">
        <f t="shared" si="2"/>
        <v>856</v>
      </c>
      <c r="I9" s="385">
        <f t="shared" si="2"/>
        <v>856</v>
      </c>
      <c r="J9" s="470">
        <f t="shared" si="2"/>
        <v>856</v>
      </c>
      <c r="K9" s="470">
        <f t="shared" si="2"/>
        <v>856</v>
      </c>
      <c r="L9" s="470">
        <f t="shared" si="2"/>
        <v>856</v>
      </c>
      <c r="M9" s="470"/>
    </row>
    <row r="10" spans="1:13" ht="14.1" customHeight="1">
      <c r="A10" s="119" t="s">
        <v>87</v>
      </c>
      <c r="B10" s="20"/>
      <c r="C10" s="20"/>
      <c r="D10" s="317"/>
      <c r="E10" s="326"/>
      <c r="F10" s="326"/>
      <c r="G10" s="385"/>
      <c r="H10" s="385"/>
      <c r="I10" s="385">
        <f t="shared" ref="I10:L10" si="3">I9*I8</f>
        <v>421152</v>
      </c>
      <c r="J10" s="470">
        <f t="shared" si="3"/>
        <v>421152</v>
      </c>
      <c r="K10" s="470">
        <f t="shared" si="3"/>
        <v>421152</v>
      </c>
      <c r="L10" s="470">
        <f t="shared" si="3"/>
        <v>472512</v>
      </c>
      <c r="M10" s="470"/>
    </row>
    <row r="11" spans="1:13" ht="14.1" customHeight="1">
      <c r="A11" s="119" t="s">
        <v>88</v>
      </c>
      <c r="B11" s="50">
        <v>3.8</v>
      </c>
      <c r="C11" s="20"/>
      <c r="D11" s="317"/>
      <c r="E11" s="327">
        <f>$B$11*1.03^(D4-$D$4)</f>
        <v>3.8</v>
      </c>
      <c r="F11" s="327">
        <f>$B$11*1.03^(E4-$D$4)</f>
        <v>3.9139999999999997</v>
      </c>
      <c r="G11" s="386">
        <f t="shared" ref="G11:L11" si="4">$B$11*1.03^(F4-$D$4)</f>
        <v>4.0314199999999998</v>
      </c>
      <c r="H11" s="386">
        <f t="shared" si="4"/>
        <v>4.1523626</v>
      </c>
      <c r="I11" s="386">
        <f t="shared" si="4"/>
        <v>4.2769334779999992</v>
      </c>
      <c r="J11" s="471">
        <f t="shared" si="4"/>
        <v>4.4052414823399992</v>
      </c>
      <c r="K11" s="471">
        <f t="shared" si="4"/>
        <v>4.5373987268101992</v>
      </c>
      <c r="L11" s="471">
        <f t="shared" si="4"/>
        <v>4.6735206886145058</v>
      </c>
      <c r="M11" s="471"/>
    </row>
    <row r="12" spans="1:13" ht="14.1" customHeight="1">
      <c r="A12" s="16" t="s">
        <v>89</v>
      </c>
      <c r="B12" s="55"/>
      <c r="C12" s="55"/>
      <c r="D12" s="328"/>
      <c r="E12" s="328">
        <v>0.93</v>
      </c>
      <c r="F12" s="328">
        <v>0.93</v>
      </c>
      <c r="G12" s="387">
        <v>0.93</v>
      </c>
      <c r="H12" s="387">
        <v>0.93</v>
      </c>
      <c r="I12" s="387">
        <v>0.93</v>
      </c>
      <c r="J12" s="472">
        <v>0.93</v>
      </c>
      <c r="K12" s="472">
        <v>0.93</v>
      </c>
      <c r="L12" s="472">
        <v>0.93</v>
      </c>
      <c r="M12" s="472"/>
    </row>
    <row r="13" spans="1:13" ht="18" customHeight="1">
      <c r="A13" s="10" t="s">
        <v>4</v>
      </c>
      <c r="B13" s="41"/>
      <c r="C13" s="41"/>
      <c r="D13" s="325"/>
      <c r="E13" s="325"/>
      <c r="F13" s="325"/>
      <c r="G13" s="384"/>
      <c r="H13" s="384"/>
      <c r="I13" s="384"/>
      <c r="J13" s="469"/>
      <c r="K13" s="469"/>
      <c r="L13" s="469"/>
      <c r="M13" s="469"/>
    </row>
    <row r="14" spans="1:13" ht="14.1" customHeight="1">
      <c r="A14" s="119" t="s">
        <v>90</v>
      </c>
      <c r="B14" s="20"/>
      <c r="C14" s="20"/>
      <c r="D14" s="326"/>
      <c r="E14" s="308">
        <f>12*E10*E11*E12</f>
        <v>0</v>
      </c>
      <c r="F14" s="308">
        <f>12*F10*F11*F12</f>
        <v>0</v>
      </c>
      <c r="G14" s="388">
        <f>12*G10*G11*G12</f>
        <v>0</v>
      </c>
      <c r="H14" s="388">
        <f t="shared" ref="H14:L14" si="5">12*H10*H11*H12</f>
        <v>0</v>
      </c>
      <c r="I14" s="388">
        <f t="shared" si="5"/>
        <v>20101828.223493479</v>
      </c>
      <c r="J14" s="473">
        <f t="shared" si="5"/>
        <v>20704883.070198283</v>
      </c>
      <c r="K14" s="473">
        <f t="shared" si="5"/>
        <v>21326029.562304229</v>
      </c>
      <c r="L14" s="473">
        <f t="shared" si="5"/>
        <v>24644567.82102377</v>
      </c>
      <c r="M14" s="473"/>
    </row>
    <row r="15" spans="1:13" ht="14.1" customHeight="1">
      <c r="A15" s="119" t="s">
        <v>91</v>
      </c>
      <c r="B15" s="135"/>
      <c r="C15" s="148"/>
      <c r="D15" s="329"/>
      <c r="E15" s="330"/>
      <c r="F15" s="330"/>
      <c r="G15" s="389"/>
      <c r="H15" s="389"/>
      <c r="I15" s="389">
        <f>I14*30%/I10</f>
        <v>14.319173284343998</v>
      </c>
      <c r="J15" s="474">
        <f t="shared" ref="J15:L15" si="6">J14*30%/J10</f>
        <v>14.748748482874317</v>
      </c>
      <c r="K15" s="474">
        <f t="shared" si="6"/>
        <v>15.191210937360545</v>
      </c>
      <c r="L15" s="474">
        <f t="shared" si="6"/>
        <v>15.646947265481364</v>
      </c>
      <c r="M15" s="474"/>
    </row>
    <row r="16" spans="1:13" ht="14.1" customHeight="1">
      <c r="A16" s="120" t="s">
        <v>31</v>
      </c>
      <c r="B16" s="232"/>
      <c r="C16" s="149"/>
      <c r="D16" s="331"/>
      <c r="E16" s="332">
        <f>E14*62%</f>
        <v>0</v>
      </c>
      <c r="F16" s="332">
        <f t="shared" ref="F16:H16" si="7">F14*62%</f>
        <v>0</v>
      </c>
      <c r="G16" s="390">
        <f t="shared" si="7"/>
        <v>0</v>
      </c>
      <c r="H16" s="390">
        <f t="shared" si="7"/>
        <v>0</v>
      </c>
      <c r="I16" s="390">
        <f>I14*70%</f>
        <v>14071279.756445434</v>
      </c>
      <c r="J16" s="475">
        <f t="shared" ref="J16:L16" si="8">J14*70%</f>
        <v>14493418.149138797</v>
      </c>
      <c r="K16" s="475">
        <f t="shared" si="8"/>
        <v>14928220.693612959</v>
      </c>
      <c r="L16" s="475">
        <f t="shared" si="8"/>
        <v>17251197.474716637</v>
      </c>
      <c r="M16" s="475"/>
    </row>
    <row r="17" spans="1:16" ht="18" customHeight="1">
      <c r="A17" s="10" t="s">
        <v>24</v>
      </c>
      <c r="B17" s="41"/>
      <c r="C17" s="41"/>
      <c r="D17" s="325"/>
      <c r="E17" s="325"/>
      <c r="F17" s="325"/>
      <c r="G17" s="384"/>
      <c r="H17" s="384"/>
      <c r="I17" s="384"/>
      <c r="J17" s="469"/>
      <c r="K17" s="469"/>
      <c r="L17" s="469"/>
      <c r="M17" s="469"/>
    </row>
    <row r="18" spans="1:16" ht="14.25" customHeight="1">
      <c r="A18" s="169" t="s">
        <v>220</v>
      </c>
      <c r="B18" s="41"/>
      <c r="C18" s="41"/>
      <c r="D18" s="325">
        <f>Parcel_Pharse!J3</f>
        <v>0</v>
      </c>
      <c r="E18" s="325">
        <f>Parcel_Pharse!K3</f>
        <v>0</v>
      </c>
      <c r="F18" s="325">
        <f>Parcel_Pharse!L3</f>
        <v>0</v>
      </c>
      <c r="G18" s="384">
        <f>Parcel_Pharse!M3</f>
        <v>246</v>
      </c>
      <c r="H18" s="384">
        <f>Parcel_Pharse!N3</f>
        <v>246</v>
      </c>
      <c r="I18" s="384">
        <f>Parcel_Pharse!O3</f>
        <v>0</v>
      </c>
      <c r="J18" s="469">
        <f>Parcel_Pharse!P3</f>
        <v>30</v>
      </c>
      <c r="K18" s="469">
        <f>Parcel_Pharse!Q3</f>
        <v>30</v>
      </c>
      <c r="L18" s="469"/>
      <c r="M18" s="469"/>
    </row>
    <row r="19" spans="1:16" ht="14.1" customHeight="1">
      <c r="A19" s="119" t="s">
        <v>92</v>
      </c>
      <c r="B19" s="20"/>
      <c r="C19" s="20"/>
      <c r="D19" s="329">
        <f>D18/$B$8</f>
        <v>0</v>
      </c>
      <c r="E19" s="329">
        <f t="shared" ref="E19:K19" si="9">E18/$B$8</f>
        <v>0</v>
      </c>
      <c r="F19" s="329">
        <f t="shared" si="9"/>
        <v>0</v>
      </c>
      <c r="G19" s="391">
        <f t="shared" si="9"/>
        <v>0.44565217391304346</v>
      </c>
      <c r="H19" s="391">
        <f t="shared" si="9"/>
        <v>0.44565217391304346</v>
      </c>
      <c r="I19" s="391">
        <f t="shared" si="9"/>
        <v>0</v>
      </c>
      <c r="J19" s="476">
        <f t="shared" si="9"/>
        <v>5.434782608695652E-2</v>
      </c>
      <c r="K19" s="476">
        <f t="shared" si="9"/>
        <v>5.434782608695652E-2</v>
      </c>
      <c r="L19" s="476"/>
      <c r="M19" s="476"/>
    </row>
    <row r="20" spans="1:16" ht="14.1" customHeight="1">
      <c r="A20" s="674" t="s">
        <v>308</v>
      </c>
      <c r="B20" s="20"/>
      <c r="C20" s="20"/>
      <c r="D20" s="308">
        <f>D18*$B$9*450</f>
        <v>0</v>
      </c>
      <c r="E20" s="308">
        <f t="shared" ref="E20:M20" si="10">E18*$B$9*450</f>
        <v>0</v>
      </c>
      <c r="F20" s="308">
        <f t="shared" si="10"/>
        <v>0</v>
      </c>
      <c r="G20" s="388">
        <f t="shared" si="10"/>
        <v>94759200</v>
      </c>
      <c r="H20" s="388">
        <f t="shared" si="10"/>
        <v>94759200</v>
      </c>
      <c r="I20" s="388">
        <f t="shared" si="10"/>
        <v>0</v>
      </c>
      <c r="J20" s="473">
        <f t="shared" si="10"/>
        <v>11556000</v>
      </c>
      <c r="K20" s="473">
        <f t="shared" si="10"/>
        <v>11556000</v>
      </c>
      <c r="L20" s="473">
        <f t="shared" si="10"/>
        <v>0</v>
      </c>
      <c r="M20" s="473">
        <f t="shared" si="10"/>
        <v>0</v>
      </c>
    </row>
    <row r="21" spans="1:16" ht="14.1" customHeight="1">
      <c r="A21" s="279" t="s">
        <v>289</v>
      </c>
      <c r="B21" s="20"/>
      <c r="C21" s="20"/>
      <c r="D21" s="308">
        <f>$B$8*D19*30*$B$9</f>
        <v>0</v>
      </c>
      <c r="E21" s="308">
        <f t="shared" ref="E21:F21" si="11">$B$8*E19*30*$B$9</f>
        <v>0</v>
      </c>
      <c r="F21" s="308">
        <f t="shared" si="11"/>
        <v>0</v>
      </c>
      <c r="G21" s="388">
        <f>$B$8*G19*40*$B$9</f>
        <v>8423040</v>
      </c>
      <c r="H21" s="388">
        <f t="shared" ref="H21:K21" si="12">$B$8*H19*40*$B$9</f>
        <v>8423040</v>
      </c>
      <c r="I21" s="388">
        <f t="shared" si="12"/>
        <v>0</v>
      </c>
      <c r="J21" s="473">
        <f t="shared" si="12"/>
        <v>1027200</v>
      </c>
      <c r="K21" s="473">
        <f t="shared" si="12"/>
        <v>1027200</v>
      </c>
      <c r="L21" s="473"/>
      <c r="M21" s="473"/>
    </row>
    <row r="22" spans="1:16" ht="14.1" customHeight="1">
      <c r="A22" s="120" t="s">
        <v>29</v>
      </c>
      <c r="B22" s="26"/>
      <c r="C22" s="26"/>
      <c r="D22" s="309">
        <f>(D20+D21)*1.03^(D4-$D$4)</f>
        <v>0</v>
      </c>
      <c r="E22" s="309">
        <f t="shared" ref="E22:L22" si="13">(E20+E21)*1.03^(E4-$D$4)</f>
        <v>0</v>
      </c>
      <c r="F22" s="309">
        <f t="shared" si="13"/>
        <v>0</v>
      </c>
      <c r="G22" s="392">
        <f t="shared" si="13"/>
        <v>112750019.56848</v>
      </c>
      <c r="H22" s="392">
        <f t="shared" si="13"/>
        <v>116132520.15553439</v>
      </c>
      <c r="I22" s="392">
        <f t="shared" si="13"/>
        <v>0</v>
      </c>
      <c r="J22" s="477">
        <f t="shared" si="13"/>
        <v>15024998.857683713</v>
      </c>
      <c r="K22" s="477">
        <f t="shared" si="13"/>
        <v>15475748.823414223</v>
      </c>
      <c r="L22" s="477">
        <f t="shared" si="13"/>
        <v>0</v>
      </c>
      <c r="M22" s="477"/>
      <c r="N22" s="180"/>
    </row>
    <row r="23" spans="1:16" ht="18" customHeight="1">
      <c r="A23" s="10" t="s">
        <v>30</v>
      </c>
      <c r="B23" s="41"/>
      <c r="C23" s="41"/>
      <c r="D23" s="325"/>
      <c r="E23" s="325"/>
      <c r="F23" s="325"/>
      <c r="G23" s="384"/>
      <c r="H23" s="384"/>
      <c r="I23" s="384"/>
      <c r="J23" s="469"/>
      <c r="K23" s="469"/>
      <c r="L23" s="469"/>
      <c r="M23" s="478"/>
      <c r="N23" s="8"/>
    </row>
    <row r="24" spans="1:16" ht="14.1" customHeight="1">
      <c r="A24" s="119" t="s">
        <v>31</v>
      </c>
      <c r="B24" s="20"/>
      <c r="C24" s="20"/>
      <c r="D24" s="326"/>
      <c r="E24" s="333">
        <f t="shared" ref="E24:L24" si="14">E16</f>
        <v>0</v>
      </c>
      <c r="F24" s="333">
        <f t="shared" si="14"/>
        <v>0</v>
      </c>
      <c r="G24" s="393">
        <f t="shared" si="14"/>
        <v>0</v>
      </c>
      <c r="H24" s="393">
        <f t="shared" si="14"/>
        <v>0</v>
      </c>
      <c r="I24" s="393">
        <f t="shared" si="14"/>
        <v>14071279.756445434</v>
      </c>
      <c r="J24" s="479">
        <f t="shared" si="14"/>
        <v>14493418.149138797</v>
      </c>
      <c r="K24" s="479">
        <f t="shared" si="14"/>
        <v>14928220.693612959</v>
      </c>
      <c r="L24" s="479">
        <f t="shared" si="14"/>
        <v>17251197.474716637</v>
      </c>
      <c r="M24" s="480"/>
    </row>
    <row r="25" spans="1:16" ht="14.1" customHeight="1">
      <c r="A25" s="22" t="s">
        <v>93</v>
      </c>
      <c r="B25" s="25"/>
      <c r="C25" s="25"/>
      <c r="D25" s="334"/>
      <c r="E25" s="334"/>
      <c r="F25" s="334"/>
      <c r="G25" s="394"/>
      <c r="H25" s="395"/>
      <c r="I25" s="394"/>
      <c r="J25" s="481"/>
      <c r="K25" s="481"/>
      <c r="L25" s="482"/>
      <c r="M25" s="483">
        <f>L16/6%</f>
        <v>287519957.91194397</v>
      </c>
    </row>
    <row r="26" spans="1:16" ht="14.1" customHeight="1">
      <c r="A26" s="22" t="s">
        <v>94</v>
      </c>
      <c r="B26" s="25"/>
      <c r="C26" s="25"/>
      <c r="D26" s="334"/>
      <c r="E26" s="334"/>
      <c r="F26" s="334"/>
      <c r="G26" s="394"/>
      <c r="H26" s="395"/>
      <c r="I26" s="394"/>
      <c r="J26" s="481"/>
      <c r="K26" s="481"/>
      <c r="L26" s="482"/>
      <c r="M26" s="484">
        <f>3.5%*M25</f>
        <v>10063198.526918041</v>
      </c>
    </row>
    <row r="27" spans="1:16" ht="14.1" customHeight="1">
      <c r="A27" s="120" t="s">
        <v>29</v>
      </c>
      <c r="B27" s="26"/>
      <c r="C27" s="26"/>
      <c r="D27" s="309">
        <f>D22</f>
        <v>0</v>
      </c>
      <c r="E27" s="309">
        <f t="shared" ref="E27:L27" si="15">E22</f>
        <v>0</v>
      </c>
      <c r="F27" s="309">
        <f t="shared" si="15"/>
        <v>0</v>
      </c>
      <c r="G27" s="392">
        <f t="shared" si="15"/>
        <v>112750019.56848</v>
      </c>
      <c r="H27" s="392">
        <f t="shared" si="15"/>
        <v>116132520.15553439</v>
      </c>
      <c r="I27" s="392">
        <f t="shared" si="15"/>
        <v>0</v>
      </c>
      <c r="J27" s="477">
        <f t="shared" si="15"/>
        <v>15024998.857683713</v>
      </c>
      <c r="K27" s="477">
        <f t="shared" si="15"/>
        <v>15475748.823414223</v>
      </c>
      <c r="L27" s="477">
        <f t="shared" si="15"/>
        <v>0</v>
      </c>
      <c r="M27" s="485"/>
    </row>
    <row r="28" spans="1:16" ht="18" customHeight="1">
      <c r="A28" s="13" t="s">
        <v>34</v>
      </c>
      <c r="B28" s="34"/>
      <c r="C28" s="139"/>
      <c r="D28" s="335">
        <f>D24-D27</f>
        <v>0</v>
      </c>
      <c r="E28" s="335">
        <f t="shared" ref="E28:K28" si="16">E24-E27</f>
        <v>0</v>
      </c>
      <c r="F28" s="335">
        <f t="shared" si="16"/>
        <v>0</v>
      </c>
      <c r="G28" s="396">
        <f t="shared" si="16"/>
        <v>-112750019.56848</v>
      </c>
      <c r="H28" s="396">
        <f t="shared" si="16"/>
        <v>-116132520.15553439</v>
      </c>
      <c r="I28" s="396">
        <f t="shared" si="16"/>
        <v>14071279.756445434</v>
      </c>
      <c r="J28" s="486">
        <f t="shared" si="16"/>
        <v>-531580.70854491554</v>
      </c>
      <c r="K28" s="486">
        <f t="shared" si="16"/>
        <v>-547528.12980126403</v>
      </c>
      <c r="L28" s="486">
        <f>L24-L27+L25-L26</f>
        <v>17251197.474716637</v>
      </c>
      <c r="M28" s="486">
        <f>M24-M27+M25-M26</f>
        <v>277456759.38502592</v>
      </c>
    </row>
    <row r="29" spans="1:16" ht="18" customHeight="1">
      <c r="A29" s="15" t="s">
        <v>37</v>
      </c>
      <c r="B29" s="140">
        <f>NPV(10%,G28:M28)</f>
        <v>-36491355.319842316</v>
      </c>
      <c r="C29" s="24"/>
      <c r="D29" s="336"/>
      <c r="E29" s="336"/>
      <c r="F29" s="336"/>
      <c r="G29" s="397"/>
      <c r="H29" s="381"/>
      <c r="I29" s="385"/>
      <c r="J29" s="470"/>
      <c r="K29" s="470"/>
      <c r="L29" s="470"/>
      <c r="M29" s="470"/>
    </row>
    <row r="30" spans="1:16" ht="18" customHeight="1">
      <c r="A30" s="17" t="s">
        <v>39</v>
      </c>
      <c r="B30" s="52">
        <f>IRR(G28:M28)</f>
        <v>5.8006627684145107E-2</v>
      </c>
      <c r="C30" s="26"/>
      <c r="D30" s="337"/>
      <c r="E30" s="337"/>
      <c r="F30" s="337"/>
      <c r="G30" s="398"/>
      <c r="H30" s="399"/>
      <c r="I30" s="400"/>
      <c r="J30" s="487"/>
      <c r="K30" s="487"/>
      <c r="L30" s="487"/>
      <c r="M30" s="487"/>
    </row>
    <row r="31" spans="1:16">
      <c r="A31" s="256"/>
      <c r="D31" s="141"/>
      <c r="E31" s="141"/>
      <c r="F31" s="141"/>
      <c r="G31" s="141"/>
      <c r="H31" s="141"/>
      <c r="P31"/>
    </row>
    <row r="32" spans="1:16">
      <c r="D32" s="141"/>
      <c r="E32" s="141"/>
      <c r="F32" s="141"/>
      <c r="G32" s="141"/>
      <c r="H32" s="141"/>
    </row>
    <row r="33" spans="2:14">
      <c r="D33" s="141"/>
      <c r="E33" s="141"/>
      <c r="F33" s="141"/>
      <c r="G33" s="141"/>
      <c r="H33" s="141"/>
    </row>
    <row r="34" spans="2:14">
      <c r="D34" s="141"/>
      <c r="E34" s="141"/>
      <c r="F34" s="141"/>
      <c r="G34" s="141"/>
      <c r="H34" s="141"/>
    </row>
    <row r="35" spans="2:14">
      <c r="D35" s="141"/>
      <c r="E35" s="141"/>
      <c r="F35" s="141"/>
      <c r="G35" s="141"/>
      <c r="H35" s="141"/>
    </row>
    <row r="36" spans="2:14">
      <c r="B36" s="1"/>
      <c r="D36" s="3"/>
      <c r="E36" s="141"/>
      <c r="F36" s="141"/>
      <c r="G36" s="141"/>
      <c r="H36" s="141"/>
      <c r="I36" s="141"/>
    </row>
    <row r="37" spans="2:14">
      <c r="B37" s="136"/>
      <c r="C37" s="137"/>
      <c r="D37" s="137"/>
      <c r="E37" s="204"/>
      <c r="F37" s="141"/>
      <c r="G37" s="141"/>
      <c r="H37" s="141"/>
      <c r="I37" s="141"/>
    </row>
    <row r="38" spans="2:14">
      <c r="B38" s="1"/>
      <c r="C38" s="159"/>
      <c r="D38" s="141"/>
      <c r="E38" s="141"/>
      <c r="F38" s="141"/>
      <c r="G38" s="141"/>
      <c r="H38" s="141"/>
    </row>
    <row r="39" spans="2:14">
      <c r="B39" s="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</row>
    <row r="40" spans="2:14">
      <c r="B40" s="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</row>
  </sheetData>
  <phoneticPr fontId="2" type="noConversion"/>
  <pageMargins left="0.5" right="0.5" top="1" bottom="0.5" header="0.5" footer="0.5"/>
  <pageSetup orientation="landscape" r:id="rId1"/>
  <headerFooter alignWithMargins="0">
    <oddHeader>&amp;L&amp;"Arial,Bold"2. Income Statement: Market-rate Rental Housing&amp;R&amp;G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view="pageLayout" zoomScale="90" zoomScaleNormal="100" zoomScalePageLayoutView="90" workbookViewId="0">
      <selection activeCell="R14" sqref="R14"/>
    </sheetView>
  </sheetViews>
  <sheetFormatPr defaultColWidth="9.140625" defaultRowHeight="12.75"/>
  <cols>
    <col min="1" max="1" width="23.140625" style="1" customWidth="1"/>
    <col min="2" max="2" width="12" style="3" bestFit="1" customWidth="1"/>
    <col min="3" max="3" width="10.7109375" style="3" customWidth="1"/>
    <col min="4" max="4" width="12.85546875" style="1" bestFit="1" customWidth="1"/>
    <col min="5" max="6" width="12.28515625" style="1" bestFit="1" customWidth="1"/>
    <col min="7" max="7" width="12.85546875" style="1" bestFit="1" customWidth="1"/>
    <col min="8" max="8" width="10.7109375" style="1" bestFit="1" customWidth="1"/>
    <col min="9" max="9" width="12" style="1" bestFit="1" customWidth="1"/>
    <col min="10" max="10" width="16.5703125" style="1" bestFit="1" customWidth="1"/>
    <col min="11" max="12" width="9.7109375" style="1" bestFit="1" customWidth="1"/>
    <col min="13" max="13" width="8.85546875" style="1" customWidth="1"/>
    <col min="14" max="16384" width="9.140625" style="1"/>
  </cols>
  <sheetData>
    <row r="1" spans="1:13" ht="14.1" customHeight="1">
      <c r="A1" s="115"/>
      <c r="B1" s="115"/>
      <c r="C1" s="116"/>
      <c r="D1" s="117"/>
      <c r="E1" s="117"/>
      <c r="F1" s="117"/>
      <c r="G1" s="117"/>
      <c r="H1" s="117"/>
      <c r="I1" s="117"/>
      <c r="J1" s="117"/>
      <c r="K1" s="117"/>
      <c r="L1" s="109" t="s">
        <v>1</v>
      </c>
      <c r="M1" s="110" t="s">
        <v>236</v>
      </c>
    </row>
    <row r="2" spans="1:13" ht="14.1" customHeight="1"/>
    <row r="3" spans="1:13" ht="14.1" customHeight="1">
      <c r="B3" s="46"/>
      <c r="C3" s="46" t="s">
        <v>2</v>
      </c>
      <c r="D3" s="306" t="s">
        <v>3</v>
      </c>
      <c r="E3" s="300"/>
      <c r="F3" s="300"/>
      <c r="G3" s="401" t="s">
        <v>198</v>
      </c>
      <c r="H3" s="244"/>
      <c r="I3" s="244"/>
      <c r="J3" s="174" t="s">
        <v>221</v>
      </c>
      <c r="K3" s="174"/>
      <c r="L3" s="174"/>
      <c r="M3" s="174"/>
    </row>
    <row r="4" spans="1:13" ht="14.1" customHeight="1">
      <c r="A4" s="5"/>
      <c r="B4" s="49" t="s">
        <v>75</v>
      </c>
      <c r="C4" s="67" t="s">
        <v>124</v>
      </c>
      <c r="D4" s="297">
        <v>2024</v>
      </c>
      <c r="E4" s="307">
        <f>D4+1</f>
        <v>2025</v>
      </c>
      <c r="F4" s="307">
        <f t="shared" ref="F4:M4" si="0">E4+1</f>
        <v>2026</v>
      </c>
      <c r="G4" s="380">
        <f t="shared" si="0"/>
        <v>2027</v>
      </c>
      <c r="H4" s="380">
        <f t="shared" si="0"/>
        <v>2028</v>
      </c>
      <c r="I4" s="380">
        <f t="shared" si="0"/>
        <v>2029</v>
      </c>
      <c r="J4" s="465">
        <f t="shared" si="0"/>
        <v>2030</v>
      </c>
      <c r="K4" s="465">
        <f t="shared" si="0"/>
        <v>2031</v>
      </c>
      <c r="L4" s="465">
        <f t="shared" si="0"/>
        <v>2032</v>
      </c>
      <c r="M4" s="465">
        <f t="shared" si="0"/>
        <v>2033</v>
      </c>
    </row>
    <row r="5" spans="1:13" ht="18" customHeight="1">
      <c r="A5" s="10" t="s">
        <v>95</v>
      </c>
      <c r="B5" s="50"/>
      <c r="C5" s="50"/>
      <c r="D5" s="321"/>
      <c r="E5" s="321"/>
      <c r="F5" s="321"/>
      <c r="G5" s="381"/>
      <c r="H5" s="381"/>
      <c r="I5" s="381"/>
      <c r="J5" s="466"/>
      <c r="K5" s="466"/>
      <c r="L5" s="466"/>
      <c r="M5" s="466"/>
    </row>
    <row r="6" spans="1:13" ht="14.1" customHeight="1">
      <c r="A6" s="119" t="s">
        <v>76</v>
      </c>
      <c r="B6" s="24">
        <v>0.02</v>
      </c>
      <c r="C6" s="24"/>
      <c r="D6" s="322"/>
      <c r="E6" s="322"/>
      <c r="F6" s="322"/>
      <c r="G6" s="382"/>
      <c r="H6" s="382"/>
      <c r="I6" s="382"/>
      <c r="J6" s="467"/>
      <c r="K6" s="467"/>
      <c r="L6" s="467"/>
      <c r="M6" s="467"/>
    </row>
    <row r="7" spans="1:13" ht="14.1" customHeight="1">
      <c r="A7" s="193" t="s">
        <v>233</v>
      </c>
      <c r="B7" s="53">
        <v>0.03</v>
      </c>
      <c r="C7" s="53"/>
      <c r="D7" s="323"/>
      <c r="E7" s="323"/>
      <c r="F7" s="323"/>
      <c r="G7" s="402"/>
      <c r="H7" s="402"/>
      <c r="I7" s="402"/>
      <c r="J7" s="488"/>
      <c r="K7" s="488"/>
      <c r="L7" s="488"/>
      <c r="M7" s="488"/>
    </row>
    <row r="8" spans="1:13" ht="14.1" customHeight="1">
      <c r="A8" s="119" t="s">
        <v>96</v>
      </c>
      <c r="B8" s="41">
        <v>173</v>
      </c>
      <c r="C8" s="41"/>
      <c r="D8" s="325"/>
      <c r="E8" s="338"/>
      <c r="F8" s="338">
        <f>D18+E18</f>
        <v>130</v>
      </c>
      <c r="G8" s="403"/>
      <c r="H8" s="404"/>
      <c r="I8" s="384"/>
      <c r="J8" s="489"/>
      <c r="K8" s="469"/>
      <c r="L8" s="490">
        <f>J18+K18</f>
        <v>64</v>
      </c>
      <c r="M8" s="469"/>
    </row>
    <row r="9" spans="1:13" ht="14.1" customHeight="1">
      <c r="A9" s="119" t="s">
        <v>86</v>
      </c>
      <c r="B9" s="20">
        <v>1215</v>
      </c>
      <c r="C9" s="20"/>
      <c r="D9" s="326"/>
      <c r="E9" s="308"/>
      <c r="F9" s="308">
        <f>$B$9</f>
        <v>1215</v>
      </c>
      <c r="G9" s="388">
        <f t="shared" ref="G9:M9" si="1">$B$9</f>
        <v>1215</v>
      </c>
      <c r="H9" s="388">
        <f t="shared" si="1"/>
        <v>1215</v>
      </c>
      <c r="I9" s="388">
        <f t="shared" si="1"/>
        <v>1215</v>
      </c>
      <c r="J9" s="473">
        <f t="shared" si="1"/>
        <v>1215</v>
      </c>
      <c r="K9" s="473">
        <f t="shared" si="1"/>
        <v>1215</v>
      </c>
      <c r="L9" s="473">
        <f t="shared" si="1"/>
        <v>1215</v>
      </c>
      <c r="M9" s="473">
        <f t="shared" si="1"/>
        <v>1215</v>
      </c>
    </row>
    <row r="10" spans="1:13" ht="14.1" customHeight="1">
      <c r="A10" s="119" t="s">
        <v>97</v>
      </c>
      <c r="B10" s="20"/>
      <c r="C10" s="20"/>
      <c r="D10" s="326"/>
      <c r="E10" s="308"/>
      <c r="F10" s="308">
        <f t="shared" ref="F10:M10" si="2">F9*F8</f>
        <v>157950</v>
      </c>
      <c r="G10" s="388">
        <f t="shared" si="2"/>
        <v>0</v>
      </c>
      <c r="H10" s="388">
        <f t="shared" si="2"/>
        <v>0</v>
      </c>
      <c r="I10" s="388">
        <f t="shared" si="2"/>
        <v>0</v>
      </c>
      <c r="J10" s="473">
        <f t="shared" si="2"/>
        <v>0</v>
      </c>
      <c r="K10" s="473">
        <f t="shared" si="2"/>
        <v>0</v>
      </c>
      <c r="L10" s="473">
        <f t="shared" si="2"/>
        <v>77760</v>
      </c>
      <c r="M10" s="473">
        <f t="shared" si="2"/>
        <v>0</v>
      </c>
    </row>
    <row r="11" spans="1:13" ht="14.1" customHeight="1">
      <c r="A11" s="16" t="s">
        <v>98</v>
      </c>
      <c r="B11" s="26">
        <v>800</v>
      </c>
      <c r="C11" s="26"/>
      <c r="D11" s="339">
        <f>$B$11*1.02^(D4-$D$4)</f>
        <v>800</v>
      </c>
      <c r="E11" s="339">
        <f>$B$11*1.02^(E4-$D$4)</f>
        <v>816</v>
      </c>
      <c r="F11" s="339">
        <f>$B$11*1.02^(F4-$D$4)</f>
        <v>832.31999999999994</v>
      </c>
      <c r="G11" s="405">
        <f t="shared" ref="G11:M11" si="3">$B$11*1.02^(G4-$D$4)</f>
        <v>848.96639999999991</v>
      </c>
      <c r="H11" s="405">
        <f t="shared" si="3"/>
        <v>865.94572800000003</v>
      </c>
      <c r="I11" s="405">
        <f t="shared" si="3"/>
        <v>883.26464255999997</v>
      </c>
      <c r="J11" s="491">
        <f t="shared" si="3"/>
        <v>900.92993541120006</v>
      </c>
      <c r="K11" s="491">
        <f t="shared" si="3"/>
        <v>918.94853411942381</v>
      </c>
      <c r="L11" s="491">
        <f t="shared" si="3"/>
        <v>937.32750480181244</v>
      </c>
      <c r="M11" s="491">
        <f t="shared" si="3"/>
        <v>956.07405489784867</v>
      </c>
    </row>
    <row r="12" spans="1:13" ht="18" customHeight="1">
      <c r="A12" s="10" t="s">
        <v>4</v>
      </c>
      <c r="B12" s="41"/>
      <c r="C12" s="41"/>
      <c r="D12" s="325"/>
      <c r="E12" s="313"/>
      <c r="F12" s="313"/>
      <c r="G12" s="406"/>
      <c r="H12" s="384"/>
      <c r="I12" s="384"/>
      <c r="J12" s="469"/>
      <c r="K12" s="469"/>
      <c r="L12" s="469"/>
      <c r="M12" s="469"/>
    </row>
    <row r="13" spans="1:13" ht="14.1" customHeight="1">
      <c r="A13" s="119" t="s">
        <v>99</v>
      </c>
      <c r="B13" s="20"/>
      <c r="C13" s="20"/>
      <c r="D13" s="326"/>
      <c r="E13" s="313">
        <f>E10*$B$11</f>
        <v>0</v>
      </c>
      <c r="F13" s="313">
        <f>F10*B11</f>
        <v>126360000</v>
      </c>
      <c r="G13" s="406">
        <f>G10*$B$11</f>
        <v>0</v>
      </c>
      <c r="H13" s="406">
        <f>H10*$B$11</f>
        <v>0</v>
      </c>
      <c r="I13" s="385"/>
      <c r="J13" s="483">
        <f>J10*$B$11</f>
        <v>0</v>
      </c>
      <c r="K13" s="483">
        <f t="shared" ref="K13:M13" si="4">K10*$B$11</f>
        <v>0</v>
      </c>
      <c r="L13" s="483">
        <f t="shared" si="4"/>
        <v>62208000</v>
      </c>
      <c r="M13" s="483">
        <f t="shared" si="4"/>
        <v>0</v>
      </c>
    </row>
    <row r="14" spans="1:13" ht="14.1" customHeight="1">
      <c r="A14" s="278" t="s">
        <v>100</v>
      </c>
      <c r="B14" s="24">
        <v>0.08</v>
      </c>
      <c r="C14" s="24"/>
      <c r="D14" s="326"/>
      <c r="E14" s="313">
        <f>$B$14*E13</f>
        <v>0</v>
      </c>
      <c r="F14" s="313">
        <f t="shared" ref="F14:M14" si="5">$B$14*F13</f>
        <v>10108800</v>
      </c>
      <c r="G14" s="406">
        <f t="shared" si="5"/>
        <v>0</v>
      </c>
      <c r="H14" s="406">
        <f t="shared" si="5"/>
        <v>0</v>
      </c>
      <c r="I14" s="406">
        <f t="shared" si="5"/>
        <v>0</v>
      </c>
      <c r="J14" s="483">
        <f t="shared" si="5"/>
        <v>0</v>
      </c>
      <c r="K14" s="483">
        <f t="shared" si="5"/>
        <v>0</v>
      </c>
      <c r="L14" s="483">
        <f t="shared" si="5"/>
        <v>4976640</v>
      </c>
      <c r="M14" s="483">
        <f t="shared" si="5"/>
        <v>0</v>
      </c>
    </row>
    <row r="15" spans="1:13" ht="14.1" customHeight="1">
      <c r="A15" s="22" t="s">
        <v>101</v>
      </c>
      <c r="B15" s="679">
        <v>3.5000000000000003E-2</v>
      </c>
      <c r="C15" s="25"/>
      <c r="D15" s="334"/>
      <c r="E15" s="313">
        <f>E13*$B$15</f>
        <v>0</v>
      </c>
      <c r="F15" s="313">
        <f t="shared" ref="F15:M15" si="6">F13*$B$15</f>
        <v>4422600</v>
      </c>
      <c r="G15" s="406">
        <f t="shared" si="6"/>
        <v>0</v>
      </c>
      <c r="H15" s="406">
        <f t="shared" si="6"/>
        <v>0</v>
      </c>
      <c r="I15" s="406">
        <f t="shared" si="6"/>
        <v>0</v>
      </c>
      <c r="J15" s="483">
        <f t="shared" si="6"/>
        <v>0</v>
      </c>
      <c r="K15" s="483">
        <f t="shared" si="6"/>
        <v>0</v>
      </c>
      <c r="L15" s="483">
        <f t="shared" si="6"/>
        <v>2177280</v>
      </c>
      <c r="M15" s="483">
        <f t="shared" si="6"/>
        <v>0</v>
      </c>
    </row>
    <row r="16" spans="1:13" ht="14.1" customHeight="1">
      <c r="A16" s="120" t="s">
        <v>31</v>
      </c>
      <c r="B16" s="26"/>
      <c r="C16" s="26"/>
      <c r="D16" s="309">
        <f>D13-D14-D15</f>
        <v>0</v>
      </c>
      <c r="E16" s="309">
        <f>E13-E14-E15</f>
        <v>0</v>
      </c>
      <c r="F16" s="309">
        <f t="shared" ref="F16:M16" si="7">F13-F14-F15</f>
        <v>111828600</v>
      </c>
      <c r="G16" s="392">
        <f t="shared" si="7"/>
        <v>0</v>
      </c>
      <c r="H16" s="392">
        <f t="shared" si="7"/>
        <v>0</v>
      </c>
      <c r="I16" s="392">
        <f t="shared" si="7"/>
        <v>0</v>
      </c>
      <c r="J16" s="477">
        <f t="shared" si="7"/>
        <v>0</v>
      </c>
      <c r="K16" s="477">
        <f t="shared" si="7"/>
        <v>0</v>
      </c>
      <c r="L16" s="477">
        <f t="shared" si="7"/>
        <v>55054080</v>
      </c>
      <c r="M16" s="477">
        <f t="shared" si="7"/>
        <v>0</v>
      </c>
    </row>
    <row r="17" spans="1:14" ht="18" customHeight="1">
      <c r="A17" s="10" t="s">
        <v>24</v>
      </c>
      <c r="B17" s="41"/>
      <c r="C17" s="41"/>
      <c r="D17" s="325"/>
      <c r="E17" s="338"/>
      <c r="F17" s="338"/>
      <c r="G17" s="403"/>
      <c r="H17" s="384"/>
      <c r="I17" s="384"/>
      <c r="J17" s="469"/>
      <c r="K17" s="469"/>
      <c r="L17" s="469"/>
      <c r="M17" s="469"/>
    </row>
    <row r="18" spans="1:14" ht="14.1" customHeight="1">
      <c r="A18" s="211" t="s">
        <v>220</v>
      </c>
      <c r="B18" s="20"/>
      <c r="C18" s="20"/>
      <c r="D18" s="340">
        <f>Parcel_Pharse!J5</f>
        <v>65</v>
      </c>
      <c r="E18" s="340">
        <f>Parcel_Pharse!K5</f>
        <v>65</v>
      </c>
      <c r="F18" s="340">
        <f>Parcel_Pharse!L5</f>
        <v>0</v>
      </c>
      <c r="G18" s="407">
        <f>Parcel_Pharse!M5</f>
        <v>0</v>
      </c>
      <c r="H18" s="407">
        <f>Parcel_Pharse!N5</f>
        <v>0</v>
      </c>
      <c r="I18" s="407">
        <f>Parcel_Pharse!O5</f>
        <v>0</v>
      </c>
      <c r="J18" s="492">
        <f>Parcel_Pharse!P5</f>
        <v>32</v>
      </c>
      <c r="K18" s="492">
        <f>Parcel_Pharse!Q5</f>
        <v>32</v>
      </c>
      <c r="L18" s="492">
        <f>Parcel_Pharse!R5</f>
        <v>0</v>
      </c>
      <c r="M18" s="492">
        <f>Parcel_Pharse!S5</f>
        <v>0</v>
      </c>
    </row>
    <row r="19" spans="1:14" ht="14.1" customHeight="1">
      <c r="A19" s="211" t="s">
        <v>92</v>
      </c>
      <c r="B19" s="160"/>
      <c r="C19" s="20"/>
      <c r="D19" s="329">
        <f>D18/$B$8</f>
        <v>0.37572254335260113</v>
      </c>
      <c r="E19" s="329">
        <f t="shared" ref="E19:M19" si="8">E18/$B$8</f>
        <v>0.37572254335260113</v>
      </c>
      <c r="F19" s="329">
        <f t="shared" si="8"/>
        <v>0</v>
      </c>
      <c r="G19" s="391">
        <f t="shared" si="8"/>
        <v>0</v>
      </c>
      <c r="H19" s="391">
        <f t="shared" si="8"/>
        <v>0</v>
      </c>
      <c r="I19" s="391">
        <f t="shared" si="8"/>
        <v>0</v>
      </c>
      <c r="J19" s="476">
        <f t="shared" si="8"/>
        <v>0.18497109826589594</v>
      </c>
      <c r="K19" s="476">
        <f t="shared" si="8"/>
        <v>0.18497109826589594</v>
      </c>
      <c r="L19" s="476">
        <f t="shared" si="8"/>
        <v>0</v>
      </c>
      <c r="M19" s="476">
        <f t="shared" si="8"/>
        <v>0</v>
      </c>
    </row>
    <row r="20" spans="1:14" ht="14.1" customHeight="1">
      <c r="A20" s="674" t="s">
        <v>290</v>
      </c>
      <c r="B20" s="160"/>
      <c r="C20" s="20"/>
      <c r="D20" s="308">
        <f>D18*$B$9*500</f>
        <v>39487500</v>
      </c>
      <c r="E20" s="308">
        <f t="shared" ref="E20:K20" si="9">E18*$B$9*500</f>
        <v>39487500</v>
      </c>
      <c r="F20" s="308">
        <f t="shared" si="9"/>
        <v>0</v>
      </c>
      <c r="G20" s="388">
        <f t="shared" si="9"/>
        <v>0</v>
      </c>
      <c r="H20" s="388">
        <f t="shared" si="9"/>
        <v>0</v>
      </c>
      <c r="I20" s="388">
        <f t="shared" si="9"/>
        <v>0</v>
      </c>
      <c r="J20" s="473">
        <f t="shared" si="9"/>
        <v>19440000</v>
      </c>
      <c r="K20" s="473">
        <f t="shared" si="9"/>
        <v>19440000</v>
      </c>
      <c r="L20" s="473">
        <f t="shared" ref="L20:M20" si="10">L18*$B$9*250</f>
        <v>0</v>
      </c>
      <c r="M20" s="473">
        <f t="shared" si="10"/>
        <v>0</v>
      </c>
    </row>
    <row r="21" spans="1:14" ht="14.1" customHeight="1">
      <c r="A21" s="674" t="s">
        <v>289</v>
      </c>
      <c r="B21" s="20"/>
      <c r="C21" s="20"/>
      <c r="D21" s="308">
        <f>D18*$B$9*40</f>
        <v>3159000</v>
      </c>
      <c r="E21" s="308">
        <f t="shared" ref="E21:K21" si="11">E18*$B$9*40</f>
        <v>3159000</v>
      </c>
      <c r="F21" s="308">
        <f t="shared" si="11"/>
        <v>0</v>
      </c>
      <c r="G21" s="388">
        <f t="shared" si="11"/>
        <v>0</v>
      </c>
      <c r="H21" s="388">
        <f t="shared" si="11"/>
        <v>0</v>
      </c>
      <c r="I21" s="388">
        <f t="shared" si="11"/>
        <v>0</v>
      </c>
      <c r="J21" s="473">
        <f t="shared" si="11"/>
        <v>1555200</v>
      </c>
      <c r="K21" s="473">
        <f t="shared" si="11"/>
        <v>1555200</v>
      </c>
      <c r="L21" s="473">
        <f t="shared" ref="L21:M21" si="12">L18*$B$9*30</f>
        <v>0</v>
      </c>
      <c r="M21" s="473">
        <f t="shared" si="12"/>
        <v>0</v>
      </c>
    </row>
    <row r="22" spans="1:14" ht="14.1" customHeight="1">
      <c r="A22" s="120" t="s">
        <v>29</v>
      </c>
      <c r="B22" s="26"/>
      <c r="C22" s="26"/>
      <c r="D22" s="309">
        <f>(D20+D21)*1.03^(D4-$D$4)</f>
        <v>42646500</v>
      </c>
      <c r="E22" s="309">
        <f t="shared" ref="E22:M22" si="13">(E20+E21)*1.03^(E4-$D$4)</f>
        <v>43925895</v>
      </c>
      <c r="F22" s="309">
        <f t="shared" si="13"/>
        <v>0</v>
      </c>
      <c r="G22" s="392">
        <f t="shared" si="13"/>
        <v>0</v>
      </c>
      <c r="H22" s="392">
        <f t="shared" si="13"/>
        <v>0</v>
      </c>
      <c r="I22" s="392">
        <f t="shared" si="13"/>
        <v>0</v>
      </c>
      <c r="J22" s="477">
        <f t="shared" si="13"/>
        <v>25069366.77608566</v>
      </c>
      <c r="K22" s="477">
        <f t="shared" si="13"/>
        <v>25821447.779368229</v>
      </c>
      <c r="L22" s="477">
        <f t="shared" si="13"/>
        <v>0</v>
      </c>
      <c r="M22" s="477">
        <f t="shared" si="13"/>
        <v>0</v>
      </c>
    </row>
    <row r="23" spans="1:14" ht="18" customHeight="1">
      <c r="A23" s="10" t="s">
        <v>30</v>
      </c>
      <c r="B23" s="41"/>
      <c r="C23" s="41"/>
      <c r="D23" s="325"/>
      <c r="E23" s="338"/>
      <c r="F23" s="338"/>
      <c r="G23" s="403"/>
      <c r="H23" s="384"/>
      <c r="I23" s="384"/>
      <c r="J23" s="469"/>
      <c r="K23" s="469"/>
      <c r="L23" s="469"/>
      <c r="M23" s="469"/>
    </row>
    <row r="24" spans="1:14" ht="14.1" customHeight="1">
      <c r="A24" s="119" t="s">
        <v>31</v>
      </c>
      <c r="B24" s="20"/>
      <c r="C24" s="20"/>
      <c r="D24" s="317">
        <f>D16</f>
        <v>0</v>
      </c>
      <c r="E24" s="308">
        <f>E16</f>
        <v>0</v>
      </c>
      <c r="F24" s="308">
        <f t="shared" ref="F24:M24" si="14">F16</f>
        <v>111828600</v>
      </c>
      <c r="G24" s="388">
        <f t="shared" si="14"/>
        <v>0</v>
      </c>
      <c r="H24" s="388">
        <f t="shared" si="14"/>
        <v>0</v>
      </c>
      <c r="I24" s="388">
        <f t="shared" si="14"/>
        <v>0</v>
      </c>
      <c r="J24" s="473">
        <f t="shared" si="14"/>
        <v>0</v>
      </c>
      <c r="K24" s="473">
        <f t="shared" si="14"/>
        <v>0</v>
      </c>
      <c r="L24" s="473">
        <f t="shared" si="14"/>
        <v>55054080</v>
      </c>
      <c r="M24" s="473">
        <f t="shared" si="14"/>
        <v>0</v>
      </c>
      <c r="N24" s="43"/>
    </row>
    <row r="25" spans="1:14" ht="14.1" customHeight="1">
      <c r="A25" s="119" t="s">
        <v>29</v>
      </c>
      <c r="B25" s="24"/>
      <c r="C25" s="24"/>
      <c r="D25" s="341">
        <f>D22</f>
        <v>42646500</v>
      </c>
      <c r="E25" s="336">
        <f>E22</f>
        <v>43925895</v>
      </c>
      <c r="F25" s="336">
        <f>F22</f>
        <v>0</v>
      </c>
      <c r="G25" s="397">
        <f>G22</f>
        <v>0</v>
      </c>
      <c r="H25" s="397">
        <f t="shared" ref="H25:M25" si="15">H22</f>
        <v>0</v>
      </c>
      <c r="I25" s="397">
        <f t="shared" si="15"/>
        <v>0</v>
      </c>
      <c r="J25" s="493">
        <f t="shared" si="15"/>
        <v>25069366.77608566</v>
      </c>
      <c r="K25" s="493">
        <f t="shared" si="15"/>
        <v>25821447.779368229</v>
      </c>
      <c r="L25" s="493">
        <f t="shared" si="15"/>
        <v>0</v>
      </c>
      <c r="M25" s="493">
        <f t="shared" si="15"/>
        <v>0</v>
      </c>
      <c r="N25" s="43"/>
    </row>
    <row r="26" spans="1:14" ht="14.1" customHeight="1">
      <c r="A26" s="16" t="s">
        <v>34</v>
      </c>
      <c r="B26" s="52"/>
      <c r="C26" s="52"/>
      <c r="D26" s="342">
        <f>D24-D25</f>
        <v>-42646500</v>
      </c>
      <c r="E26" s="342">
        <f t="shared" ref="E26:M26" si="16">E24-E25</f>
        <v>-43925895</v>
      </c>
      <c r="F26" s="342">
        <f t="shared" si="16"/>
        <v>111828600</v>
      </c>
      <c r="G26" s="408">
        <f t="shared" si="16"/>
        <v>0</v>
      </c>
      <c r="H26" s="408">
        <f t="shared" si="16"/>
        <v>0</v>
      </c>
      <c r="I26" s="408">
        <f t="shared" si="16"/>
        <v>0</v>
      </c>
      <c r="J26" s="494">
        <f t="shared" si="16"/>
        <v>-25069366.77608566</v>
      </c>
      <c r="K26" s="494">
        <f t="shared" si="16"/>
        <v>-25821447.779368229</v>
      </c>
      <c r="L26" s="494">
        <f t="shared" si="16"/>
        <v>55054080</v>
      </c>
      <c r="M26" s="494">
        <f t="shared" si="16"/>
        <v>0</v>
      </c>
      <c r="N26" s="410"/>
    </row>
    <row r="27" spans="1:14" ht="14.1" customHeight="1">
      <c r="A27" s="1" t="s">
        <v>241</v>
      </c>
      <c r="B27" s="218"/>
      <c r="C27" s="218"/>
      <c r="D27" s="318"/>
      <c r="E27" s="292"/>
      <c r="F27" s="292"/>
      <c r="G27" s="409"/>
      <c r="H27" s="409"/>
      <c r="I27" s="409"/>
      <c r="J27" s="495"/>
      <c r="K27" s="495"/>
      <c r="L27" s="495"/>
      <c r="M27" s="495"/>
      <c r="N27" s="410"/>
    </row>
    <row r="28" spans="1:14" ht="18" customHeight="1">
      <c r="A28" s="10" t="s">
        <v>37</v>
      </c>
      <c r="B28" s="146">
        <f>NPV(10%,D26:M26)</f>
        <v>7384403.500434475</v>
      </c>
      <c r="C28" s="53"/>
      <c r="D28" s="325" t="s">
        <v>197</v>
      </c>
      <c r="E28" s="338"/>
      <c r="F28" s="338"/>
      <c r="G28" s="403"/>
      <c r="H28" s="384"/>
      <c r="I28" s="384"/>
      <c r="J28" s="469"/>
      <c r="K28" s="469"/>
      <c r="L28" s="469"/>
      <c r="M28" s="469"/>
      <c r="N28" s="410"/>
    </row>
    <row r="29" spans="1:14" ht="18" customHeight="1">
      <c r="A29" s="17" t="s">
        <v>39</v>
      </c>
      <c r="B29" s="52">
        <f>IRR(D26:M26)</f>
        <v>0.15966319459557088</v>
      </c>
      <c r="C29" s="26"/>
      <c r="D29" s="343"/>
      <c r="E29" s="343"/>
      <c r="F29" s="343"/>
      <c r="G29" s="400"/>
      <c r="H29" s="400"/>
      <c r="I29" s="400"/>
      <c r="J29" s="487"/>
      <c r="K29" s="487"/>
      <c r="L29" s="487"/>
      <c r="M29" s="487"/>
    </row>
    <row r="30" spans="1:14" ht="18" customHeight="1">
      <c r="B30" s="218"/>
      <c r="C30" s="50"/>
      <c r="D30" s="221"/>
      <c r="E30" s="221"/>
      <c r="F30" s="221"/>
      <c r="G30" s="221"/>
      <c r="H30" s="50"/>
      <c r="I30" s="50"/>
      <c r="J30" s="50"/>
      <c r="K30" s="50"/>
      <c r="L30" s="50"/>
      <c r="M30" s="50"/>
    </row>
    <row r="31" spans="1:14" ht="18" customHeight="1">
      <c r="B31" s="218"/>
      <c r="C31" s="50"/>
      <c r="D31" s="221"/>
      <c r="E31" s="221"/>
      <c r="F31" s="221"/>
      <c r="G31" s="221"/>
      <c r="H31" s="50"/>
      <c r="I31" s="50"/>
      <c r="J31" s="50"/>
      <c r="K31" s="50"/>
      <c r="L31" s="50"/>
      <c r="M31" s="50"/>
    </row>
    <row r="32" spans="1:14" ht="18" customHeight="1">
      <c r="A32" s="220"/>
      <c r="B32" s="218"/>
      <c r="C32" s="50"/>
      <c r="D32" s="221"/>
      <c r="E32" s="221"/>
      <c r="F32" s="221"/>
      <c r="G32" s="221"/>
      <c r="H32" s="50"/>
      <c r="I32" s="50"/>
      <c r="J32" s="50"/>
      <c r="K32" s="50"/>
      <c r="L32" s="50"/>
      <c r="M32" s="50"/>
    </row>
    <row r="36" spans="1:13">
      <c r="B36" s="1"/>
      <c r="D36" s="3"/>
      <c r="E36" s="141"/>
    </row>
    <row r="37" spans="1:13">
      <c r="A37" s="142"/>
      <c r="B37" s="136"/>
      <c r="C37" s="137"/>
      <c r="D37" s="137"/>
      <c r="E37" s="204"/>
    </row>
    <row r="38" spans="1:13">
      <c r="B38" s="1"/>
      <c r="C38" s="144"/>
    </row>
    <row r="39" spans="1:13">
      <c r="B39" s="1"/>
      <c r="D39" s="138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13">
      <c r="B40" s="1"/>
      <c r="D40" s="170"/>
      <c r="E40" s="170"/>
      <c r="F40" s="170"/>
      <c r="G40" s="170"/>
      <c r="H40" s="170"/>
      <c r="I40" s="170"/>
      <c r="J40" s="170"/>
      <c r="K40" s="170"/>
      <c r="L40" s="170"/>
      <c r="M40" s="170"/>
    </row>
  </sheetData>
  <phoneticPr fontId="2" type="noConversion"/>
  <pageMargins left="0.5" right="0.5" top="1" bottom="0.5" header="0.5" footer="0.5"/>
  <pageSetup orientation="landscape" r:id="rId1"/>
  <headerFooter alignWithMargins="0">
    <oddHeader>&amp;L&amp;"Arial,Bold"3. Income Statement: Market-rate For Sale Housing&amp;R&amp;G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9"/>
  <sheetViews>
    <sheetView showWhiteSpace="0" view="pageLayout" zoomScale="90" zoomScaleNormal="100" zoomScalePageLayoutView="90" workbookViewId="0">
      <selection activeCell="D21" sqref="D21"/>
    </sheetView>
  </sheetViews>
  <sheetFormatPr defaultColWidth="9.140625" defaultRowHeight="12.75"/>
  <cols>
    <col min="1" max="1" width="23.7109375" style="1" customWidth="1"/>
    <col min="2" max="2" width="18.85546875" style="3" customWidth="1"/>
    <col min="3" max="3" width="12.85546875" style="3" customWidth="1"/>
    <col min="4" max="8" width="12.7109375" style="1" bestFit="1" customWidth="1"/>
    <col min="9" max="9" width="12" style="1" bestFit="1" customWidth="1"/>
    <col min="10" max="12" width="10.42578125" style="1" bestFit="1" customWidth="1"/>
    <col min="13" max="13" width="13.28515625" style="1" customWidth="1"/>
    <col min="14" max="14" width="9.140625" style="1"/>
    <col min="15" max="15" width="9.7109375" style="1" bestFit="1" customWidth="1"/>
    <col min="16" max="16384" width="9.140625" style="1"/>
  </cols>
  <sheetData>
    <row r="1" spans="1:13" ht="14.1" customHeight="1">
      <c r="A1" s="115"/>
      <c r="B1" s="115"/>
      <c r="C1" s="116"/>
      <c r="D1" s="117"/>
      <c r="E1" s="117"/>
      <c r="F1" s="117"/>
      <c r="G1" s="117"/>
      <c r="H1" s="117"/>
      <c r="I1" s="117"/>
      <c r="J1" s="117"/>
      <c r="K1" s="117"/>
      <c r="L1" s="109" t="s">
        <v>1</v>
      </c>
      <c r="M1" s="110" t="s">
        <v>236</v>
      </c>
    </row>
    <row r="2" spans="1:13" ht="14.1" customHeight="1">
      <c r="B2" s="46"/>
      <c r="C2" s="46" t="s">
        <v>2</v>
      </c>
      <c r="D2" s="306" t="s">
        <v>3</v>
      </c>
      <c r="E2" s="300"/>
      <c r="F2" s="300"/>
      <c r="G2" s="401" t="s">
        <v>198</v>
      </c>
      <c r="H2" s="395"/>
      <c r="I2" s="244"/>
      <c r="J2" s="174" t="s">
        <v>221</v>
      </c>
      <c r="K2" s="496"/>
      <c r="L2" s="174"/>
      <c r="M2" s="174"/>
    </row>
    <row r="3" spans="1:13" ht="14.1" customHeight="1">
      <c r="A3" s="5"/>
      <c r="B3" s="49" t="s">
        <v>75</v>
      </c>
      <c r="C3" s="67" t="s">
        <v>124</v>
      </c>
      <c r="D3" s="297">
        <v>2024</v>
      </c>
      <c r="E3" s="307">
        <f t="shared" ref="E3:M3" si="0">D3+1</f>
        <v>2025</v>
      </c>
      <c r="F3" s="307">
        <f t="shared" si="0"/>
        <v>2026</v>
      </c>
      <c r="G3" s="380">
        <f t="shared" si="0"/>
        <v>2027</v>
      </c>
      <c r="H3" s="380">
        <f t="shared" si="0"/>
        <v>2028</v>
      </c>
      <c r="I3" s="380">
        <f t="shared" si="0"/>
        <v>2029</v>
      </c>
      <c r="J3" s="465">
        <f t="shared" si="0"/>
        <v>2030</v>
      </c>
      <c r="K3" s="465">
        <f t="shared" si="0"/>
        <v>2031</v>
      </c>
      <c r="L3" s="465">
        <f t="shared" si="0"/>
        <v>2032</v>
      </c>
      <c r="M3" s="465">
        <f t="shared" si="0"/>
        <v>2033</v>
      </c>
    </row>
    <row r="4" spans="1:13" ht="18" customHeight="1">
      <c r="A4" s="10" t="s">
        <v>84</v>
      </c>
      <c r="B4" s="50"/>
      <c r="C4" s="50"/>
      <c r="D4" s="321"/>
      <c r="E4" s="321"/>
      <c r="F4" s="321"/>
      <c r="G4" s="381"/>
      <c r="H4" s="381"/>
      <c r="I4" s="381"/>
      <c r="J4" s="466"/>
      <c r="K4" s="466"/>
      <c r="L4" s="466"/>
      <c r="M4" s="466"/>
    </row>
    <row r="5" spans="1:13">
      <c r="A5" s="119" t="s">
        <v>76</v>
      </c>
      <c r="B5" s="24">
        <v>0.02</v>
      </c>
      <c r="C5" s="24"/>
      <c r="D5" s="344"/>
      <c r="E5" s="344"/>
      <c r="F5" s="344"/>
      <c r="G5" s="411"/>
      <c r="H5" s="411"/>
      <c r="I5" s="411"/>
      <c r="J5" s="497"/>
      <c r="K5" s="467"/>
      <c r="L5" s="467"/>
      <c r="M5" s="467"/>
    </row>
    <row r="6" spans="1:13" ht="14.1" customHeight="1">
      <c r="A6" s="119" t="s">
        <v>85</v>
      </c>
      <c r="B6" s="504">
        <f>SUM(D17:M17)</f>
        <v>274</v>
      </c>
      <c r="C6" s="41"/>
      <c r="D6" s="338"/>
      <c r="E6" s="338"/>
      <c r="F6" s="338">
        <f>D17+E17</f>
        <v>182</v>
      </c>
      <c r="G6" s="403">
        <f t="shared" ref="G6" si="1">F6+F17</f>
        <v>182</v>
      </c>
      <c r="H6" s="403">
        <f>G6</f>
        <v>182</v>
      </c>
      <c r="I6" s="403">
        <f>H6+H17+G17</f>
        <v>274</v>
      </c>
      <c r="J6" s="498">
        <f>I6+I17+H17</f>
        <v>320</v>
      </c>
      <c r="K6" s="498"/>
      <c r="L6" s="498"/>
      <c r="M6" s="498"/>
    </row>
    <row r="7" spans="1:13" ht="14.1" customHeight="1">
      <c r="A7" s="119" t="s">
        <v>86</v>
      </c>
      <c r="B7" s="20">
        <v>900</v>
      </c>
      <c r="C7" s="20"/>
      <c r="D7" s="344"/>
      <c r="E7" s="308"/>
      <c r="F7" s="308">
        <f>$B$7</f>
        <v>900</v>
      </c>
      <c r="G7" s="388">
        <f t="shared" ref="G7:J7" si="2">$B$7</f>
        <v>900</v>
      </c>
      <c r="H7" s="388">
        <f t="shared" si="2"/>
        <v>900</v>
      </c>
      <c r="I7" s="388">
        <f t="shared" si="2"/>
        <v>900</v>
      </c>
      <c r="J7" s="473">
        <f t="shared" si="2"/>
        <v>900</v>
      </c>
      <c r="K7" s="473"/>
      <c r="L7" s="473"/>
      <c r="M7" s="473"/>
    </row>
    <row r="8" spans="1:13" ht="14.1" customHeight="1">
      <c r="A8" s="119" t="s">
        <v>87</v>
      </c>
      <c r="B8" s="20"/>
      <c r="D8" s="308"/>
      <c r="E8" s="308"/>
      <c r="F8" s="308">
        <f t="shared" ref="F8:J8" si="3">F6*F7</f>
        <v>163800</v>
      </c>
      <c r="G8" s="388">
        <f t="shared" si="3"/>
        <v>163800</v>
      </c>
      <c r="H8" s="388">
        <f t="shared" si="3"/>
        <v>163800</v>
      </c>
      <c r="I8" s="388">
        <f t="shared" si="3"/>
        <v>246600</v>
      </c>
      <c r="J8" s="473">
        <f t="shared" si="3"/>
        <v>288000</v>
      </c>
      <c r="K8" s="473"/>
      <c r="L8" s="473"/>
      <c r="M8" s="473"/>
    </row>
    <row r="9" spans="1:13" ht="14.1" customHeight="1">
      <c r="A9" s="119" t="s">
        <v>88</v>
      </c>
      <c r="B9" s="20">
        <v>1.8</v>
      </c>
      <c r="D9" s="345">
        <f t="shared" ref="D9:E9" si="4">$B$9*1.02^(D3-$D$3)</f>
        <v>1.8</v>
      </c>
      <c r="E9" s="345">
        <f t="shared" si="4"/>
        <v>1.8360000000000001</v>
      </c>
      <c r="F9" s="345">
        <f>$B$9*1.02^(F3-$D$3)</f>
        <v>1.8727199999999999</v>
      </c>
      <c r="G9" s="412">
        <f t="shared" ref="G9:M9" si="5">$B$9*1.02^(G3-$D$3)</f>
        <v>1.9101743999999998</v>
      </c>
      <c r="H9" s="412">
        <f t="shared" si="5"/>
        <v>1.948377888</v>
      </c>
      <c r="I9" s="412">
        <f t="shared" si="5"/>
        <v>1.9873454457600002</v>
      </c>
      <c r="J9" s="499">
        <f t="shared" si="5"/>
        <v>2.0270923546752</v>
      </c>
      <c r="K9" s="499">
        <f t="shared" si="5"/>
        <v>2.0676342017687039</v>
      </c>
      <c r="L9" s="499">
        <f t="shared" si="5"/>
        <v>2.1089868858040779</v>
      </c>
      <c r="M9" s="499">
        <f t="shared" si="5"/>
        <v>2.1511666235201594</v>
      </c>
    </row>
    <row r="10" spans="1:13" ht="14.1" customHeight="1">
      <c r="A10" s="16" t="s">
        <v>89</v>
      </c>
      <c r="B10" s="52">
        <v>0.98</v>
      </c>
      <c r="C10" s="4"/>
      <c r="D10" s="309"/>
      <c r="E10" s="309"/>
      <c r="F10" s="309">
        <f t="shared" ref="F10:J10" si="6">F8*$B$10</f>
        <v>160524</v>
      </c>
      <c r="G10" s="392">
        <f t="shared" si="6"/>
        <v>160524</v>
      </c>
      <c r="H10" s="392">
        <f t="shared" si="6"/>
        <v>160524</v>
      </c>
      <c r="I10" s="392">
        <f t="shared" si="6"/>
        <v>241668</v>
      </c>
      <c r="J10" s="477">
        <f t="shared" si="6"/>
        <v>282240</v>
      </c>
      <c r="K10" s="477">
        <f>J10</f>
        <v>282240</v>
      </c>
      <c r="L10" s="477">
        <f t="shared" ref="L10:M10" si="7">K10</f>
        <v>282240</v>
      </c>
      <c r="M10" s="477">
        <f t="shared" si="7"/>
        <v>282240</v>
      </c>
    </row>
    <row r="11" spans="1:13" ht="18" customHeight="1">
      <c r="A11" s="10" t="s">
        <v>4</v>
      </c>
      <c r="B11" s="41"/>
      <c r="C11" s="41"/>
      <c r="D11" s="338"/>
      <c r="E11" s="338"/>
      <c r="F11" s="338"/>
      <c r="G11" s="403"/>
      <c r="H11" s="403"/>
      <c r="I11" s="403"/>
      <c r="J11" s="498"/>
      <c r="K11" s="469"/>
      <c r="L11" s="469"/>
      <c r="M11" s="469"/>
    </row>
    <row r="12" spans="1:13" ht="14.1" customHeight="1">
      <c r="A12" s="119" t="s">
        <v>90</v>
      </c>
      <c r="B12" s="20"/>
      <c r="C12" s="20"/>
      <c r="D12" s="308"/>
      <c r="E12" s="308">
        <f>E10*$B$9</f>
        <v>0</v>
      </c>
      <c r="F12" s="308">
        <f>F10*F9*12</f>
        <v>3607398.06336</v>
      </c>
      <c r="G12" s="388">
        <f t="shared" ref="G12:M12" si="8">G10*G9*12</f>
        <v>3679546.0246271999</v>
      </c>
      <c r="H12" s="388">
        <f t="shared" si="8"/>
        <v>3753136.9451197442</v>
      </c>
      <c r="I12" s="388">
        <f t="shared" si="8"/>
        <v>5763333.5902311327</v>
      </c>
      <c r="J12" s="473">
        <f t="shared" si="8"/>
        <v>6865518.5542023424</v>
      </c>
      <c r="K12" s="473">
        <f t="shared" si="8"/>
        <v>7002828.925286388</v>
      </c>
      <c r="L12" s="473">
        <f t="shared" si="8"/>
        <v>7142885.5037921164</v>
      </c>
      <c r="M12" s="473">
        <f t="shared" si="8"/>
        <v>7285743.2138679568</v>
      </c>
    </row>
    <row r="13" spans="1:13" ht="14.1" customHeight="1">
      <c r="A13" s="119" t="s">
        <v>242</v>
      </c>
      <c r="B13" s="675">
        <v>3</v>
      </c>
      <c r="C13" s="21"/>
      <c r="D13" s="308"/>
      <c r="E13" s="345">
        <f>$B$13*1.02^(D3-$D$3)</f>
        <v>3</v>
      </c>
      <c r="F13" s="345">
        <f t="shared" ref="F13:J13" si="9">$B$13*1.02^(E3-$D$3)</f>
        <v>3.06</v>
      </c>
      <c r="G13" s="412">
        <f t="shared" si="9"/>
        <v>3.1212</v>
      </c>
      <c r="H13" s="412">
        <f t="shared" si="9"/>
        <v>3.183624</v>
      </c>
      <c r="I13" s="412">
        <f t="shared" si="9"/>
        <v>3.2472964800000002</v>
      </c>
      <c r="J13" s="499">
        <f t="shared" si="9"/>
        <v>3.3122424096</v>
      </c>
      <c r="K13" s="499">
        <f t="shared" ref="K13" si="10">$B$13*1.02^(J3-$D$3)</f>
        <v>3.378487257792</v>
      </c>
      <c r="L13" s="499">
        <f t="shared" ref="L13" si="11">$B$13*1.02^(K3-$D$3)</f>
        <v>3.4460570029478395</v>
      </c>
      <c r="M13" s="499">
        <f t="shared" ref="M13" si="12">$B$13*1.02^(L3-$D$3)</f>
        <v>3.5149781430067968</v>
      </c>
    </row>
    <row r="14" spans="1:13" ht="14.1" customHeight="1">
      <c r="A14" s="120" t="s">
        <v>31</v>
      </c>
      <c r="B14" s="26"/>
      <c r="C14" s="26"/>
      <c r="D14" s="309"/>
      <c r="E14" s="309">
        <f>E12-E13*E8</f>
        <v>0</v>
      </c>
      <c r="F14" s="309">
        <f>F12-(F13*F8)</f>
        <v>3106170.06336</v>
      </c>
      <c r="G14" s="392">
        <f t="shared" ref="G14:M14" si="13">G12-(G13*G8)</f>
        <v>3168293.4646271998</v>
      </c>
      <c r="H14" s="392">
        <f t="shared" si="13"/>
        <v>3231659.333919744</v>
      </c>
      <c r="I14" s="392">
        <f t="shared" si="13"/>
        <v>4962550.278263133</v>
      </c>
      <c r="J14" s="477">
        <f t="shared" si="13"/>
        <v>5911592.7402375424</v>
      </c>
      <c r="K14" s="477">
        <f t="shared" si="13"/>
        <v>7002828.925286388</v>
      </c>
      <c r="L14" s="477">
        <f t="shared" si="13"/>
        <v>7142885.5037921164</v>
      </c>
      <c r="M14" s="477">
        <f t="shared" si="13"/>
        <v>7285743.2138679568</v>
      </c>
    </row>
    <row r="15" spans="1:13" ht="18" customHeight="1">
      <c r="A15" s="40" t="s">
        <v>102</v>
      </c>
      <c r="B15" s="42"/>
      <c r="C15" s="42"/>
      <c r="D15" s="346"/>
      <c r="E15" s="346"/>
      <c r="F15" s="346"/>
      <c r="G15" s="413"/>
      <c r="H15" s="413"/>
      <c r="I15" s="413"/>
      <c r="J15" s="500"/>
      <c r="K15" s="501"/>
      <c r="L15" s="501"/>
      <c r="M15" s="501"/>
    </row>
    <row r="16" spans="1:13" ht="18" customHeight="1">
      <c r="A16" s="10" t="s">
        <v>24</v>
      </c>
      <c r="B16" s="41"/>
      <c r="C16" s="41"/>
      <c r="D16" s="338"/>
      <c r="E16" s="338"/>
      <c r="F16" s="338"/>
      <c r="G16" s="403"/>
      <c r="H16" s="403"/>
      <c r="I16" s="403"/>
      <c r="J16" s="498"/>
      <c r="K16" s="469"/>
      <c r="L16" s="469"/>
      <c r="M16" s="469"/>
    </row>
    <row r="17" spans="1:18" ht="13.5" customHeight="1">
      <c r="A17" s="169" t="s">
        <v>222</v>
      </c>
      <c r="B17" s="41"/>
      <c r="C17" s="41"/>
      <c r="D17" s="338">
        <f>Parcel_Pharse!J4</f>
        <v>91</v>
      </c>
      <c r="E17" s="338">
        <f>Parcel_Pharse!K4</f>
        <v>91</v>
      </c>
      <c r="F17" s="338">
        <f>Parcel_Pharse!L4</f>
        <v>0</v>
      </c>
      <c r="G17" s="403">
        <f>Parcel_Pharse!M4</f>
        <v>46</v>
      </c>
      <c r="H17" s="403">
        <f>Parcel_Pharse!N4</f>
        <v>46</v>
      </c>
      <c r="I17" s="403">
        <f>Parcel_Pharse!O4</f>
        <v>0</v>
      </c>
      <c r="J17" s="498">
        <f>Parcel_Pharse!P4</f>
        <v>0</v>
      </c>
      <c r="K17" s="498">
        <f>Parcel_Pharse!Q4</f>
        <v>0</v>
      </c>
      <c r="L17" s="498">
        <f>Parcel_Pharse!R4</f>
        <v>0</v>
      </c>
      <c r="M17" s="498">
        <f>Parcel_Pharse!S4</f>
        <v>0</v>
      </c>
      <c r="O17" s="141"/>
    </row>
    <row r="18" spans="1:18" ht="14.1" customHeight="1">
      <c r="A18" s="119" t="s">
        <v>92</v>
      </c>
      <c r="B18" s="20"/>
      <c r="C18" s="20"/>
      <c r="D18" s="347">
        <f>D17/$B$6</f>
        <v>0.33211678832116787</v>
      </c>
      <c r="E18" s="347">
        <f t="shared" ref="E18:M18" si="14">E17/$B$6</f>
        <v>0.33211678832116787</v>
      </c>
      <c r="F18" s="347">
        <f t="shared" si="14"/>
        <v>0</v>
      </c>
      <c r="G18" s="414">
        <f t="shared" si="14"/>
        <v>0.16788321167883211</v>
      </c>
      <c r="H18" s="414">
        <f t="shared" si="14"/>
        <v>0.16788321167883211</v>
      </c>
      <c r="I18" s="414">
        <f t="shared" si="14"/>
        <v>0</v>
      </c>
      <c r="J18" s="502">
        <f t="shared" si="14"/>
        <v>0</v>
      </c>
      <c r="K18" s="502">
        <f t="shared" si="14"/>
        <v>0</v>
      </c>
      <c r="L18" s="502">
        <f t="shared" si="14"/>
        <v>0</v>
      </c>
      <c r="M18" s="502">
        <f t="shared" si="14"/>
        <v>0</v>
      </c>
      <c r="O18" s="233"/>
    </row>
    <row r="19" spans="1:18" ht="14.1" customHeight="1">
      <c r="A19" s="674" t="s">
        <v>309</v>
      </c>
      <c r="B19" s="20"/>
      <c r="C19" s="20"/>
      <c r="D19" s="308">
        <f>D17*420*$B$7</f>
        <v>34398000</v>
      </c>
      <c r="E19" s="308">
        <f t="shared" ref="E19:M19" si="15">E17*420*$B$7</f>
        <v>34398000</v>
      </c>
      <c r="F19" s="308">
        <f t="shared" si="15"/>
        <v>0</v>
      </c>
      <c r="G19" s="388">
        <f t="shared" si="15"/>
        <v>17388000</v>
      </c>
      <c r="H19" s="388">
        <f t="shared" si="15"/>
        <v>17388000</v>
      </c>
      <c r="I19" s="388">
        <f t="shared" si="15"/>
        <v>0</v>
      </c>
      <c r="J19" s="473">
        <f t="shared" si="15"/>
        <v>0</v>
      </c>
      <c r="K19" s="473">
        <f t="shared" si="15"/>
        <v>0</v>
      </c>
      <c r="L19" s="473">
        <f t="shared" si="15"/>
        <v>0</v>
      </c>
      <c r="M19" s="473">
        <f t="shared" si="15"/>
        <v>0</v>
      </c>
    </row>
    <row r="20" spans="1:18" ht="14.1" customHeight="1">
      <c r="A20" s="674" t="s">
        <v>306</v>
      </c>
      <c r="B20" s="20"/>
      <c r="C20" s="20"/>
      <c r="D20" s="308">
        <f>D17*40*$B$7</f>
        <v>3276000</v>
      </c>
      <c r="E20" s="308">
        <f t="shared" ref="E20:H20" si="16">E17*40*$B$7</f>
        <v>3276000</v>
      </c>
      <c r="F20" s="308">
        <f t="shared" si="16"/>
        <v>0</v>
      </c>
      <c r="G20" s="388">
        <f t="shared" si="16"/>
        <v>1656000</v>
      </c>
      <c r="H20" s="388">
        <f t="shared" si="16"/>
        <v>1656000</v>
      </c>
      <c r="I20" s="388">
        <f t="shared" ref="I20:M20" si="17">I17*20*$B$7</f>
        <v>0</v>
      </c>
      <c r="J20" s="473">
        <f t="shared" si="17"/>
        <v>0</v>
      </c>
      <c r="K20" s="473">
        <f t="shared" si="17"/>
        <v>0</v>
      </c>
      <c r="L20" s="473">
        <f t="shared" si="17"/>
        <v>0</v>
      </c>
      <c r="M20" s="473">
        <f t="shared" si="17"/>
        <v>0</v>
      </c>
    </row>
    <row r="21" spans="1:18" ht="14.1" customHeight="1">
      <c r="A21" s="120" t="s">
        <v>29</v>
      </c>
      <c r="B21" s="26"/>
      <c r="C21" s="26"/>
      <c r="D21" s="309">
        <f>(D19+D20)*1.03^(D3-$D$3)</f>
        <v>37674000</v>
      </c>
      <c r="E21" s="309">
        <f t="shared" ref="E21:M21" si="18">(E19+E20)*1.03^(E3-$D$3)</f>
        <v>38804220</v>
      </c>
      <c r="F21" s="309">
        <f t="shared" si="18"/>
        <v>0</v>
      </c>
      <c r="G21" s="392">
        <f t="shared" si="18"/>
        <v>20809892.988000002</v>
      </c>
      <c r="H21" s="392">
        <f t="shared" si="18"/>
        <v>21434189.77764</v>
      </c>
      <c r="I21" s="392">
        <f t="shared" si="18"/>
        <v>0</v>
      </c>
      <c r="J21" s="477">
        <f t="shared" si="18"/>
        <v>0</v>
      </c>
      <c r="K21" s="477">
        <f t="shared" si="18"/>
        <v>0</v>
      </c>
      <c r="L21" s="477">
        <f t="shared" si="18"/>
        <v>0</v>
      </c>
      <c r="M21" s="477">
        <f t="shared" si="18"/>
        <v>0</v>
      </c>
    </row>
    <row r="22" spans="1:18" ht="18" customHeight="1">
      <c r="A22" s="10" t="s">
        <v>30</v>
      </c>
      <c r="B22" s="41"/>
      <c r="C22" s="41"/>
      <c r="D22" s="338"/>
      <c r="E22" s="338"/>
      <c r="F22" s="338"/>
      <c r="G22" s="403"/>
      <c r="H22" s="403"/>
      <c r="I22" s="403"/>
      <c r="J22" s="498"/>
      <c r="K22" s="469"/>
      <c r="L22" s="469"/>
      <c r="M22" s="469"/>
    </row>
    <row r="23" spans="1:18" ht="14.1" customHeight="1">
      <c r="A23" s="119" t="s">
        <v>31</v>
      </c>
      <c r="B23" s="20"/>
      <c r="C23" s="20"/>
      <c r="D23" s="308">
        <f>D14</f>
        <v>0</v>
      </c>
      <c r="E23" s="308">
        <f t="shared" ref="E23:M23" si="19">E14</f>
        <v>0</v>
      </c>
      <c r="F23" s="308">
        <f t="shared" si="19"/>
        <v>3106170.06336</v>
      </c>
      <c r="G23" s="388">
        <f t="shared" si="19"/>
        <v>3168293.4646271998</v>
      </c>
      <c r="H23" s="388">
        <f t="shared" si="19"/>
        <v>3231659.333919744</v>
      </c>
      <c r="I23" s="388">
        <f t="shared" si="19"/>
        <v>4962550.278263133</v>
      </c>
      <c r="J23" s="473">
        <f t="shared" si="19"/>
        <v>5911592.7402375424</v>
      </c>
      <c r="K23" s="473">
        <f t="shared" si="19"/>
        <v>7002828.925286388</v>
      </c>
      <c r="L23" s="473">
        <f t="shared" si="19"/>
        <v>7142885.5037921164</v>
      </c>
      <c r="M23" s="473">
        <f t="shared" si="19"/>
        <v>7285743.2138679568</v>
      </c>
      <c r="R23" s="43"/>
    </row>
    <row r="24" spans="1:18" ht="14.1" customHeight="1">
      <c r="A24" s="56" t="s">
        <v>266</v>
      </c>
      <c r="B24" s="23"/>
      <c r="C24" s="23"/>
      <c r="D24" s="348"/>
      <c r="E24" s="348">
        <f>D21*9%*70%*10</f>
        <v>23734620</v>
      </c>
      <c r="F24" s="348">
        <f t="shared" ref="F24:M24" si="20">E21*9%*70%*10</f>
        <v>24446658.599999998</v>
      </c>
      <c r="G24" s="415">
        <f t="shared" si="20"/>
        <v>0</v>
      </c>
      <c r="H24" s="415">
        <f t="shared" si="20"/>
        <v>13110232.58244</v>
      </c>
      <c r="I24" s="415">
        <f t="shared" si="20"/>
        <v>13503539.559913199</v>
      </c>
      <c r="J24" s="503">
        <f t="shared" si="20"/>
        <v>0</v>
      </c>
      <c r="K24" s="503">
        <f t="shared" si="20"/>
        <v>0</v>
      </c>
      <c r="L24" s="503">
        <f t="shared" si="20"/>
        <v>0</v>
      </c>
      <c r="M24" s="503">
        <f t="shared" si="20"/>
        <v>0</v>
      </c>
      <c r="R24" s="43"/>
    </row>
    <row r="25" spans="1:18" ht="14.1" customHeight="1">
      <c r="A25" s="22" t="s">
        <v>93</v>
      </c>
      <c r="B25" s="25"/>
      <c r="C25" s="25"/>
      <c r="D25" s="348"/>
      <c r="E25" s="348"/>
      <c r="F25" s="348"/>
      <c r="G25" s="395"/>
      <c r="H25" s="415"/>
      <c r="I25" s="415"/>
      <c r="J25" s="503"/>
      <c r="K25" s="522"/>
      <c r="L25" s="481"/>
      <c r="M25" s="678">
        <f>M23/5%</f>
        <v>145714864.27735913</v>
      </c>
      <c r="R25" s="680"/>
    </row>
    <row r="26" spans="1:18" ht="14.1" customHeight="1">
      <c r="A26" s="22" t="s">
        <v>94</v>
      </c>
      <c r="B26" s="25"/>
      <c r="C26" s="25"/>
      <c r="D26" s="348"/>
      <c r="E26" s="348"/>
      <c r="F26" s="348"/>
      <c r="G26" s="395"/>
      <c r="H26" s="415"/>
      <c r="I26" s="415"/>
      <c r="J26" s="503"/>
      <c r="K26" s="522"/>
      <c r="L26" s="481"/>
      <c r="M26" s="678">
        <f>3%*M25</f>
        <v>4371445.9283207739</v>
      </c>
      <c r="R26" s="680"/>
    </row>
    <row r="27" spans="1:18" ht="14.1" customHeight="1">
      <c r="A27" s="120" t="s">
        <v>29</v>
      </c>
      <c r="B27" s="26"/>
      <c r="C27" s="26"/>
      <c r="D27" s="309">
        <f>D21</f>
        <v>37674000</v>
      </c>
      <c r="E27" s="309">
        <f t="shared" ref="E27:M27" si="21">E21</f>
        <v>38804220</v>
      </c>
      <c r="F27" s="309">
        <f t="shared" si="21"/>
        <v>0</v>
      </c>
      <c r="G27" s="392">
        <f t="shared" si="21"/>
        <v>20809892.988000002</v>
      </c>
      <c r="H27" s="392">
        <f t="shared" si="21"/>
        <v>21434189.77764</v>
      </c>
      <c r="I27" s="392">
        <f t="shared" si="21"/>
        <v>0</v>
      </c>
      <c r="J27" s="477">
        <f t="shared" si="21"/>
        <v>0</v>
      </c>
      <c r="K27" s="477">
        <f t="shared" si="21"/>
        <v>0</v>
      </c>
      <c r="L27" s="477">
        <f t="shared" si="21"/>
        <v>0</v>
      </c>
      <c r="M27" s="477">
        <f t="shared" si="21"/>
        <v>0</v>
      </c>
      <c r="R27" s="43"/>
    </row>
    <row r="28" spans="1:18" ht="18" customHeight="1">
      <c r="A28" s="13" t="s">
        <v>34</v>
      </c>
      <c r="B28" s="34"/>
      <c r="C28" s="34"/>
      <c r="D28" s="335">
        <f>D23-D27+D24</f>
        <v>-37674000</v>
      </c>
      <c r="E28" s="335">
        <f t="shared" ref="E28:L28" si="22">E23-E27+E24</f>
        <v>-15069600</v>
      </c>
      <c r="F28" s="335">
        <f t="shared" si="22"/>
        <v>27552828.66336</v>
      </c>
      <c r="G28" s="396">
        <f t="shared" si="22"/>
        <v>-17641599.523372803</v>
      </c>
      <c r="H28" s="396">
        <f t="shared" si="22"/>
        <v>-5092297.861280255</v>
      </c>
      <c r="I28" s="396">
        <f t="shared" si="22"/>
        <v>18466089.838176332</v>
      </c>
      <c r="J28" s="486">
        <f>J23-J27+J24+J25-J26</f>
        <v>5911592.7402375424</v>
      </c>
      <c r="K28" s="486">
        <f>K23-K27+K24+R25-R26</f>
        <v>7002828.925286388</v>
      </c>
      <c r="L28" s="486">
        <f t="shared" si="22"/>
        <v>7142885.5037921164</v>
      </c>
      <c r="M28" s="486">
        <f>M23-M27+M24+M25-M26</f>
        <v>148629161.56290632</v>
      </c>
    </row>
    <row r="29" spans="1:18" ht="18" customHeight="1">
      <c r="A29" s="15" t="s">
        <v>37</v>
      </c>
      <c r="B29" s="140">
        <f>NPV(10%,D28:M28)</f>
        <v>35842512.09288273</v>
      </c>
      <c r="C29" s="24"/>
      <c r="D29" s="326"/>
      <c r="E29" s="326"/>
      <c r="F29" s="326"/>
      <c r="G29" s="385"/>
      <c r="H29" s="385"/>
      <c r="I29" s="385"/>
      <c r="J29" s="470"/>
      <c r="K29" s="470"/>
      <c r="L29" s="470"/>
      <c r="M29" s="470"/>
    </row>
    <row r="30" spans="1:18" ht="18" customHeight="1">
      <c r="A30" s="17" t="s">
        <v>39</v>
      </c>
      <c r="B30" s="52">
        <f>IRR(D28:M28)</f>
        <v>0.1929324294141066</v>
      </c>
      <c r="C30" s="26"/>
      <c r="D30" s="343"/>
      <c r="E30" s="343"/>
      <c r="F30" s="343"/>
      <c r="G30" s="400"/>
      <c r="H30" s="400"/>
      <c r="I30" s="400"/>
      <c r="J30" s="487"/>
      <c r="K30" s="487"/>
      <c r="L30" s="487"/>
      <c r="M30" s="487"/>
    </row>
    <row r="31" spans="1:18" ht="18" customHeight="1">
      <c r="A31" s="349"/>
      <c r="B31" s="25"/>
      <c r="C31" s="23"/>
      <c r="D31" s="350"/>
      <c r="E31" s="350"/>
      <c r="F31" s="350"/>
      <c r="G31" s="350"/>
      <c r="H31" s="350"/>
      <c r="I31" s="350"/>
      <c r="J31" s="350"/>
      <c r="K31" s="350"/>
      <c r="L31" s="350"/>
      <c r="M31" s="350"/>
    </row>
    <row r="32" spans="1:18" ht="18" customHeight="1">
      <c r="A32" s="222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8" customHeight="1">
      <c r="A33" s="222"/>
      <c r="B33" s="50"/>
      <c r="C33" s="50"/>
      <c r="D33" s="50"/>
      <c r="E33" s="50"/>
      <c r="F33" s="285"/>
      <c r="G33" s="50"/>
      <c r="H33" s="50"/>
      <c r="I33" s="50"/>
      <c r="J33" s="50"/>
      <c r="K33" s="50"/>
      <c r="L33" s="50"/>
      <c r="M33" s="50"/>
    </row>
    <row r="34" spans="1:13" ht="18" customHeight="1">
      <c r="A34" s="222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>
      <c r="B35" s="1"/>
      <c r="D35" s="3"/>
      <c r="E35" s="141"/>
    </row>
    <row r="36" spans="1:13">
      <c r="A36" s="142"/>
      <c r="B36" s="142"/>
      <c r="C36" s="143"/>
      <c r="D36" s="143"/>
      <c r="E36" s="204"/>
    </row>
    <row r="37" spans="1:13">
      <c r="B37" s="1"/>
      <c r="C37" s="144"/>
    </row>
    <row r="38" spans="1:13">
      <c r="B38" s="1"/>
      <c r="D38" s="138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1:13">
      <c r="B39" s="1"/>
      <c r="D39" s="170"/>
      <c r="E39" s="170"/>
      <c r="F39" s="170"/>
      <c r="G39" s="170"/>
      <c r="H39" s="170"/>
      <c r="I39" s="170"/>
      <c r="J39" s="170"/>
      <c r="K39" s="170"/>
      <c r="L39" s="170"/>
      <c r="M39" s="170"/>
    </row>
  </sheetData>
  <phoneticPr fontId="2" type="noConversion"/>
  <pageMargins left="0.5" right="0.5" top="1" bottom="0.5" header="0.5" footer="0.5"/>
  <pageSetup orientation="landscape" r:id="rId1"/>
  <headerFooter alignWithMargins="0">
    <oddHeader>&amp;L&amp;"Arial,Bold"4. Income Statement: Affordable Rental Housing&amp;R&amp;G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8"/>
  <sheetViews>
    <sheetView view="pageLayout" zoomScale="80" zoomScaleNormal="100" zoomScalePageLayoutView="80" workbookViewId="0">
      <selection activeCell="A18" sqref="A18"/>
    </sheetView>
  </sheetViews>
  <sheetFormatPr defaultColWidth="9.140625" defaultRowHeight="12.75"/>
  <cols>
    <col min="1" max="1" width="26.42578125" style="1" customWidth="1"/>
    <col min="2" max="2" width="15.28515625" style="3" customWidth="1"/>
    <col min="3" max="3" width="13.28515625" style="3" customWidth="1"/>
    <col min="4" max="4" width="11.28515625" style="1" bestFit="1" customWidth="1"/>
    <col min="5" max="5" width="12.140625" style="1" bestFit="1" customWidth="1"/>
    <col min="6" max="8" width="13" style="1" bestFit="1" customWidth="1"/>
    <col min="9" max="9" width="13.28515625" style="1" bestFit="1" customWidth="1"/>
    <col min="10" max="10" width="13" style="1" bestFit="1" customWidth="1"/>
    <col min="11" max="11" width="14.42578125" style="1" customWidth="1"/>
    <col min="12" max="13" width="13.7109375" style="1" bestFit="1" customWidth="1"/>
    <col min="14" max="16384" width="9.140625" style="1"/>
  </cols>
  <sheetData>
    <row r="1" spans="1:15" ht="14.1" customHeight="1">
      <c r="A1" s="115"/>
      <c r="B1" s="115"/>
      <c r="C1" s="116"/>
      <c r="D1" s="117"/>
      <c r="E1" s="117"/>
      <c r="F1" s="117"/>
      <c r="G1" s="117"/>
      <c r="H1" s="117"/>
      <c r="I1" s="117"/>
      <c r="J1" s="117"/>
      <c r="K1" s="117"/>
      <c r="L1" s="109" t="s">
        <v>1</v>
      </c>
      <c r="M1" s="110" t="s">
        <v>236</v>
      </c>
    </row>
    <row r="2" spans="1:15" ht="14.1" customHeight="1">
      <c r="B2" s="46"/>
      <c r="C2" s="46" t="s">
        <v>2</v>
      </c>
      <c r="D2" s="306" t="s">
        <v>3</v>
      </c>
      <c r="E2" s="300"/>
      <c r="F2" s="300"/>
      <c r="G2" s="244" t="s">
        <v>198</v>
      </c>
      <c r="H2" s="244"/>
      <c r="I2" s="244"/>
      <c r="J2" s="174" t="s">
        <v>221</v>
      </c>
      <c r="K2" s="174"/>
      <c r="L2" s="174"/>
      <c r="M2" s="174"/>
    </row>
    <row r="3" spans="1:15">
      <c r="A3" s="5"/>
      <c r="B3" s="49" t="s">
        <v>75</v>
      </c>
      <c r="C3" s="67" t="s">
        <v>124</v>
      </c>
      <c r="D3" s="297">
        <v>2024</v>
      </c>
      <c r="E3" s="307">
        <f t="shared" ref="E3:L3" si="0">D3+1</f>
        <v>2025</v>
      </c>
      <c r="F3" s="307">
        <f t="shared" si="0"/>
        <v>2026</v>
      </c>
      <c r="G3" s="380">
        <f t="shared" si="0"/>
        <v>2027</v>
      </c>
      <c r="H3" s="380">
        <f t="shared" si="0"/>
        <v>2028</v>
      </c>
      <c r="I3" s="380">
        <f t="shared" si="0"/>
        <v>2029</v>
      </c>
      <c r="J3" s="465">
        <f t="shared" si="0"/>
        <v>2030</v>
      </c>
      <c r="K3" s="465">
        <f t="shared" si="0"/>
        <v>2031</v>
      </c>
      <c r="L3" s="465">
        <f t="shared" si="0"/>
        <v>2032</v>
      </c>
      <c r="M3" s="465">
        <v>2033</v>
      </c>
    </row>
    <row r="4" spans="1:15" ht="18" customHeight="1">
      <c r="A4" s="10" t="s">
        <v>95</v>
      </c>
      <c r="B4" s="50"/>
      <c r="C4" s="50"/>
      <c r="D4" s="321"/>
      <c r="E4" s="321"/>
      <c r="F4" s="321"/>
      <c r="G4" s="381"/>
      <c r="H4" s="381"/>
      <c r="I4" s="381"/>
      <c r="J4" s="466"/>
      <c r="K4" s="466"/>
      <c r="L4" s="466"/>
      <c r="M4" s="466"/>
      <c r="O4" s="177"/>
    </row>
    <row r="5" spans="1:15" ht="14.1" customHeight="1">
      <c r="A5" s="119" t="s">
        <v>76</v>
      </c>
      <c r="B5" s="24">
        <v>0.02</v>
      </c>
      <c r="C5" s="24"/>
      <c r="D5" s="322"/>
      <c r="E5" s="322"/>
      <c r="F5" s="322"/>
      <c r="G5" s="382"/>
      <c r="H5" s="382"/>
      <c r="I5" s="382"/>
      <c r="J5" s="467"/>
      <c r="K5" s="467"/>
      <c r="L5" s="467"/>
      <c r="M5" s="467"/>
    </row>
    <row r="6" spans="1:15" ht="14.1" customHeight="1">
      <c r="A6" s="119" t="s">
        <v>243</v>
      </c>
      <c r="B6" s="158">
        <f>SUM(D6:M6)</f>
        <v>332690.62119999994</v>
      </c>
      <c r="C6" s="175"/>
      <c r="D6" s="351">
        <f>Parcel_Pharse!J6</f>
        <v>87704.257199999993</v>
      </c>
      <c r="E6" s="351">
        <f>Parcel_Pharse!K6</f>
        <v>87704.257199999993</v>
      </c>
      <c r="F6" s="351">
        <f>Parcel_Pharse!L6</f>
        <v>0</v>
      </c>
      <c r="G6" s="416">
        <f>Parcel_Pharse!M6</f>
        <v>63237.912499999991</v>
      </c>
      <c r="H6" s="416">
        <f>Parcel_Pharse!N6</f>
        <v>63237.912499999991</v>
      </c>
      <c r="I6" s="416">
        <f>Parcel_Pharse!O6</f>
        <v>0</v>
      </c>
      <c r="J6" s="506">
        <f>Parcel_Pharse!P6</f>
        <v>15403.140899999999</v>
      </c>
      <c r="K6" s="506">
        <f>Parcel_Pharse!Q6</f>
        <v>15403.140899999999</v>
      </c>
      <c r="L6" s="506"/>
      <c r="M6" s="506"/>
    </row>
    <row r="7" spans="1:15" ht="14.1" customHeight="1">
      <c r="A7" s="279" t="s">
        <v>104</v>
      </c>
      <c r="B7" s="41" t="s">
        <v>51</v>
      </c>
      <c r="C7" s="41"/>
      <c r="D7" s="325">
        <v>0</v>
      </c>
      <c r="E7" s="352"/>
      <c r="F7" s="353">
        <f>D6+E6</f>
        <v>175408.51439999999</v>
      </c>
      <c r="G7" s="417">
        <f>F7</f>
        <v>175408.51439999999</v>
      </c>
      <c r="H7" s="417">
        <f>G7</f>
        <v>175408.51439999999</v>
      </c>
      <c r="I7" s="417">
        <f>F7+G6+H6</f>
        <v>301884.33939999994</v>
      </c>
      <c r="J7" s="498">
        <f>SUM(D6:I6)</f>
        <v>301884.33939999994</v>
      </c>
      <c r="K7" s="489">
        <f>J7</f>
        <v>301884.33939999994</v>
      </c>
      <c r="L7" s="489"/>
      <c r="M7" s="489"/>
    </row>
    <row r="8" spans="1:15" ht="14.1" customHeight="1">
      <c r="A8" s="279" t="s">
        <v>87</v>
      </c>
      <c r="B8" s="24">
        <v>0.85</v>
      </c>
      <c r="C8" s="24"/>
      <c r="D8" s="326">
        <f>D7*0.9</f>
        <v>0</v>
      </c>
      <c r="E8" s="333">
        <f>E7*0.85</f>
        <v>0</v>
      </c>
      <c r="F8" s="333">
        <f t="shared" ref="F8:J8" si="1">F7*0.85</f>
        <v>149097.23723999999</v>
      </c>
      <c r="G8" s="393">
        <f t="shared" si="1"/>
        <v>149097.23723999999</v>
      </c>
      <c r="H8" s="393">
        <f t="shared" si="1"/>
        <v>149097.23723999999</v>
      </c>
      <c r="I8" s="393">
        <f t="shared" si="1"/>
        <v>256601.68848999994</v>
      </c>
      <c r="J8" s="473">
        <f t="shared" si="1"/>
        <v>256601.68848999994</v>
      </c>
      <c r="K8" s="473">
        <f t="shared" ref="K8" si="2">K7*0.85</f>
        <v>256601.68848999994</v>
      </c>
      <c r="L8" s="473"/>
      <c r="M8" s="473"/>
    </row>
    <row r="9" spans="1:15" ht="14.1" customHeight="1">
      <c r="A9" s="279" t="s">
        <v>105</v>
      </c>
      <c r="B9" s="24">
        <v>0.1</v>
      </c>
      <c r="C9" s="24"/>
      <c r="D9" s="326">
        <f>D8*0.06</f>
        <v>0</v>
      </c>
      <c r="E9" s="326">
        <f>E8*$B$9</f>
        <v>0</v>
      </c>
      <c r="F9" s="354">
        <f t="shared" ref="F9:I9" si="3">F8*$B$9</f>
        <v>14909.723723999999</v>
      </c>
      <c r="G9" s="418">
        <f t="shared" si="3"/>
        <v>14909.723723999999</v>
      </c>
      <c r="H9" s="418">
        <f t="shared" si="3"/>
        <v>14909.723723999999</v>
      </c>
      <c r="I9" s="418">
        <f t="shared" si="3"/>
        <v>25660.168848999994</v>
      </c>
      <c r="J9" s="507">
        <f>J8*$B$9</f>
        <v>25660.168848999994</v>
      </c>
      <c r="K9" s="507">
        <f t="shared" ref="K9" si="4">K8*$B$9</f>
        <v>25660.168848999994</v>
      </c>
      <c r="L9" s="507"/>
      <c r="M9" s="507"/>
    </row>
    <row r="10" spans="1:15" ht="14.1" customHeight="1">
      <c r="A10" s="30" t="s">
        <v>223</v>
      </c>
      <c r="B10" s="505">
        <v>60</v>
      </c>
      <c r="C10" s="44"/>
      <c r="D10" s="355">
        <f>$B$10*1.02^(D3-$D$3)</f>
        <v>60</v>
      </c>
      <c r="E10" s="355">
        <f t="shared" ref="E10:K10" si="5">$B$10*1.02^(E3-$D$3)</f>
        <v>61.2</v>
      </c>
      <c r="F10" s="355">
        <f t="shared" si="5"/>
        <v>62.423999999999999</v>
      </c>
      <c r="G10" s="419">
        <f t="shared" si="5"/>
        <v>63.672479999999993</v>
      </c>
      <c r="H10" s="419">
        <f t="shared" si="5"/>
        <v>64.945929599999999</v>
      </c>
      <c r="I10" s="419">
        <f t="shared" si="5"/>
        <v>66.244848192000006</v>
      </c>
      <c r="J10" s="508">
        <f t="shared" si="5"/>
        <v>67.56974515584001</v>
      </c>
      <c r="K10" s="508">
        <f t="shared" si="5"/>
        <v>68.921140058956794</v>
      </c>
      <c r="L10" s="508"/>
      <c r="M10" s="508"/>
      <c r="O10" s="181"/>
    </row>
    <row r="11" spans="1:15" ht="18" customHeight="1">
      <c r="A11" s="37" t="s">
        <v>4</v>
      </c>
      <c r="B11" s="41"/>
      <c r="C11" s="41"/>
      <c r="D11" s="325"/>
      <c r="E11" s="325"/>
      <c r="F11" s="325"/>
      <c r="G11" s="384"/>
      <c r="H11" s="384"/>
      <c r="I11" s="384"/>
      <c r="J11" s="498"/>
      <c r="K11" s="469"/>
      <c r="L11" s="469"/>
      <c r="M11" s="469"/>
    </row>
    <row r="12" spans="1:15" ht="14.1" customHeight="1">
      <c r="A12" s="279" t="s">
        <v>106</v>
      </c>
      <c r="B12" s="20"/>
      <c r="C12" s="20"/>
      <c r="D12" s="356">
        <f>$B$12*D9*$B$10</f>
        <v>0</v>
      </c>
      <c r="E12" s="356">
        <f>$B$12*(E8-E9)</f>
        <v>0</v>
      </c>
      <c r="F12" s="356">
        <f>F10*(F8-F9)</f>
        <v>8376521.3437227821</v>
      </c>
      <c r="G12" s="420">
        <f t="shared" ref="G12:K12" si="6">G10*(G8-G9)</f>
        <v>8544051.7705972381</v>
      </c>
      <c r="H12" s="420">
        <f t="shared" si="6"/>
        <v>8714932.8060091827</v>
      </c>
      <c r="I12" s="420">
        <f t="shared" si="6"/>
        <v>15298685.909847829</v>
      </c>
      <c r="J12" s="509">
        <f t="shared" si="6"/>
        <v>15604659.628044788</v>
      </c>
      <c r="K12" s="509">
        <f t="shared" si="6"/>
        <v>15916752.82060568</v>
      </c>
      <c r="L12" s="509"/>
      <c r="M12" s="509"/>
    </row>
    <row r="13" spans="1:15" s="29" customFormat="1" ht="25.5">
      <c r="A13" s="27" t="s">
        <v>107</v>
      </c>
      <c r="B13" s="176">
        <v>14</v>
      </c>
      <c r="D13" s="327">
        <f>$B$13*1.02^(D3-$D$3)</f>
        <v>14</v>
      </c>
      <c r="E13" s="327">
        <f>$B$13*1.02^(E3-$D$3)</f>
        <v>14.280000000000001</v>
      </c>
      <c r="F13" s="327">
        <f t="shared" ref="F13:K13" si="7">$B$13*1.02^(F3-$D$3)</f>
        <v>14.5656</v>
      </c>
      <c r="G13" s="386">
        <f t="shared" si="7"/>
        <v>14.856911999999999</v>
      </c>
      <c r="H13" s="386">
        <f t="shared" si="7"/>
        <v>15.15405024</v>
      </c>
      <c r="I13" s="386">
        <f t="shared" si="7"/>
        <v>15.457131244799999</v>
      </c>
      <c r="J13" s="471">
        <f t="shared" si="7"/>
        <v>15.766273869696001</v>
      </c>
      <c r="K13" s="471">
        <f t="shared" si="7"/>
        <v>16.081599347089917</v>
      </c>
      <c r="L13" s="471"/>
      <c r="M13" s="471"/>
    </row>
    <row r="14" spans="1:15" ht="14.1" customHeight="1">
      <c r="A14" s="274" t="s">
        <v>31</v>
      </c>
      <c r="B14" s="23"/>
      <c r="C14" s="23"/>
      <c r="D14" s="357">
        <f>D12</f>
        <v>0</v>
      </c>
      <c r="E14" s="357">
        <f>E12-E13*(E8-E9)</f>
        <v>0</v>
      </c>
      <c r="F14" s="357">
        <f t="shared" ref="F14:J14" si="8">F12-F13*(F8-F9)</f>
        <v>6421999.6968541332</v>
      </c>
      <c r="G14" s="421">
        <f t="shared" si="8"/>
        <v>6550439.6907912157</v>
      </c>
      <c r="H14" s="421">
        <f t="shared" si="8"/>
        <v>6681448.48460704</v>
      </c>
      <c r="I14" s="421">
        <f t="shared" si="8"/>
        <v>11728992.530883336</v>
      </c>
      <c r="J14" s="503">
        <f t="shared" si="8"/>
        <v>11963572.381501004</v>
      </c>
      <c r="K14" s="503">
        <f t="shared" ref="K14" si="9">K12-K13*(K8-K9)</f>
        <v>12202843.829131022</v>
      </c>
      <c r="L14" s="503"/>
      <c r="M14" s="503"/>
    </row>
    <row r="15" spans="1:15" ht="18" customHeight="1">
      <c r="A15" s="13" t="s">
        <v>24</v>
      </c>
      <c r="B15" s="34"/>
      <c r="C15" s="34"/>
      <c r="D15" s="358"/>
      <c r="E15" s="358"/>
      <c r="F15" s="358"/>
      <c r="G15" s="422"/>
      <c r="H15" s="422"/>
      <c r="I15" s="422"/>
      <c r="J15" s="510"/>
      <c r="K15" s="511"/>
      <c r="L15" s="511"/>
      <c r="M15" s="511"/>
    </row>
    <row r="16" spans="1:15" ht="14.1" customHeight="1">
      <c r="A16" s="119" t="s">
        <v>92</v>
      </c>
      <c r="B16" s="20"/>
      <c r="C16" s="20"/>
      <c r="D16" s="347">
        <f>D6/$B$6</f>
        <v>0.26362106897890519</v>
      </c>
      <c r="E16" s="347">
        <f t="shared" ref="E16:L16" si="10">E6/$B$6</f>
        <v>0.26362106897890519</v>
      </c>
      <c r="F16" s="347">
        <f t="shared" si="10"/>
        <v>0</v>
      </c>
      <c r="G16" s="414">
        <f t="shared" si="10"/>
        <v>0.19008023812605152</v>
      </c>
      <c r="H16" s="414">
        <f t="shared" si="10"/>
        <v>0.19008023812605152</v>
      </c>
      <c r="I16" s="414">
        <f t="shared" si="10"/>
        <v>0</v>
      </c>
      <c r="J16" s="502">
        <f t="shared" si="10"/>
        <v>4.6298692895043361E-2</v>
      </c>
      <c r="K16" s="502">
        <f t="shared" si="10"/>
        <v>4.6298692895043361E-2</v>
      </c>
      <c r="L16" s="502">
        <f t="shared" si="10"/>
        <v>0</v>
      </c>
      <c r="M16" s="502"/>
    </row>
    <row r="17" spans="1:13" ht="14.1" customHeight="1">
      <c r="A17" s="674" t="s">
        <v>290</v>
      </c>
      <c r="B17" s="20"/>
      <c r="C17" s="20"/>
      <c r="D17" s="308">
        <f>500*D6</f>
        <v>43852128.599999994</v>
      </c>
      <c r="E17" s="308">
        <f t="shared" ref="E17:M17" si="11">500*E6</f>
        <v>43852128.599999994</v>
      </c>
      <c r="F17" s="308">
        <f t="shared" si="11"/>
        <v>0</v>
      </c>
      <c r="G17" s="388">
        <f t="shared" si="11"/>
        <v>31618956.249999996</v>
      </c>
      <c r="H17" s="388">
        <f t="shared" si="11"/>
        <v>31618956.249999996</v>
      </c>
      <c r="I17" s="388">
        <f t="shared" si="11"/>
        <v>0</v>
      </c>
      <c r="J17" s="473">
        <f t="shared" si="11"/>
        <v>7701570.4499999993</v>
      </c>
      <c r="K17" s="473">
        <f t="shared" si="11"/>
        <v>7701570.4499999993</v>
      </c>
      <c r="L17" s="473">
        <f t="shared" si="11"/>
        <v>0</v>
      </c>
      <c r="M17" s="473">
        <f t="shared" si="11"/>
        <v>0</v>
      </c>
    </row>
    <row r="18" spans="1:13" ht="14.1" customHeight="1">
      <c r="A18" s="279" t="s">
        <v>281</v>
      </c>
      <c r="B18" s="234"/>
      <c r="C18" s="20"/>
      <c r="D18" s="308">
        <f>20*D6</f>
        <v>1754085.1439999999</v>
      </c>
      <c r="E18" s="308">
        <f t="shared" ref="E18:M18" si="12">20*E6</f>
        <v>1754085.1439999999</v>
      </c>
      <c r="F18" s="308">
        <f t="shared" si="12"/>
        <v>0</v>
      </c>
      <c r="G18" s="388">
        <f t="shared" si="12"/>
        <v>1264758.2499999998</v>
      </c>
      <c r="H18" s="388">
        <f t="shared" si="12"/>
        <v>1264758.2499999998</v>
      </c>
      <c r="I18" s="388">
        <f t="shared" si="12"/>
        <v>0</v>
      </c>
      <c r="J18" s="473">
        <f t="shared" si="12"/>
        <v>308062.81799999997</v>
      </c>
      <c r="K18" s="473">
        <f t="shared" si="12"/>
        <v>308062.81799999997</v>
      </c>
      <c r="L18" s="473">
        <f t="shared" si="12"/>
        <v>0</v>
      </c>
      <c r="M18" s="473">
        <f t="shared" si="12"/>
        <v>0</v>
      </c>
    </row>
    <row r="19" spans="1:13" ht="14.1" customHeight="1">
      <c r="A19" s="120" t="s">
        <v>29</v>
      </c>
      <c r="B19" s="26"/>
      <c r="C19" s="26"/>
      <c r="D19" s="309">
        <f>(D17+D18)*1.03^(D3-$D$3)</f>
        <v>45606213.743999995</v>
      </c>
      <c r="E19" s="309">
        <f t="shared" ref="E19:L19" si="13">(E17+E18)*1.03^(E3-$D$3)</f>
        <v>46974400.156319998</v>
      </c>
      <c r="F19" s="309">
        <f t="shared" si="13"/>
        <v>0</v>
      </c>
      <c r="G19" s="392">
        <f t="shared" si="13"/>
        <v>35932922.694441497</v>
      </c>
      <c r="H19" s="392">
        <f t="shared" si="13"/>
        <v>37010910.37527474</v>
      </c>
      <c r="I19" s="392">
        <f t="shared" si="13"/>
        <v>0</v>
      </c>
      <c r="J19" s="477">
        <f t="shared" si="13"/>
        <v>9563920.9980104771</v>
      </c>
      <c r="K19" s="477">
        <f t="shared" si="13"/>
        <v>9850838.6279507931</v>
      </c>
      <c r="L19" s="477">
        <f t="shared" si="13"/>
        <v>0</v>
      </c>
      <c r="M19" s="477"/>
    </row>
    <row r="20" spans="1:13" ht="18" customHeight="1">
      <c r="A20" s="10" t="s">
        <v>30</v>
      </c>
      <c r="B20" s="41"/>
      <c r="C20" s="41"/>
      <c r="D20" s="325"/>
      <c r="E20" s="325"/>
      <c r="F20" s="325"/>
      <c r="G20" s="384"/>
      <c r="H20" s="384"/>
      <c r="I20" s="384"/>
      <c r="J20" s="498"/>
      <c r="K20" s="469"/>
      <c r="L20" s="469"/>
      <c r="M20" s="469"/>
    </row>
    <row r="21" spans="1:13" ht="14.1" customHeight="1">
      <c r="A21" s="119" t="s">
        <v>31</v>
      </c>
      <c r="B21" s="23"/>
      <c r="C21" s="23"/>
      <c r="D21" s="356">
        <f>D14</f>
        <v>0</v>
      </c>
      <c r="E21" s="356">
        <f t="shared" ref="E21:L21" si="14">E14</f>
        <v>0</v>
      </c>
      <c r="F21" s="356">
        <f t="shared" si="14"/>
        <v>6421999.6968541332</v>
      </c>
      <c r="G21" s="420">
        <f t="shared" si="14"/>
        <v>6550439.6907912157</v>
      </c>
      <c r="H21" s="420">
        <f t="shared" si="14"/>
        <v>6681448.48460704</v>
      </c>
      <c r="I21" s="420">
        <f t="shared" si="14"/>
        <v>11728992.530883336</v>
      </c>
      <c r="J21" s="473">
        <f t="shared" si="14"/>
        <v>11963572.381501004</v>
      </c>
      <c r="K21" s="473">
        <f t="shared" si="14"/>
        <v>12202843.829131022</v>
      </c>
      <c r="L21" s="473">
        <f t="shared" si="14"/>
        <v>0</v>
      </c>
      <c r="M21" s="473"/>
    </row>
    <row r="22" spans="1:13" ht="14.1" customHeight="1">
      <c r="A22" s="119" t="s">
        <v>93</v>
      </c>
      <c r="B22" s="24"/>
      <c r="C22" s="24"/>
      <c r="D22" s="326"/>
      <c r="E22" s="326"/>
      <c r="F22" s="359"/>
      <c r="G22" s="385"/>
      <c r="H22" s="385"/>
      <c r="I22" s="423"/>
      <c r="J22" s="473"/>
      <c r="K22" s="470"/>
      <c r="L22" s="474">
        <f>K14/6%</f>
        <v>203380730.48551705</v>
      </c>
      <c r="M22" s="474"/>
    </row>
    <row r="23" spans="1:13" ht="14.1" customHeight="1">
      <c r="A23" s="119" t="s">
        <v>94</v>
      </c>
      <c r="B23" s="24"/>
      <c r="C23" s="24"/>
      <c r="D23" s="326"/>
      <c r="E23" s="326"/>
      <c r="F23" s="359"/>
      <c r="G23" s="385"/>
      <c r="H23" s="385"/>
      <c r="I23" s="423"/>
      <c r="J23" s="473"/>
      <c r="K23" s="470"/>
      <c r="L23" s="474">
        <f>3.5%*L22</f>
        <v>7118325.5669930978</v>
      </c>
      <c r="M23" s="474"/>
    </row>
    <row r="24" spans="1:13" ht="14.1" customHeight="1">
      <c r="A24" s="119" t="s">
        <v>29</v>
      </c>
      <c r="B24" s="24"/>
      <c r="C24" s="24"/>
      <c r="D24" s="333">
        <f>D19</f>
        <v>45606213.743999995</v>
      </c>
      <c r="E24" s="333">
        <f t="shared" ref="E24:L24" si="15">E19</f>
        <v>46974400.156319998</v>
      </c>
      <c r="F24" s="333">
        <f t="shared" si="15"/>
        <v>0</v>
      </c>
      <c r="G24" s="393">
        <f t="shared" si="15"/>
        <v>35932922.694441497</v>
      </c>
      <c r="H24" s="393">
        <f t="shared" si="15"/>
        <v>37010910.37527474</v>
      </c>
      <c r="I24" s="393">
        <f t="shared" si="15"/>
        <v>0</v>
      </c>
      <c r="J24" s="479">
        <f t="shared" si="15"/>
        <v>9563920.9980104771</v>
      </c>
      <c r="K24" s="479">
        <f t="shared" si="15"/>
        <v>9850838.6279507931</v>
      </c>
      <c r="L24" s="479">
        <f t="shared" si="15"/>
        <v>0</v>
      </c>
      <c r="M24" s="470"/>
    </row>
    <row r="25" spans="1:13" ht="14.1" customHeight="1">
      <c r="A25" s="16" t="s">
        <v>34</v>
      </c>
      <c r="B25" s="52"/>
      <c r="C25" s="52"/>
      <c r="D25" s="355">
        <f>D21-D24</f>
        <v>-45606213.743999995</v>
      </c>
      <c r="E25" s="355">
        <f t="shared" ref="E25:K25" si="16">E21-E24</f>
        <v>-46974400.156319998</v>
      </c>
      <c r="F25" s="355">
        <f t="shared" si="16"/>
        <v>6421999.6968541332</v>
      </c>
      <c r="G25" s="419">
        <f t="shared" si="16"/>
        <v>-29382483.003650282</v>
      </c>
      <c r="H25" s="419">
        <f t="shared" si="16"/>
        <v>-30329461.890667699</v>
      </c>
      <c r="I25" s="419">
        <f t="shared" si="16"/>
        <v>11728992.530883336</v>
      </c>
      <c r="J25" s="508">
        <f t="shared" si="16"/>
        <v>2399651.383490527</v>
      </c>
      <c r="K25" s="508">
        <f t="shared" si="16"/>
        <v>2352005.201180229</v>
      </c>
      <c r="L25" s="508">
        <f>L21-L24+L22-L23</f>
        <v>196262404.91852397</v>
      </c>
      <c r="M25" s="477"/>
    </row>
    <row r="26" spans="1:13" ht="18" customHeight="1">
      <c r="A26" s="10" t="s">
        <v>37</v>
      </c>
      <c r="B26" s="161">
        <f>NPV(10%,D25:M25)</f>
        <v>-22174152.663972512</v>
      </c>
      <c r="C26" s="53"/>
      <c r="D26" s="325"/>
      <c r="E26" s="325"/>
      <c r="F26" s="325"/>
      <c r="G26" s="384"/>
      <c r="H26" s="384"/>
      <c r="I26" s="384"/>
      <c r="J26" s="469"/>
      <c r="K26" s="469"/>
      <c r="L26" s="469"/>
      <c r="M26" s="469"/>
    </row>
    <row r="27" spans="1:13" ht="18" customHeight="1">
      <c r="A27" s="17" t="s">
        <v>39</v>
      </c>
      <c r="B27" s="52">
        <f>IRR(D25:M25)</f>
        <v>6.2863894669094256E-2</v>
      </c>
      <c r="C27" s="26"/>
      <c r="D27" s="343"/>
      <c r="E27" s="343"/>
      <c r="F27" s="343"/>
      <c r="G27" s="400"/>
      <c r="H27" s="400"/>
      <c r="I27" s="400"/>
      <c r="J27" s="487"/>
      <c r="K27" s="487"/>
      <c r="L27" s="487"/>
      <c r="M27" s="487"/>
    </row>
    <row r="28" spans="1:13" ht="18" customHeight="1">
      <c r="A28" s="222"/>
      <c r="B28" s="50"/>
      <c r="C28" s="50"/>
      <c r="D28" s="50"/>
      <c r="E28" s="50"/>
      <c r="F28" s="293"/>
      <c r="G28" s="50"/>
      <c r="H28" s="50"/>
      <c r="I28" s="289"/>
      <c r="J28" s="50"/>
      <c r="K28" s="50"/>
      <c r="L28" s="50"/>
      <c r="M28" s="50"/>
    </row>
    <row r="29" spans="1:13" ht="18" customHeight="1">
      <c r="A29" s="222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8" customHeight="1">
      <c r="A30" s="222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8" customHeight="1">
      <c r="A31" s="222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18" customHeight="1">
      <c r="A32" s="222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4" spans="2:13">
      <c r="B34" s="1"/>
      <c r="D34" s="3"/>
      <c r="E34" s="141"/>
    </row>
    <row r="35" spans="2:13">
      <c r="B35" s="142"/>
      <c r="C35" s="143"/>
      <c r="D35" s="143"/>
      <c r="E35" s="204"/>
    </row>
    <row r="36" spans="2:13">
      <c r="B36" s="1"/>
      <c r="C36" s="144"/>
    </row>
    <row r="37" spans="2:13">
      <c r="B37" s="1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2:13">
      <c r="B38" s="1"/>
      <c r="D38" s="145"/>
      <c r="E38" s="145"/>
      <c r="F38" s="145"/>
      <c r="G38" s="145"/>
      <c r="H38" s="145"/>
      <c r="I38" s="145"/>
      <c r="J38" s="145"/>
      <c r="K38" s="145"/>
    </row>
  </sheetData>
  <phoneticPr fontId="2" type="noConversion"/>
  <pageMargins left="0.5" right="0.5" top="1" bottom="0.5" header="0.5" footer="0.5"/>
  <pageSetup orientation="landscape" r:id="rId1"/>
  <headerFooter alignWithMargins="0">
    <oddHeader>&amp;L&amp;"Arial,Bold"6. Income Statement: Office/Commercial&amp;R&amp;G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832773-9414-42b9-95c3-36a558d8f74c">
      <Terms xmlns="http://schemas.microsoft.com/office/infopath/2007/PartnerControls"/>
    </lcf76f155ced4ddcb4097134ff3c332f>
    <TaxCatchAll xmlns="9f6012f1-210b-47d8-98a5-79507b18255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D0D48330F6CE4FB6B3AE62FA39CE46" ma:contentTypeVersion="16" ma:contentTypeDescription="Create a new document." ma:contentTypeScope="" ma:versionID="6ac75ae71c1825924b0d013b6bf348d8">
  <xsd:schema xmlns:xsd="http://www.w3.org/2001/XMLSchema" xmlns:xs="http://www.w3.org/2001/XMLSchema" xmlns:p="http://schemas.microsoft.com/office/2006/metadata/properties" xmlns:ns2="07832773-9414-42b9-95c3-36a558d8f74c" xmlns:ns3="9f6012f1-210b-47d8-98a5-79507b18255d" targetNamespace="http://schemas.microsoft.com/office/2006/metadata/properties" ma:root="true" ma:fieldsID="1a0a4a9bc1fa65bdb62b8a3660d5f832" ns2:_="" ns3:_="">
    <xsd:import namespace="07832773-9414-42b9-95c3-36a558d8f74c"/>
    <xsd:import namespace="9f6012f1-210b-47d8-98a5-79507b1825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832773-9414-42b9-95c3-36a558d8f7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44f5b13-403a-4dd3-b9ce-b7b6c8a66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012f1-210b-47d8-98a5-79507b18255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396aa7e-ad57-49d2-b18b-708832d3d098}" ma:internalName="TaxCatchAll" ma:showField="CatchAllData" ma:web="9f6012f1-210b-47d8-98a5-79507b1825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89B511-CCB3-49F0-99DA-48DB3A13003B}">
  <ds:schemaRefs>
    <ds:schemaRef ds:uri="http://purl.org/dc/dcmitype/"/>
    <ds:schemaRef ds:uri="http://schemas.microsoft.com/office/2006/documentManagement/types"/>
    <ds:schemaRef ds:uri="http://purl.org/dc/terms/"/>
    <ds:schemaRef ds:uri="07832773-9414-42b9-95c3-36a558d8f74c"/>
    <ds:schemaRef ds:uri="9f6012f1-210b-47d8-98a5-79507b18255d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1F60B30-8B90-4E1E-A3E2-D827AC3FC9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EF7740-F0C7-48A9-B473-FF5966209E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Summary Board</vt:lpstr>
      <vt:lpstr>Finance Schedule</vt:lpstr>
      <vt:lpstr>Community</vt:lpstr>
      <vt:lpstr>Parcel_Pharse</vt:lpstr>
      <vt:lpstr>1.Infrastructure Costs</vt:lpstr>
      <vt:lpstr>2.Market-rate Rental Housing</vt:lpstr>
      <vt:lpstr>3.Market-rate For-Sale Housing</vt:lpstr>
      <vt:lpstr>4.Affordable Rental Housing</vt:lpstr>
      <vt:lpstr>5.Office_Commercial</vt:lpstr>
      <vt:lpstr>6.Retail </vt:lpstr>
      <vt:lpstr>8.Community Space</vt:lpstr>
      <vt:lpstr>9.Structured Parking</vt:lpstr>
      <vt:lpstr>10.Parking-Underground</vt:lpstr>
      <vt:lpstr>Srrounding Parcel</vt:lpstr>
      <vt:lpstr>'1.Infrastructure Costs'!Print_Area</vt:lpstr>
      <vt:lpstr>'3.Market-rate For-Sale Housing'!Print_Area</vt:lpstr>
      <vt:lpstr>'Summary Board'!Print_Area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Finkenbinder-Best</dc:creator>
  <cp:keywords/>
  <dc:description/>
  <cp:lastModifiedBy>BW</cp:lastModifiedBy>
  <cp:revision/>
  <cp:lastPrinted>2022-04-04T03:37:26Z</cp:lastPrinted>
  <dcterms:created xsi:type="dcterms:W3CDTF">2007-12-12T14:49:40Z</dcterms:created>
  <dcterms:modified xsi:type="dcterms:W3CDTF">2022-04-04T03:38:44Z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0x01010007D0D48330F6CE4FB6B3AE62FA39CE46</vt:lpwstr>
  </property>
</Properties>
</file>